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55" yWindow="2895" windowWidth="20115" windowHeight="7500" tabRatio="698" activeTab="2"/>
  </bookViews>
  <sheets>
    <sheet name="Guide utilisateur" sheetId="7" r:id="rId1"/>
    <sheet name="Les normes-données de base" sheetId="2" r:id="rId2"/>
    <sheet name="BU-janv" sheetId="1" r:id="rId3"/>
    <sheet name="Frais de transport" sheetId="13" r:id="rId4"/>
    <sheet name="Ressources" sheetId="11" r:id="rId5"/>
    <sheet name="Supplément" sheetId="12" r:id="rId6"/>
    <sheet name="Frais de logement" sheetId="9" r:id="rId7"/>
    <sheet name="Caisse maladie" sheetId="8" r:id="rId8"/>
    <sheet name="Paiements échelonnés" sheetId="6" r:id="rId9"/>
    <sheet name="PDF Pièces-janv." sheetId="5" r:id="rId10"/>
    <sheet name="Récap annuelle" sheetId="3" r:id="rId11"/>
    <sheet name="question" sheetId="4" r:id="rId12"/>
    <sheet name="Feuil1" sheetId="10" r:id="rId13"/>
  </sheets>
  <definedNames>
    <definedName name="bdlibel">'BU-janv'!$B$36:$B$50</definedName>
    <definedName name="bdlibel1">'BU-janv'!$B$65:$B$69</definedName>
    <definedName name="bdlibel3">'BU-janv'!$B$74:$B$75</definedName>
    <definedName name="bdlibel4">'BU-janv'!$B$51:$B$64</definedName>
    <definedName name="bdlibell1">OFFSET(bdlibel1,,,,5)</definedName>
    <definedName name="bdlibell2">OFFSET(bdlibel,,,,5)</definedName>
    <definedName name="bdlibell4">OFFSET(bdlibel4,,,,5)</definedName>
    <definedName name="IMBU" comment="impression budget" localSheetId="2">'BU-janv'!$A$1:$H$221</definedName>
    <definedName name="_xlnm.Print_Area" localSheetId="2">'BU-janv'!$B$1:$H$224</definedName>
  </definedNames>
  <calcPr calcId="145621"/>
</workbook>
</file>

<file path=xl/calcChain.xml><?xml version="1.0" encoding="utf-8"?>
<calcChain xmlns="http://schemas.openxmlformats.org/spreadsheetml/2006/main">
  <c r="G204" i="1" l="1"/>
  <c r="G203" i="1"/>
  <c r="G202" i="1"/>
  <c r="G201" i="1"/>
  <c r="G200" i="1"/>
  <c r="G199" i="1"/>
  <c r="F204" i="1"/>
  <c r="F203" i="1"/>
  <c r="F202" i="1"/>
  <c r="F201" i="1"/>
  <c r="F200" i="1"/>
  <c r="F199" i="1"/>
  <c r="G198" i="1"/>
  <c r="G197" i="1"/>
  <c r="G196" i="1"/>
  <c r="G195" i="1"/>
  <c r="G194" i="1"/>
  <c r="G193" i="1"/>
  <c r="G192" i="1"/>
  <c r="G191" i="1"/>
  <c r="G190" i="1"/>
  <c r="G189" i="1"/>
  <c r="F198" i="1"/>
  <c r="F197" i="1"/>
  <c r="F196" i="1"/>
  <c r="F195" i="1"/>
  <c r="F194" i="1"/>
  <c r="F193" i="1"/>
  <c r="F192" i="1"/>
  <c r="F191" i="1"/>
  <c r="F190" i="1"/>
  <c r="F189" i="1"/>
  <c r="G188" i="1"/>
  <c r="G187" i="1"/>
  <c r="F188" i="1"/>
  <c r="F187" i="1"/>
  <c r="F151" i="1"/>
  <c r="F150" i="1"/>
  <c r="G148" i="1"/>
  <c r="F148" i="1"/>
  <c r="G147" i="1"/>
  <c r="F147" i="1"/>
  <c r="G146" i="1"/>
  <c r="F146" i="1"/>
  <c r="G145" i="1"/>
  <c r="F145" i="1"/>
  <c r="G144" i="1"/>
  <c r="F144" i="1"/>
  <c r="G143" i="1"/>
  <c r="F143" i="1"/>
  <c r="G142" i="1"/>
  <c r="F142" i="1"/>
  <c r="G141" i="1"/>
  <c r="F141" i="1"/>
  <c r="G140" i="1"/>
  <c r="F140" i="1"/>
  <c r="G139" i="1"/>
  <c r="F139" i="1"/>
  <c r="G138" i="1"/>
  <c r="F138" i="1"/>
  <c r="G137" i="1"/>
  <c r="F137" i="1"/>
  <c r="G136" i="1"/>
  <c r="F136" i="1"/>
  <c r="G135" i="1"/>
  <c r="F135" i="1"/>
  <c r="H205" i="1"/>
  <c r="H160" i="1"/>
  <c r="F134" i="1"/>
  <c r="F133" i="1"/>
  <c r="F132" i="1"/>
  <c r="F131" i="1"/>
  <c r="F130" i="1"/>
  <c r="F129" i="1"/>
  <c r="F128" i="1"/>
  <c r="F127" i="1"/>
  <c r="F126" i="1"/>
  <c r="F125" i="1"/>
  <c r="F124" i="1"/>
  <c r="F123" i="1"/>
  <c r="F122" i="1"/>
  <c r="E152" i="1"/>
  <c r="E153" i="1"/>
  <c r="E154" i="1"/>
  <c r="B165" i="1"/>
  <c r="B120" i="1"/>
  <c r="B205" i="1" l="1"/>
  <c r="B160" i="1"/>
  <c r="E204" i="1"/>
  <c r="D204" i="1"/>
  <c r="C204" i="1"/>
  <c r="E203" i="1"/>
  <c r="D203" i="1"/>
  <c r="C203" i="1"/>
  <c r="E202" i="1"/>
  <c r="D202" i="1"/>
  <c r="E201" i="1"/>
  <c r="D201" i="1"/>
  <c r="E200" i="1"/>
  <c r="D200" i="1"/>
  <c r="E199" i="1"/>
  <c r="D199" i="1"/>
  <c r="E198" i="1"/>
  <c r="D198" i="1"/>
  <c r="E197" i="1"/>
  <c r="D197" i="1"/>
  <c r="E196" i="1"/>
  <c r="D196" i="1"/>
  <c r="E195" i="1"/>
  <c r="D195" i="1"/>
  <c r="E194" i="1"/>
  <c r="D194" i="1"/>
  <c r="E193" i="1"/>
  <c r="D193" i="1"/>
  <c r="E192" i="1"/>
  <c r="D192" i="1"/>
  <c r="E191" i="1"/>
  <c r="D191" i="1"/>
  <c r="E190" i="1"/>
  <c r="D190" i="1"/>
  <c r="E189" i="1"/>
  <c r="D189" i="1"/>
  <c r="E188" i="1"/>
  <c r="D188" i="1"/>
  <c r="E187" i="1"/>
  <c r="D187" i="1"/>
  <c r="G186" i="1"/>
  <c r="E186" i="1"/>
  <c r="D186" i="1"/>
  <c r="G185" i="1"/>
  <c r="E185" i="1"/>
  <c r="D185" i="1"/>
  <c r="G184" i="1"/>
  <c r="E184" i="1"/>
  <c r="D184" i="1"/>
  <c r="G183" i="1"/>
  <c r="E183" i="1"/>
  <c r="D183" i="1"/>
  <c r="G182" i="1"/>
  <c r="E182" i="1"/>
  <c r="D182" i="1"/>
  <c r="G181" i="1"/>
  <c r="E181" i="1"/>
  <c r="D181" i="1"/>
  <c r="G180" i="1"/>
  <c r="E180" i="1"/>
  <c r="D180" i="1"/>
  <c r="G179" i="1"/>
  <c r="E179" i="1"/>
  <c r="D179" i="1"/>
  <c r="G178" i="1"/>
  <c r="E178" i="1"/>
  <c r="D178" i="1"/>
  <c r="G177" i="1"/>
  <c r="E177" i="1"/>
  <c r="D177" i="1"/>
  <c r="G176" i="1"/>
  <c r="E176" i="1"/>
  <c r="D176" i="1"/>
  <c r="G175" i="1"/>
  <c r="E175" i="1"/>
  <c r="D175" i="1"/>
  <c r="G174" i="1"/>
  <c r="E174" i="1"/>
  <c r="D174" i="1"/>
  <c r="G173" i="1"/>
  <c r="E173" i="1"/>
  <c r="D173" i="1"/>
  <c r="G172" i="1"/>
  <c r="E172" i="1"/>
  <c r="D172" i="1"/>
  <c r="G171" i="1"/>
  <c r="E171" i="1"/>
  <c r="D171" i="1"/>
  <c r="G170" i="1"/>
  <c r="E170" i="1"/>
  <c r="D170" i="1"/>
  <c r="G169" i="1"/>
  <c r="E169" i="1"/>
  <c r="D169" i="1"/>
  <c r="G168" i="1"/>
  <c r="E168" i="1"/>
  <c r="D168" i="1"/>
  <c r="G167" i="1"/>
  <c r="E167" i="1"/>
  <c r="D167" i="1"/>
  <c r="H204" i="1"/>
  <c r="H203" i="1"/>
  <c r="H202" i="1"/>
  <c r="H201" i="1"/>
  <c r="H200" i="1"/>
  <c r="H199" i="1"/>
  <c r="C202" i="1"/>
  <c r="C201" i="1"/>
  <c r="C200" i="1"/>
  <c r="C199" i="1"/>
  <c r="H198" i="1"/>
  <c r="H197" i="1"/>
  <c r="C198" i="1"/>
  <c r="C197" i="1"/>
  <c r="B204" i="1"/>
  <c r="B203" i="1"/>
  <c r="B202" i="1"/>
  <c r="B201" i="1"/>
  <c r="B200" i="1"/>
  <c r="B199" i="1"/>
  <c r="B198" i="1"/>
  <c r="B197" i="1"/>
  <c r="H196" i="1"/>
  <c r="H195" i="1"/>
  <c r="H194" i="1"/>
  <c r="H193" i="1"/>
  <c r="H192" i="1"/>
  <c r="H191" i="1"/>
  <c r="C196" i="1"/>
  <c r="C190" i="1"/>
  <c r="C188" i="1"/>
  <c r="C187" i="1"/>
  <c r="B195" i="1"/>
  <c r="B194" i="1"/>
  <c r="B193" i="1"/>
  <c r="B192" i="1"/>
  <c r="B191" i="1"/>
  <c r="B190" i="1"/>
  <c r="B189" i="1"/>
  <c r="B188" i="1"/>
  <c r="B187" i="1"/>
  <c r="H186" i="1"/>
  <c r="H185" i="1"/>
  <c r="H184" i="1"/>
  <c r="H183" i="1"/>
  <c r="H182" i="1"/>
  <c r="C186" i="1"/>
  <c r="C185" i="1"/>
  <c r="C184" i="1"/>
  <c r="C183" i="1"/>
  <c r="C182" i="1"/>
  <c r="C154" i="1"/>
  <c r="C153" i="1"/>
  <c r="C152" i="1"/>
  <c r="B168" i="1"/>
  <c r="G149" i="1"/>
  <c r="E149" i="1"/>
  <c r="D149" i="1"/>
  <c r="E151" i="1"/>
  <c r="D151" i="1"/>
  <c r="E150" i="1"/>
  <c r="D150" i="1"/>
  <c r="E148" i="1"/>
  <c r="D148" i="1"/>
  <c r="E147" i="1"/>
  <c r="D147" i="1"/>
  <c r="E146" i="1"/>
  <c r="D146" i="1"/>
  <c r="E145" i="1"/>
  <c r="D145" i="1"/>
  <c r="E144" i="1"/>
  <c r="D144" i="1"/>
  <c r="E143" i="1"/>
  <c r="D143" i="1"/>
  <c r="E142" i="1"/>
  <c r="D142" i="1"/>
  <c r="E141" i="1"/>
  <c r="D141" i="1"/>
  <c r="E140" i="1"/>
  <c r="D140" i="1"/>
  <c r="E139" i="1"/>
  <c r="D139" i="1"/>
  <c r="E138" i="1"/>
  <c r="D138" i="1"/>
  <c r="E137" i="1"/>
  <c r="D137" i="1"/>
  <c r="E136" i="1"/>
  <c r="D136" i="1"/>
  <c r="E135" i="1"/>
  <c r="D135" i="1"/>
  <c r="E134" i="1"/>
  <c r="D134" i="1"/>
  <c r="E133" i="1"/>
  <c r="D133" i="1"/>
  <c r="E132" i="1"/>
  <c r="D132" i="1"/>
  <c r="E131" i="1"/>
  <c r="D131" i="1"/>
  <c r="E130" i="1"/>
  <c r="D130" i="1"/>
  <c r="E129" i="1"/>
  <c r="D129" i="1"/>
  <c r="E128" i="1"/>
  <c r="D128" i="1"/>
  <c r="E127" i="1"/>
  <c r="D127" i="1"/>
  <c r="E126" i="1"/>
  <c r="D126" i="1"/>
  <c r="E125" i="1"/>
  <c r="D125" i="1"/>
  <c r="E124" i="1"/>
  <c r="D124" i="1"/>
  <c r="E123" i="1"/>
  <c r="D123" i="1"/>
  <c r="E122" i="1"/>
  <c r="D122" i="1"/>
  <c r="E193" i="6"/>
  <c r="E192" i="6"/>
  <c r="E191" i="6"/>
  <c r="E190" i="6"/>
  <c r="E189" i="6"/>
  <c r="E188" i="6"/>
  <c r="E187" i="6"/>
  <c r="E186" i="6"/>
  <c r="D198" i="6"/>
  <c r="C198" i="6"/>
  <c r="D197" i="6"/>
  <c r="C197" i="6"/>
  <c r="D196" i="6"/>
  <c r="C196" i="6"/>
  <c r="D195" i="6"/>
  <c r="C195" i="6"/>
  <c r="D194" i="6"/>
  <c r="C194" i="6"/>
  <c r="D193" i="6"/>
  <c r="C193" i="6"/>
  <c r="D192" i="6"/>
  <c r="C192" i="6"/>
  <c r="D191" i="6"/>
  <c r="C191" i="6"/>
  <c r="D190" i="6"/>
  <c r="C190" i="6"/>
  <c r="D189" i="6"/>
  <c r="C189" i="6"/>
  <c r="D188" i="6"/>
  <c r="C188" i="6"/>
  <c r="D187" i="6"/>
  <c r="C187" i="6"/>
  <c r="D186" i="6"/>
  <c r="C186" i="6"/>
  <c r="D199" i="6"/>
  <c r="F181" i="6"/>
  <c r="E181" i="6"/>
  <c r="D181" i="6"/>
  <c r="C181" i="6"/>
  <c r="F180" i="6"/>
  <c r="E180" i="6"/>
  <c r="D180" i="6"/>
  <c r="C180" i="6"/>
  <c r="F179" i="6"/>
  <c r="E179" i="6"/>
  <c r="D179" i="6"/>
  <c r="C179" i="6"/>
  <c r="F178" i="6"/>
  <c r="E178" i="6"/>
  <c r="D178" i="6"/>
  <c r="C178" i="6"/>
  <c r="F177" i="6"/>
  <c r="E177" i="6"/>
  <c r="D177" i="6"/>
  <c r="C177" i="6"/>
  <c r="F176" i="6"/>
  <c r="E176" i="6"/>
  <c r="D176" i="6"/>
  <c r="C176" i="6"/>
  <c r="F175" i="6"/>
  <c r="E175" i="6"/>
  <c r="D175" i="6"/>
  <c r="C175" i="6"/>
  <c r="F174" i="6"/>
  <c r="E174" i="6"/>
  <c r="D174" i="6"/>
  <c r="C174" i="6"/>
  <c r="F173" i="6"/>
  <c r="E173" i="6"/>
  <c r="D173" i="6"/>
  <c r="C173" i="6"/>
  <c r="F172" i="6"/>
  <c r="E172" i="6"/>
  <c r="D172" i="6"/>
  <c r="C172" i="6"/>
  <c r="F171" i="6"/>
  <c r="E171" i="6"/>
  <c r="D171" i="6"/>
  <c r="C171" i="6"/>
  <c r="F170" i="6"/>
  <c r="E170" i="6"/>
  <c r="D170" i="6"/>
  <c r="C170" i="6"/>
  <c r="F169" i="6"/>
  <c r="E169" i="6"/>
  <c r="D169" i="6"/>
  <c r="C169" i="6"/>
  <c r="F168" i="6"/>
  <c r="E168" i="6"/>
  <c r="D168" i="6"/>
  <c r="C168" i="6"/>
  <c r="F166" i="6"/>
  <c r="E166" i="6"/>
  <c r="D166" i="6"/>
  <c r="C166" i="6"/>
  <c r="F165" i="6"/>
  <c r="E165" i="6"/>
  <c r="D165" i="6"/>
  <c r="C165" i="6"/>
  <c r="F164" i="6"/>
  <c r="E164" i="6"/>
  <c r="D164" i="6"/>
  <c r="C164" i="6"/>
  <c r="F163" i="6"/>
  <c r="E163" i="6"/>
  <c r="D163" i="6"/>
  <c r="C163" i="6"/>
  <c r="F162" i="6"/>
  <c r="E162" i="6"/>
  <c r="D162" i="6"/>
  <c r="C162" i="6"/>
  <c r="F161" i="6"/>
  <c r="E161" i="6"/>
  <c r="D161" i="6"/>
  <c r="C161" i="6"/>
  <c r="F160" i="6"/>
  <c r="E160" i="6"/>
  <c r="D160" i="6"/>
  <c r="C160" i="6"/>
  <c r="F159" i="6"/>
  <c r="E159" i="6"/>
  <c r="D159" i="6"/>
  <c r="C159" i="6"/>
  <c r="F158" i="6"/>
  <c r="E158" i="6"/>
  <c r="D158" i="6"/>
  <c r="C158" i="6"/>
  <c r="F157" i="6"/>
  <c r="E157" i="6"/>
  <c r="D157" i="6"/>
  <c r="C157" i="6"/>
  <c r="F156" i="6"/>
  <c r="E156" i="6"/>
  <c r="D156" i="6"/>
  <c r="C156" i="6"/>
  <c r="F155" i="6"/>
  <c r="E155" i="6"/>
  <c r="D155" i="6"/>
  <c r="C155" i="6"/>
  <c r="F154" i="6"/>
  <c r="E154" i="6"/>
  <c r="D154" i="6"/>
  <c r="C154" i="6"/>
  <c r="F153" i="6"/>
  <c r="E153" i="6"/>
  <c r="D153" i="6"/>
  <c r="C153" i="6"/>
  <c r="F151" i="6"/>
  <c r="E151" i="6"/>
  <c r="D151" i="6"/>
  <c r="C151" i="6"/>
  <c r="F150" i="6"/>
  <c r="E150" i="6"/>
  <c r="D150" i="6"/>
  <c r="C150" i="6"/>
  <c r="F149" i="6"/>
  <c r="E149" i="6"/>
  <c r="D149" i="6"/>
  <c r="C149" i="6"/>
  <c r="F148" i="6"/>
  <c r="E148" i="6"/>
  <c r="D148" i="6"/>
  <c r="C148" i="6"/>
  <c r="F147" i="6"/>
  <c r="E147" i="6"/>
  <c r="D147" i="6"/>
  <c r="C147" i="6"/>
  <c r="F146" i="6"/>
  <c r="E146" i="6"/>
  <c r="D146" i="6"/>
  <c r="C146" i="6"/>
  <c r="F145" i="6"/>
  <c r="E145" i="6"/>
  <c r="D145" i="6"/>
  <c r="C145" i="6"/>
  <c r="F144" i="6"/>
  <c r="E144" i="6"/>
  <c r="D144" i="6"/>
  <c r="C144" i="6"/>
  <c r="F143" i="6"/>
  <c r="E143" i="6"/>
  <c r="D143" i="6"/>
  <c r="C143" i="6"/>
  <c r="F142" i="6"/>
  <c r="E142" i="6"/>
  <c r="D142" i="6"/>
  <c r="C142" i="6"/>
  <c r="F141" i="6"/>
  <c r="E141" i="6"/>
  <c r="D141" i="6"/>
  <c r="C141" i="6"/>
  <c r="F140" i="6"/>
  <c r="E140" i="6"/>
  <c r="D140" i="6"/>
  <c r="C140" i="6"/>
  <c r="F139" i="6"/>
  <c r="E139" i="6"/>
  <c r="D139" i="6"/>
  <c r="C139" i="6"/>
  <c r="F138" i="6"/>
  <c r="E138" i="6"/>
  <c r="D138" i="6"/>
  <c r="C138" i="6"/>
  <c r="F136" i="6"/>
  <c r="E136" i="6"/>
  <c r="D136" i="6"/>
  <c r="C136" i="6"/>
  <c r="F135" i="6"/>
  <c r="E135" i="6"/>
  <c r="D135" i="6"/>
  <c r="C135" i="6"/>
  <c r="F134" i="6"/>
  <c r="E134" i="6"/>
  <c r="D134" i="6"/>
  <c r="C134" i="6"/>
  <c r="F133" i="6"/>
  <c r="E133" i="6"/>
  <c r="D133" i="6"/>
  <c r="C133" i="6"/>
  <c r="F132" i="6"/>
  <c r="E132" i="6"/>
  <c r="D132" i="6"/>
  <c r="C132" i="6"/>
  <c r="F131" i="6"/>
  <c r="E131" i="6"/>
  <c r="D131" i="6"/>
  <c r="C131" i="6"/>
  <c r="F130" i="6"/>
  <c r="E130" i="6"/>
  <c r="D130" i="6"/>
  <c r="C130" i="6"/>
  <c r="F129" i="6"/>
  <c r="E129" i="6"/>
  <c r="D129" i="6"/>
  <c r="C129" i="6"/>
  <c r="F128" i="6"/>
  <c r="E128" i="6"/>
  <c r="D128" i="6"/>
  <c r="C128" i="6"/>
  <c r="F127" i="6"/>
  <c r="E127" i="6"/>
  <c r="D127" i="6"/>
  <c r="C127" i="6"/>
  <c r="F126" i="6"/>
  <c r="E126" i="6"/>
  <c r="D126" i="6"/>
  <c r="C126" i="6"/>
  <c r="F125" i="6"/>
  <c r="E125" i="6"/>
  <c r="D125" i="6"/>
  <c r="C125" i="6"/>
  <c r="F124" i="6"/>
  <c r="E124" i="6"/>
  <c r="D124" i="6"/>
  <c r="C124" i="6"/>
  <c r="F123" i="6"/>
  <c r="E123" i="6"/>
  <c r="D123" i="6"/>
  <c r="C123" i="6"/>
  <c r="F121" i="6"/>
  <c r="E121" i="6"/>
  <c r="D121" i="6"/>
  <c r="C121" i="6"/>
  <c r="F120" i="6"/>
  <c r="E120" i="6"/>
  <c r="D120" i="6"/>
  <c r="C120" i="6"/>
  <c r="F119" i="6"/>
  <c r="E119" i="6"/>
  <c r="D119" i="6"/>
  <c r="C119" i="6"/>
  <c r="F118" i="6"/>
  <c r="E118" i="6"/>
  <c r="D118" i="6"/>
  <c r="C118" i="6"/>
  <c r="F117" i="6"/>
  <c r="E117" i="6"/>
  <c r="D117" i="6"/>
  <c r="C117" i="6"/>
  <c r="F116" i="6"/>
  <c r="E116" i="6"/>
  <c r="D116" i="6"/>
  <c r="C116" i="6"/>
  <c r="F115" i="6"/>
  <c r="E115" i="6"/>
  <c r="D115" i="6"/>
  <c r="C115" i="6"/>
  <c r="F114" i="6"/>
  <c r="E114" i="6"/>
  <c r="D114" i="6"/>
  <c r="C114" i="6"/>
  <c r="F113" i="6"/>
  <c r="E113" i="6"/>
  <c r="D113" i="6"/>
  <c r="C113" i="6"/>
  <c r="F112" i="6"/>
  <c r="E112" i="6"/>
  <c r="D112" i="6"/>
  <c r="C112" i="6"/>
  <c r="F111" i="6"/>
  <c r="E111" i="6"/>
  <c r="D111" i="6"/>
  <c r="C111" i="6"/>
  <c r="F110" i="6"/>
  <c r="E110" i="6"/>
  <c r="D110" i="6"/>
  <c r="C110" i="6"/>
  <c r="F109" i="6"/>
  <c r="E109" i="6"/>
  <c r="D109" i="6"/>
  <c r="C109" i="6"/>
  <c r="F108" i="6"/>
  <c r="E108" i="6"/>
  <c r="D108" i="6"/>
  <c r="C108" i="6"/>
  <c r="F106" i="6"/>
  <c r="E106" i="6"/>
  <c r="D106" i="6"/>
  <c r="C106" i="6"/>
  <c r="F105" i="6"/>
  <c r="E105" i="6"/>
  <c r="D105" i="6"/>
  <c r="C105" i="6"/>
  <c r="F104" i="6"/>
  <c r="E104" i="6"/>
  <c r="D104" i="6"/>
  <c r="C104" i="6"/>
  <c r="F103" i="6"/>
  <c r="E103" i="6"/>
  <c r="D103" i="6"/>
  <c r="C103" i="6"/>
  <c r="F102" i="6"/>
  <c r="E102" i="6"/>
  <c r="D102" i="6"/>
  <c r="C102" i="6"/>
  <c r="F101" i="6"/>
  <c r="E101" i="6"/>
  <c r="D101" i="6"/>
  <c r="C101" i="6"/>
  <c r="F100" i="6"/>
  <c r="E100" i="6"/>
  <c r="D100" i="6"/>
  <c r="C100" i="6"/>
  <c r="F99" i="6"/>
  <c r="E99" i="6"/>
  <c r="D99" i="6"/>
  <c r="C99" i="6"/>
  <c r="F98" i="6"/>
  <c r="E98" i="6"/>
  <c r="D98" i="6"/>
  <c r="C98" i="6"/>
  <c r="F97" i="6"/>
  <c r="E97" i="6"/>
  <c r="D97" i="6"/>
  <c r="C97" i="6"/>
  <c r="F96" i="6"/>
  <c r="E96" i="6"/>
  <c r="D96" i="6"/>
  <c r="C96" i="6"/>
  <c r="F95" i="6"/>
  <c r="E95" i="6"/>
  <c r="D95" i="6"/>
  <c r="C95" i="6"/>
  <c r="F94" i="6"/>
  <c r="E94" i="6"/>
  <c r="D94" i="6"/>
  <c r="C94" i="6"/>
  <c r="F93" i="6"/>
  <c r="E93" i="6"/>
  <c r="D93" i="6"/>
  <c r="C93" i="6"/>
  <c r="F91" i="6"/>
  <c r="E91" i="6"/>
  <c r="D91" i="6"/>
  <c r="C91" i="6"/>
  <c r="F90" i="6"/>
  <c r="E90" i="6"/>
  <c r="D90" i="6"/>
  <c r="C90" i="6"/>
  <c r="F89" i="6"/>
  <c r="E89" i="6"/>
  <c r="D89" i="6"/>
  <c r="C89" i="6"/>
  <c r="F88" i="6"/>
  <c r="E88" i="6"/>
  <c r="D88" i="6"/>
  <c r="C88" i="6"/>
  <c r="F87" i="6"/>
  <c r="E87" i="6"/>
  <c r="D87" i="6"/>
  <c r="C87" i="6"/>
  <c r="F86" i="6"/>
  <c r="E86" i="6"/>
  <c r="D86" i="6"/>
  <c r="C86" i="6"/>
  <c r="F85" i="6"/>
  <c r="E85" i="6"/>
  <c r="D85" i="6"/>
  <c r="C85" i="6"/>
  <c r="F84" i="6"/>
  <c r="E84" i="6"/>
  <c r="D84" i="6"/>
  <c r="C84" i="6"/>
  <c r="F83" i="6"/>
  <c r="E83" i="6"/>
  <c r="D83" i="6"/>
  <c r="C83" i="6"/>
  <c r="F82" i="6"/>
  <c r="E82" i="6"/>
  <c r="D82" i="6"/>
  <c r="C82" i="6"/>
  <c r="F81" i="6"/>
  <c r="E81" i="6"/>
  <c r="D81" i="6"/>
  <c r="C81" i="6"/>
  <c r="F80" i="6"/>
  <c r="E80" i="6"/>
  <c r="D80" i="6"/>
  <c r="C80" i="6"/>
  <c r="F79" i="6"/>
  <c r="E79" i="6"/>
  <c r="D79" i="6"/>
  <c r="C79" i="6"/>
  <c r="F78" i="6"/>
  <c r="E78" i="6"/>
  <c r="D78" i="6"/>
  <c r="C78" i="6"/>
  <c r="F76" i="6"/>
  <c r="E76" i="6"/>
  <c r="D76" i="6"/>
  <c r="C76" i="6"/>
  <c r="F75" i="6"/>
  <c r="E75" i="6"/>
  <c r="D75" i="6"/>
  <c r="C75" i="6"/>
  <c r="F74" i="6"/>
  <c r="E74" i="6"/>
  <c r="D74" i="6"/>
  <c r="C74" i="6"/>
  <c r="F73" i="6"/>
  <c r="E73" i="6"/>
  <c r="D73" i="6"/>
  <c r="C73" i="6"/>
  <c r="F72" i="6"/>
  <c r="E72" i="6"/>
  <c r="D72" i="6"/>
  <c r="C72" i="6"/>
  <c r="F71" i="6"/>
  <c r="E71" i="6"/>
  <c r="D71" i="6"/>
  <c r="C71" i="6"/>
  <c r="F70" i="6"/>
  <c r="E70" i="6"/>
  <c r="D70" i="6"/>
  <c r="C70" i="6"/>
  <c r="F69" i="6"/>
  <c r="E69" i="6"/>
  <c r="D69" i="6"/>
  <c r="C69" i="6"/>
  <c r="F68" i="6"/>
  <c r="E68" i="6"/>
  <c r="D68" i="6"/>
  <c r="C68" i="6"/>
  <c r="F67" i="6"/>
  <c r="E67" i="6"/>
  <c r="D67" i="6"/>
  <c r="C67" i="6"/>
  <c r="F66" i="6"/>
  <c r="E66" i="6"/>
  <c r="D66" i="6"/>
  <c r="C66" i="6"/>
  <c r="F65" i="6"/>
  <c r="E65" i="6"/>
  <c r="D65" i="6"/>
  <c r="C65" i="6"/>
  <c r="F64" i="6"/>
  <c r="E64" i="6"/>
  <c r="D64" i="6"/>
  <c r="C64" i="6"/>
  <c r="F63" i="6"/>
  <c r="E63" i="6"/>
  <c r="D63" i="6"/>
  <c r="C63" i="6"/>
  <c r="F61" i="6"/>
  <c r="E61" i="6"/>
  <c r="D61" i="6"/>
  <c r="C61" i="6"/>
  <c r="F60" i="6"/>
  <c r="E60" i="6"/>
  <c r="D60" i="6"/>
  <c r="C60" i="6"/>
  <c r="F59" i="6"/>
  <c r="E59" i="6"/>
  <c r="D59" i="6"/>
  <c r="C59" i="6"/>
  <c r="F58" i="6"/>
  <c r="E58" i="6"/>
  <c r="D58" i="6"/>
  <c r="C58" i="6"/>
  <c r="F57" i="6"/>
  <c r="E57" i="6"/>
  <c r="D57" i="6"/>
  <c r="C57" i="6"/>
  <c r="F56" i="6"/>
  <c r="E56" i="6"/>
  <c r="D56" i="6"/>
  <c r="C56" i="6"/>
  <c r="F55" i="6"/>
  <c r="E55" i="6"/>
  <c r="D55" i="6"/>
  <c r="C55" i="6"/>
  <c r="F54" i="6"/>
  <c r="E54" i="6"/>
  <c r="D54" i="6"/>
  <c r="C54" i="6"/>
  <c r="F53" i="6"/>
  <c r="E53" i="6"/>
  <c r="D53" i="6"/>
  <c r="C53" i="6"/>
  <c r="F52" i="6"/>
  <c r="E52" i="6"/>
  <c r="D52" i="6"/>
  <c r="C52" i="6"/>
  <c r="F51" i="6"/>
  <c r="E51" i="6"/>
  <c r="D51" i="6"/>
  <c r="C51" i="6"/>
  <c r="F50" i="6"/>
  <c r="E50" i="6"/>
  <c r="D50" i="6"/>
  <c r="C50" i="6"/>
  <c r="F49" i="6"/>
  <c r="E49" i="6"/>
  <c r="D49" i="6"/>
  <c r="C49" i="6"/>
  <c r="F48" i="6"/>
  <c r="E48" i="6"/>
  <c r="D48" i="6"/>
  <c r="C48" i="6"/>
  <c r="F46" i="6"/>
  <c r="E46" i="6"/>
  <c r="D46" i="6"/>
  <c r="C46" i="6"/>
  <c r="F45" i="6"/>
  <c r="E45" i="6"/>
  <c r="D45" i="6"/>
  <c r="C45" i="6"/>
  <c r="F44" i="6"/>
  <c r="E44" i="6"/>
  <c r="D44" i="6"/>
  <c r="C44" i="6"/>
  <c r="F43" i="6"/>
  <c r="E43" i="6"/>
  <c r="D43" i="6"/>
  <c r="C43" i="6"/>
  <c r="F42" i="6"/>
  <c r="E42" i="6"/>
  <c r="D42" i="6"/>
  <c r="C42" i="6"/>
  <c r="F41" i="6"/>
  <c r="E41" i="6"/>
  <c r="D41" i="6"/>
  <c r="C41" i="6"/>
  <c r="F40" i="6"/>
  <c r="E40" i="6"/>
  <c r="D40" i="6"/>
  <c r="C40" i="6"/>
  <c r="F39" i="6"/>
  <c r="E39" i="6"/>
  <c r="D39" i="6"/>
  <c r="C39" i="6"/>
  <c r="F38" i="6"/>
  <c r="E38" i="6"/>
  <c r="D38" i="6"/>
  <c r="C38" i="6"/>
  <c r="F37" i="6"/>
  <c r="E37" i="6"/>
  <c r="D37" i="6"/>
  <c r="C37" i="6"/>
  <c r="F36" i="6"/>
  <c r="E36" i="6"/>
  <c r="D36" i="6"/>
  <c r="C36" i="6"/>
  <c r="F35" i="6"/>
  <c r="E35" i="6"/>
  <c r="D35" i="6"/>
  <c r="C35" i="6"/>
  <c r="F34" i="6"/>
  <c r="E34" i="6"/>
  <c r="D34" i="6"/>
  <c r="C34" i="6"/>
  <c r="F33" i="6"/>
  <c r="E33" i="6"/>
  <c r="D33" i="6"/>
  <c r="C33" i="6"/>
  <c r="F31" i="6"/>
  <c r="E31" i="6"/>
  <c r="D31" i="6"/>
  <c r="C31" i="6"/>
  <c r="F30" i="6"/>
  <c r="E30" i="6"/>
  <c r="D30" i="6"/>
  <c r="C30" i="6"/>
  <c r="F29" i="6"/>
  <c r="E29" i="6"/>
  <c r="D29" i="6"/>
  <c r="C29" i="6"/>
  <c r="F28" i="6"/>
  <c r="E28" i="6"/>
  <c r="D28" i="6"/>
  <c r="C28" i="6"/>
  <c r="F27" i="6"/>
  <c r="E27" i="6"/>
  <c r="D27" i="6"/>
  <c r="C27" i="6"/>
  <c r="F26" i="6"/>
  <c r="E26" i="6"/>
  <c r="D26" i="6"/>
  <c r="C26" i="6"/>
  <c r="F25" i="6"/>
  <c r="E25" i="6"/>
  <c r="D25" i="6"/>
  <c r="C25" i="6"/>
  <c r="F24" i="6"/>
  <c r="E24" i="6"/>
  <c r="D24" i="6"/>
  <c r="C24" i="6"/>
  <c r="F23" i="6"/>
  <c r="E23" i="6"/>
  <c r="D23" i="6"/>
  <c r="C23" i="6"/>
  <c r="F22" i="6"/>
  <c r="E22" i="6"/>
  <c r="D22" i="6"/>
  <c r="C22" i="6"/>
  <c r="F21" i="6"/>
  <c r="E21" i="6"/>
  <c r="D21" i="6"/>
  <c r="C21" i="6"/>
  <c r="F20" i="6"/>
  <c r="E20" i="6"/>
  <c r="D20" i="6"/>
  <c r="C20" i="6"/>
  <c r="F19" i="6"/>
  <c r="E19" i="6"/>
  <c r="D19" i="6"/>
  <c r="C19" i="6"/>
  <c r="F18" i="6"/>
  <c r="E18" i="6"/>
  <c r="D18" i="6"/>
  <c r="C18" i="6"/>
  <c r="K181" i="6"/>
  <c r="J181" i="6"/>
  <c r="I181" i="6"/>
  <c r="H181" i="6"/>
  <c r="K180" i="6"/>
  <c r="J180" i="6"/>
  <c r="I180" i="6"/>
  <c r="H180" i="6"/>
  <c r="K179" i="6"/>
  <c r="J179" i="6"/>
  <c r="I179" i="6"/>
  <c r="H179" i="6"/>
  <c r="K178" i="6"/>
  <c r="J178" i="6"/>
  <c r="I178" i="6"/>
  <c r="H178" i="6"/>
  <c r="K177" i="6"/>
  <c r="J177" i="6"/>
  <c r="I177" i="6"/>
  <c r="H177" i="6"/>
  <c r="K176" i="6"/>
  <c r="J176" i="6"/>
  <c r="I176" i="6"/>
  <c r="H176" i="6"/>
  <c r="K175" i="6"/>
  <c r="J175" i="6"/>
  <c r="I175" i="6"/>
  <c r="H175" i="6"/>
  <c r="K174" i="6"/>
  <c r="J174" i="6"/>
  <c r="I174" i="6"/>
  <c r="H174" i="6"/>
  <c r="K173" i="6"/>
  <c r="J173" i="6"/>
  <c r="I173" i="6"/>
  <c r="H173" i="6"/>
  <c r="K172" i="6"/>
  <c r="J172" i="6"/>
  <c r="I172" i="6"/>
  <c r="H172" i="6"/>
  <c r="K171" i="6"/>
  <c r="J171" i="6"/>
  <c r="I171" i="6"/>
  <c r="H171" i="6"/>
  <c r="K170" i="6"/>
  <c r="J170" i="6"/>
  <c r="I170" i="6"/>
  <c r="H170" i="6"/>
  <c r="K169" i="6"/>
  <c r="J169" i="6"/>
  <c r="I169" i="6"/>
  <c r="H169" i="6"/>
  <c r="K168" i="6"/>
  <c r="J168" i="6"/>
  <c r="I168" i="6"/>
  <c r="H168" i="6"/>
  <c r="K166" i="6"/>
  <c r="J166" i="6"/>
  <c r="I166" i="6"/>
  <c r="H166" i="6"/>
  <c r="K165" i="6"/>
  <c r="J165" i="6"/>
  <c r="I165" i="6"/>
  <c r="H165" i="6"/>
  <c r="K164" i="6"/>
  <c r="J164" i="6"/>
  <c r="I164" i="6"/>
  <c r="H164" i="6"/>
  <c r="K163" i="6"/>
  <c r="J163" i="6"/>
  <c r="I163" i="6"/>
  <c r="H163" i="6"/>
  <c r="K162" i="6"/>
  <c r="J162" i="6"/>
  <c r="I162" i="6"/>
  <c r="H162" i="6"/>
  <c r="K161" i="6"/>
  <c r="J161" i="6"/>
  <c r="I161" i="6"/>
  <c r="H161" i="6"/>
  <c r="K160" i="6"/>
  <c r="J160" i="6"/>
  <c r="I160" i="6"/>
  <c r="H160" i="6"/>
  <c r="K159" i="6"/>
  <c r="J159" i="6"/>
  <c r="I159" i="6"/>
  <c r="H159" i="6"/>
  <c r="K158" i="6"/>
  <c r="J158" i="6"/>
  <c r="I158" i="6"/>
  <c r="H158" i="6"/>
  <c r="K157" i="6"/>
  <c r="J157" i="6"/>
  <c r="I157" i="6"/>
  <c r="H157" i="6"/>
  <c r="K156" i="6"/>
  <c r="J156" i="6"/>
  <c r="I156" i="6"/>
  <c r="H156" i="6"/>
  <c r="K155" i="6"/>
  <c r="J155" i="6"/>
  <c r="I155" i="6"/>
  <c r="H155" i="6"/>
  <c r="K154" i="6"/>
  <c r="J154" i="6"/>
  <c r="I154" i="6"/>
  <c r="H154" i="6"/>
  <c r="K153" i="6"/>
  <c r="J153" i="6"/>
  <c r="I153" i="6"/>
  <c r="H153" i="6"/>
  <c r="K151" i="6"/>
  <c r="J151" i="6"/>
  <c r="I151" i="6"/>
  <c r="H151" i="6"/>
  <c r="K150" i="6"/>
  <c r="J150" i="6"/>
  <c r="I150" i="6"/>
  <c r="H150" i="6"/>
  <c r="K149" i="6"/>
  <c r="J149" i="6"/>
  <c r="I149" i="6"/>
  <c r="H149" i="6"/>
  <c r="K148" i="6"/>
  <c r="J148" i="6"/>
  <c r="I148" i="6"/>
  <c r="H148" i="6"/>
  <c r="K147" i="6"/>
  <c r="J147" i="6"/>
  <c r="I147" i="6"/>
  <c r="H147" i="6"/>
  <c r="K146" i="6"/>
  <c r="J146" i="6"/>
  <c r="I146" i="6"/>
  <c r="H146" i="6"/>
  <c r="K145" i="6"/>
  <c r="J145" i="6"/>
  <c r="I145" i="6"/>
  <c r="H145" i="6"/>
  <c r="K144" i="6"/>
  <c r="J144" i="6"/>
  <c r="I144" i="6"/>
  <c r="H144" i="6"/>
  <c r="K143" i="6"/>
  <c r="J143" i="6"/>
  <c r="I143" i="6"/>
  <c r="H143" i="6"/>
  <c r="K142" i="6"/>
  <c r="J142" i="6"/>
  <c r="I142" i="6"/>
  <c r="H142" i="6"/>
  <c r="K141" i="6"/>
  <c r="J141" i="6"/>
  <c r="I141" i="6"/>
  <c r="H141" i="6"/>
  <c r="K140" i="6"/>
  <c r="J140" i="6"/>
  <c r="I140" i="6"/>
  <c r="H140" i="6"/>
  <c r="K139" i="6"/>
  <c r="J139" i="6"/>
  <c r="I139" i="6"/>
  <c r="H139" i="6"/>
  <c r="K138" i="6"/>
  <c r="J138" i="6"/>
  <c r="I138" i="6"/>
  <c r="H138" i="6"/>
  <c r="J195" i="6" s="1"/>
  <c r="K136" i="6"/>
  <c r="J136" i="6"/>
  <c r="I136" i="6"/>
  <c r="H136" i="6"/>
  <c r="K135" i="6"/>
  <c r="J135" i="6"/>
  <c r="I135" i="6"/>
  <c r="H135" i="6"/>
  <c r="K134" i="6"/>
  <c r="J134" i="6"/>
  <c r="I134" i="6"/>
  <c r="H134" i="6"/>
  <c r="K133" i="6"/>
  <c r="J133" i="6"/>
  <c r="I133" i="6"/>
  <c r="H133" i="6"/>
  <c r="K132" i="6"/>
  <c r="J132" i="6"/>
  <c r="I132" i="6"/>
  <c r="H132" i="6"/>
  <c r="K131" i="6"/>
  <c r="J131" i="6"/>
  <c r="I131" i="6"/>
  <c r="H131" i="6"/>
  <c r="K130" i="6"/>
  <c r="J130" i="6"/>
  <c r="I130" i="6"/>
  <c r="H130" i="6"/>
  <c r="K129" i="6"/>
  <c r="J129" i="6"/>
  <c r="I129" i="6"/>
  <c r="H129" i="6"/>
  <c r="K128" i="6"/>
  <c r="J128" i="6"/>
  <c r="I128" i="6"/>
  <c r="H128" i="6"/>
  <c r="K127" i="6"/>
  <c r="J127" i="6"/>
  <c r="I127" i="6"/>
  <c r="H127" i="6"/>
  <c r="K126" i="6"/>
  <c r="J126" i="6"/>
  <c r="I126" i="6"/>
  <c r="H126" i="6"/>
  <c r="K125" i="6"/>
  <c r="J125" i="6"/>
  <c r="I125" i="6"/>
  <c r="H125" i="6"/>
  <c r="K124" i="6"/>
  <c r="J124" i="6"/>
  <c r="I124" i="6"/>
  <c r="H124" i="6"/>
  <c r="K123" i="6"/>
  <c r="J123" i="6"/>
  <c r="I123" i="6"/>
  <c r="H123" i="6"/>
  <c r="K121" i="6"/>
  <c r="J121" i="6"/>
  <c r="I121" i="6"/>
  <c r="H121" i="6"/>
  <c r="K120" i="6"/>
  <c r="J120" i="6"/>
  <c r="I120" i="6"/>
  <c r="H120" i="6"/>
  <c r="K119" i="6"/>
  <c r="J119" i="6"/>
  <c r="I119" i="6"/>
  <c r="H119" i="6"/>
  <c r="K118" i="6"/>
  <c r="J118" i="6"/>
  <c r="I118" i="6"/>
  <c r="H118" i="6"/>
  <c r="K117" i="6"/>
  <c r="J117" i="6"/>
  <c r="I117" i="6"/>
  <c r="H117" i="6"/>
  <c r="K116" i="6"/>
  <c r="J116" i="6"/>
  <c r="I116" i="6"/>
  <c r="H116" i="6"/>
  <c r="K115" i="6"/>
  <c r="J115" i="6"/>
  <c r="I115" i="6"/>
  <c r="H115" i="6"/>
  <c r="K114" i="6"/>
  <c r="J114" i="6"/>
  <c r="I114" i="6"/>
  <c r="H114" i="6"/>
  <c r="K113" i="6"/>
  <c r="J113" i="6"/>
  <c r="I113" i="6"/>
  <c r="H113" i="6"/>
  <c r="K112" i="6"/>
  <c r="J112" i="6"/>
  <c r="I112" i="6"/>
  <c r="H112" i="6"/>
  <c r="K111" i="6"/>
  <c r="J111" i="6"/>
  <c r="I111" i="6"/>
  <c r="H111" i="6"/>
  <c r="K110" i="6"/>
  <c r="J110" i="6"/>
  <c r="I110" i="6"/>
  <c r="H110" i="6"/>
  <c r="K109" i="6"/>
  <c r="J109" i="6"/>
  <c r="I109" i="6"/>
  <c r="H109" i="6"/>
  <c r="K108" i="6"/>
  <c r="J108" i="6"/>
  <c r="I108" i="6"/>
  <c r="H108" i="6"/>
  <c r="K106" i="6"/>
  <c r="J106" i="6"/>
  <c r="I106" i="6"/>
  <c r="H106" i="6"/>
  <c r="K105" i="6"/>
  <c r="J105" i="6"/>
  <c r="I105" i="6"/>
  <c r="H105" i="6"/>
  <c r="K104" i="6"/>
  <c r="J104" i="6"/>
  <c r="I104" i="6"/>
  <c r="H104" i="6"/>
  <c r="K103" i="6"/>
  <c r="J103" i="6"/>
  <c r="I103" i="6"/>
  <c r="H103" i="6"/>
  <c r="K102" i="6"/>
  <c r="J102" i="6"/>
  <c r="I102" i="6"/>
  <c r="H102" i="6"/>
  <c r="K101" i="6"/>
  <c r="J101" i="6"/>
  <c r="I101" i="6"/>
  <c r="H101" i="6"/>
  <c r="K100" i="6"/>
  <c r="J100" i="6"/>
  <c r="I100" i="6"/>
  <c r="H100" i="6"/>
  <c r="K99" i="6"/>
  <c r="J99" i="6"/>
  <c r="I99" i="6"/>
  <c r="H99" i="6"/>
  <c r="K98" i="6"/>
  <c r="J98" i="6"/>
  <c r="I98" i="6"/>
  <c r="H98" i="6"/>
  <c r="K97" i="6"/>
  <c r="J97" i="6"/>
  <c r="I97" i="6"/>
  <c r="H97" i="6"/>
  <c r="K96" i="6"/>
  <c r="J96" i="6"/>
  <c r="I96" i="6"/>
  <c r="H96" i="6"/>
  <c r="K95" i="6"/>
  <c r="J95" i="6"/>
  <c r="I95" i="6"/>
  <c r="H95" i="6"/>
  <c r="K94" i="6"/>
  <c r="J94" i="6"/>
  <c r="I94" i="6"/>
  <c r="H94" i="6"/>
  <c r="K93" i="6"/>
  <c r="J93" i="6"/>
  <c r="I93" i="6"/>
  <c r="H93" i="6"/>
  <c r="K91" i="6"/>
  <c r="J91" i="6"/>
  <c r="I91" i="6"/>
  <c r="H91" i="6"/>
  <c r="K90" i="6"/>
  <c r="J90" i="6"/>
  <c r="I90" i="6"/>
  <c r="H90" i="6"/>
  <c r="K89" i="6"/>
  <c r="J89" i="6"/>
  <c r="I89" i="6"/>
  <c r="H89" i="6"/>
  <c r="K88" i="6"/>
  <c r="J88" i="6"/>
  <c r="I88" i="6"/>
  <c r="H88" i="6"/>
  <c r="K87" i="6"/>
  <c r="J87" i="6"/>
  <c r="I87" i="6"/>
  <c r="H87" i="6"/>
  <c r="K86" i="6"/>
  <c r="J86" i="6"/>
  <c r="I86" i="6"/>
  <c r="H86" i="6"/>
  <c r="K85" i="6"/>
  <c r="J85" i="6"/>
  <c r="I85" i="6"/>
  <c r="H85" i="6"/>
  <c r="K84" i="6"/>
  <c r="J84" i="6"/>
  <c r="I84" i="6"/>
  <c r="H84" i="6"/>
  <c r="K83" i="6"/>
  <c r="J83" i="6"/>
  <c r="I83" i="6"/>
  <c r="H83" i="6"/>
  <c r="K82" i="6"/>
  <c r="J82" i="6"/>
  <c r="I82" i="6"/>
  <c r="H82" i="6"/>
  <c r="K81" i="6"/>
  <c r="J81" i="6"/>
  <c r="I81" i="6"/>
  <c r="H81" i="6"/>
  <c r="K80" i="6"/>
  <c r="J80" i="6"/>
  <c r="I80" i="6"/>
  <c r="H80" i="6"/>
  <c r="K79" i="6"/>
  <c r="J79" i="6"/>
  <c r="I79" i="6"/>
  <c r="H79" i="6"/>
  <c r="K78" i="6"/>
  <c r="J78" i="6"/>
  <c r="I78" i="6"/>
  <c r="H78" i="6"/>
  <c r="K76" i="6"/>
  <c r="J76" i="6"/>
  <c r="I76" i="6"/>
  <c r="H76" i="6"/>
  <c r="K75" i="6"/>
  <c r="J75" i="6"/>
  <c r="I75" i="6"/>
  <c r="H75" i="6"/>
  <c r="K74" i="6"/>
  <c r="J74" i="6"/>
  <c r="I74" i="6"/>
  <c r="H74" i="6"/>
  <c r="K73" i="6"/>
  <c r="J73" i="6"/>
  <c r="I73" i="6"/>
  <c r="H73" i="6"/>
  <c r="K72" i="6"/>
  <c r="J72" i="6"/>
  <c r="I72" i="6"/>
  <c r="H72" i="6"/>
  <c r="K71" i="6"/>
  <c r="J71" i="6"/>
  <c r="I71" i="6"/>
  <c r="H71" i="6"/>
  <c r="K70" i="6"/>
  <c r="J70" i="6"/>
  <c r="I70" i="6"/>
  <c r="H70" i="6"/>
  <c r="K69" i="6"/>
  <c r="J69" i="6"/>
  <c r="I69" i="6"/>
  <c r="H69" i="6"/>
  <c r="K68" i="6"/>
  <c r="J68" i="6"/>
  <c r="I68" i="6"/>
  <c r="H68" i="6"/>
  <c r="K67" i="6"/>
  <c r="J67" i="6"/>
  <c r="I67" i="6"/>
  <c r="H67" i="6"/>
  <c r="K66" i="6"/>
  <c r="J66" i="6"/>
  <c r="I66" i="6"/>
  <c r="H66" i="6"/>
  <c r="K65" i="6"/>
  <c r="J65" i="6"/>
  <c r="I65" i="6"/>
  <c r="H65" i="6"/>
  <c r="K64" i="6"/>
  <c r="J64" i="6"/>
  <c r="I64" i="6"/>
  <c r="H64" i="6"/>
  <c r="K63" i="6"/>
  <c r="J63" i="6"/>
  <c r="I63" i="6"/>
  <c r="H63" i="6"/>
  <c r="K61" i="6"/>
  <c r="J61" i="6"/>
  <c r="I61" i="6"/>
  <c r="H61" i="6"/>
  <c r="K60" i="6"/>
  <c r="J60" i="6"/>
  <c r="I60" i="6"/>
  <c r="H60" i="6"/>
  <c r="K59" i="6"/>
  <c r="J59" i="6"/>
  <c r="I59" i="6"/>
  <c r="H59" i="6"/>
  <c r="K58" i="6"/>
  <c r="J58" i="6"/>
  <c r="I58" i="6"/>
  <c r="H58" i="6"/>
  <c r="K57" i="6"/>
  <c r="J57" i="6"/>
  <c r="I57" i="6"/>
  <c r="H57" i="6"/>
  <c r="K56" i="6"/>
  <c r="J56" i="6"/>
  <c r="I56" i="6"/>
  <c r="H56" i="6"/>
  <c r="K55" i="6"/>
  <c r="J55" i="6"/>
  <c r="I55" i="6"/>
  <c r="H55" i="6"/>
  <c r="K54" i="6"/>
  <c r="J54" i="6"/>
  <c r="I54" i="6"/>
  <c r="H54" i="6"/>
  <c r="K53" i="6"/>
  <c r="J53" i="6"/>
  <c r="I53" i="6"/>
  <c r="H53" i="6"/>
  <c r="K52" i="6"/>
  <c r="J52" i="6"/>
  <c r="I52" i="6"/>
  <c r="H52" i="6"/>
  <c r="K51" i="6"/>
  <c r="J51" i="6"/>
  <c r="I51" i="6"/>
  <c r="H51" i="6"/>
  <c r="K50" i="6"/>
  <c r="J50" i="6"/>
  <c r="I50" i="6"/>
  <c r="H50" i="6"/>
  <c r="K49" i="6"/>
  <c r="J49" i="6"/>
  <c r="I49" i="6"/>
  <c r="H49" i="6"/>
  <c r="K48" i="6"/>
  <c r="J48" i="6"/>
  <c r="I48" i="6"/>
  <c r="H48" i="6"/>
  <c r="K46" i="6"/>
  <c r="J46" i="6"/>
  <c r="I46" i="6"/>
  <c r="H46" i="6"/>
  <c r="K45" i="6"/>
  <c r="J45" i="6"/>
  <c r="I45" i="6"/>
  <c r="H45" i="6"/>
  <c r="K44" i="6"/>
  <c r="J44" i="6"/>
  <c r="I44" i="6"/>
  <c r="H44" i="6"/>
  <c r="K43" i="6"/>
  <c r="J43" i="6"/>
  <c r="I43" i="6"/>
  <c r="H43" i="6"/>
  <c r="K42" i="6"/>
  <c r="J42" i="6"/>
  <c r="I42" i="6"/>
  <c r="H42" i="6"/>
  <c r="K41" i="6"/>
  <c r="J41" i="6"/>
  <c r="I41" i="6"/>
  <c r="H41" i="6"/>
  <c r="K40" i="6"/>
  <c r="J40" i="6"/>
  <c r="I40" i="6"/>
  <c r="H40" i="6"/>
  <c r="K39" i="6"/>
  <c r="J39" i="6"/>
  <c r="I39" i="6"/>
  <c r="H39" i="6"/>
  <c r="K38" i="6"/>
  <c r="J38" i="6"/>
  <c r="I38" i="6"/>
  <c r="H38" i="6"/>
  <c r="K37" i="6"/>
  <c r="J37" i="6"/>
  <c r="I37" i="6"/>
  <c r="H37" i="6"/>
  <c r="K36" i="6"/>
  <c r="J36" i="6"/>
  <c r="I36" i="6"/>
  <c r="H36" i="6"/>
  <c r="K35" i="6"/>
  <c r="J35" i="6"/>
  <c r="I35" i="6"/>
  <c r="H35" i="6"/>
  <c r="K34" i="6"/>
  <c r="J34" i="6"/>
  <c r="I34" i="6"/>
  <c r="H34" i="6"/>
  <c r="K33" i="6"/>
  <c r="J33" i="6"/>
  <c r="I33" i="6"/>
  <c r="H33" i="6"/>
  <c r="H18" i="6"/>
  <c r="H23" i="6"/>
  <c r="K31" i="6"/>
  <c r="J31" i="6"/>
  <c r="I31" i="6"/>
  <c r="H31" i="6"/>
  <c r="K30" i="6"/>
  <c r="J30" i="6"/>
  <c r="I30" i="6"/>
  <c r="H30" i="6"/>
  <c r="K29" i="6"/>
  <c r="J29" i="6"/>
  <c r="I29" i="6"/>
  <c r="H29" i="6"/>
  <c r="K28" i="6"/>
  <c r="J28" i="6"/>
  <c r="I28" i="6"/>
  <c r="H28" i="6"/>
  <c r="K27" i="6"/>
  <c r="J27" i="6"/>
  <c r="I27" i="6"/>
  <c r="H27" i="6"/>
  <c r="K26" i="6"/>
  <c r="J26" i="6"/>
  <c r="I26" i="6"/>
  <c r="H26" i="6"/>
  <c r="K25" i="6"/>
  <c r="J25" i="6"/>
  <c r="I25" i="6"/>
  <c r="H25" i="6"/>
  <c r="K24" i="6"/>
  <c r="J24" i="6"/>
  <c r="I24" i="6"/>
  <c r="H24" i="6"/>
  <c r="K23" i="6"/>
  <c r="J23" i="6"/>
  <c r="I23" i="6"/>
  <c r="K22" i="6"/>
  <c r="J22" i="6"/>
  <c r="I22" i="6"/>
  <c r="H22" i="6"/>
  <c r="K21" i="6"/>
  <c r="J21" i="6"/>
  <c r="I21" i="6"/>
  <c r="H21" i="6"/>
  <c r="K20" i="6"/>
  <c r="J20" i="6"/>
  <c r="I20" i="6"/>
  <c r="H20" i="6"/>
  <c r="K19" i="6"/>
  <c r="J19" i="6"/>
  <c r="I19" i="6"/>
  <c r="H19" i="6"/>
  <c r="K18" i="6"/>
  <c r="J18" i="6"/>
  <c r="I18" i="6"/>
  <c r="J189" i="6"/>
  <c r="I199" i="6"/>
  <c r="I198" i="6"/>
  <c r="I197" i="6"/>
  <c r="I196" i="6"/>
  <c r="I195" i="6"/>
  <c r="I194" i="6"/>
  <c r="I193" i="6"/>
  <c r="I192" i="6"/>
  <c r="I191" i="6"/>
  <c r="I190" i="6"/>
  <c r="I189" i="6"/>
  <c r="I188" i="6"/>
  <c r="I187" i="6"/>
  <c r="I186" i="6"/>
  <c r="H199" i="6"/>
  <c r="H198" i="6"/>
  <c r="H197" i="6"/>
  <c r="H196" i="6"/>
  <c r="H195" i="6"/>
  <c r="H194" i="6"/>
  <c r="H193" i="6"/>
  <c r="H192" i="6"/>
  <c r="H191" i="6"/>
  <c r="H190" i="6"/>
  <c r="H189" i="6"/>
  <c r="H188" i="6"/>
  <c r="H187" i="6"/>
  <c r="H186" i="6"/>
  <c r="H133" i="1"/>
  <c r="C134" i="1"/>
  <c r="C133" i="1"/>
  <c r="C132" i="1"/>
  <c r="C131" i="1"/>
  <c r="C130" i="1"/>
  <c r="C129" i="1"/>
  <c r="C128" i="1"/>
  <c r="C127" i="1"/>
  <c r="C126" i="1"/>
  <c r="C125" i="1"/>
  <c r="C124" i="1"/>
  <c r="C123" i="1"/>
  <c r="C122" i="1"/>
  <c r="B134" i="1"/>
  <c r="B133" i="1"/>
  <c r="B132" i="1"/>
  <c r="B131" i="1"/>
  <c r="B130" i="1"/>
  <c r="B129" i="1"/>
  <c r="B128" i="1"/>
  <c r="B127" i="1"/>
  <c r="B126" i="1"/>
  <c r="B125" i="1"/>
  <c r="B124" i="1"/>
  <c r="B123" i="1"/>
  <c r="B122" i="1"/>
  <c r="B149" i="1"/>
  <c r="C149" i="1"/>
  <c r="C151" i="1"/>
  <c r="C150" i="1"/>
  <c r="D162" i="1"/>
  <c r="C159" i="1"/>
  <c r="D208" i="1"/>
  <c r="B196" i="1"/>
  <c r="B186" i="1"/>
  <c r="B185" i="1"/>
  <c r="B184" i="1"/>
  <c r="B64" i="1"/>
  <c r="C55" i="1"/>
  <c r="C148" i="1" l="1"/>
  <c r="F64" i="1"/>
  <c r="E196" i="6"/>
  <c r="E197" i="6"/>
  <c r="E194" i="6"/>
  <c r="E199" i="6" s="1"/>
  <c r="E198" i="6"/>
  <c r="E195" i="6"/>
  <c r="J186" i="6"/>
  <c r="J190" i="6"/>
  <c r="J187" i="6"/>
  <c r="J192" i="6"/>
  <c r="J188" i="6"/>
  <c r="J193" i="6"/>
  <c r="J199" i="6" s="1"/>
  <c r="J194" i="6"/>
  <c r="J191" i="6"/>
  <c r="J197" i="6" s="1"/>
  <c r="J196" i="6"/>
  <c r="C52" i="1"/>
  <c r="C53" i="1"/>
  <c r="C54" i="1"/>
  <c r="C56" i="1"/>
  <c r="C57" i="1"/>
  <c r="C58" i="1"/>
  <c r="C59" i="1"/>
  <c r="C60" i="1"/>
  <c r="C61" i="1"/>
  <c r="C62" i="1"/>
  <c r="C63" i="1"/>
  <c r="C64" i="1"/>
  <c r="E200" i="6" l="1"/>
  <c r="J198" i="6"/>
  <c r="J200" i="6" s="1"/>
  <c r="B36" i="1" a="1"/>
  <c r="B36" i="1" s="1"/>
  <c r="C167" i="1" s="1"/>
  <c r="B19" i="2"/>
  <c r="B37" i="1" l="1"/>
  <c r="C168" i="1" s="1"/>
  <c r="B183" i="1"/>
  <c r="B182" i="1"/>
  <c r="B51" i="1"/>
  <c r="D160" i="13"/>
  <c r="D147" i="13"/>
  <c r="D134" i="13"/>
  <c r="D121" i="13"/>
  <c r="D108" i="13"/>
  <c r="D95" i="13"/>
  <c r="D82" i="13"/>
  <c r="D69" i="13"/>
  <c r="D56" i="13"/>
  <c r="D43" i="13"/>
  <c r="D30" i="13"/>
  <c r="D17" i="13"/>
  <c r="B18" i="13"/>
  <c r="B5" i="13"/>
  <c r="G16" i="13"/>
  <c r="G15" i="13"/>
  <c r="G14" i="13"/>
  <c r="G13" i="13"/>
  <c r="G12" i="13"/>
  <c r="G11" i="13"/>
  <c r="G10" i="13"/>
  <c r="G9" i="13"/>
  <c r="G8" i="13"/>
  <c r="G7" i="13"/>
  <c r="G6" i="13"/>
  <c r="G5" i="13"/>
  <c r="D61" i="2"/>
  <c r="D60" i="2"/>
  <c r="D59" i="2"/>
  <c r="D58" i="2"/>
  <c r="D57" i="2"/>
  <c r="D56" i="2"/>
  <c r="B63" i="1"/>
  <c r="B62" i="1"/>
  <c r="B61" i="1"/>
  <c r="B60" i="1"/>
  <c r="B59" i="1"/>
  <c r="B58" i="1"/>
  <c r="B57" i="1"/>
  <c r="B56" i="1"/>
  <c r="B55" i="1"/>
  <c r="B54" i="1"/>
  <c r="B53" i="1"/>
  <c r="B52" i="1"/>
  <c r="C51" i="1"/>
  <c r="C50" i="1"/>
  <c r="B50" i="1"/>
  <c r="C181" i="1" s="1"/>
  <c r="C49" i="1"/>
  <c r="B49" i="1"/>
  <c r="C180" i="1" s="1"/>
  <c r="C48" i="1"/>
  <c r="B48" i="1"/>
  <c r="C179" i="1" s="1"/>
  <c r="C47" i="1"/>
  <c r="B47" i="1"/>
  <c r="C178" i="1" s="1"/>
  <c r="C46" i="1"/>
  <c r="B46" i="1"/>
  <c r="C177" i="1" s="1"/>
  <c r="C45" i="1"/>
  <c r="B45" i="1"/>
  <c r="C176" i="1" s="1"/>
  <c r="C44" i="1"/>
  <c r="B44" i="1"/>
  <c r="C175" i="1" s="1"/>
  <c r="C43" i="1"/>
  <c r="B43" i="1"/>
  <c r="C174" i="1" s="1"/>
  <c r="C42" i="1"/>
  <c r="B42" i="1"/>
  <c r="C173" i="1" s="1"/>
  <c r="C41" i="1"/>
  <c r="B41" i="1"/>
  <c r="C172" i="1" s="1"/>
  <c r="C40" i="1"/>
  <c r="B40" i="1"/>
  <c r="C171" i="1" s="1"/>
  <c r="C39" i="1"/>
  <c r="B39" i="1"/>
  <c r="C170" i="1" s="1"/>
  <c r="C38" i="1"/>
  <c r="B38" i="1"/>
  <c r="C169" i="1" s="1"/>
  <c r="C37" i="1"/>
  <c r="H9" i="1"/>
  <c r="H8" i="1"/>
  <c r="H7" i="1"/>
  <c r="C49" i="12"/>
  <c r="C45" i="12"/>
  <c r="C41" i="12"/>
  <c r="C37" i="12"/>
  <c r="C33" i="12"/>
  <c r="C25" i="12"/>
  <c r="C17" i="12"/>
  <c r="C13" i="12"/>
  <c r="C9" i="12"/>
  <c r="C5" i="12"/>
  <c r="C29" i="12"/>
  <c r="B181" i="1"/>
  <c r="B180" i="1"/>
  <c r="B179" i="1"/>
  <c r="B178" i="1"/>
  <c r="B177" i="1"/>
  <c r="B176" i="1"/>
  <c r="B175" i="1"/>
  <c r="B174" i="1"/>
  <c r="B173" i="1"/>
  <c r="B172" i="1"/>
  <c r="B171" i="1"/>
  <c r="B170" i="1"/>
  <c r="B169" i="1"/>
  <c r="B167" i="1"/>
  <c r="B159" i="1"/>
  <c r="B158" i="1"/>
  <c r="B157" i="1"/>
  <c r="B156" i="1"/>
  <c r="B155" i="1"/>
  <c r="B154" i="1"/>
  <c r="B153" i="1"/>
  <c r="B152" i="1"/>
  <c r="B151" i="1"/>
  <c r="B150" i="1"/>
  <c r="B148" i="1"/>
  <c r="B147" i="1"/>
  <c r="B146" i="1"/>
  <c r="B145" i="1"/>
  <c r="B144" i="1"/>
  <c r="B143" i="1"/>
  <c r="B142" i="1"/>
  <c r="B141" i="1"/>
  <c r="B140" i="1"/>
  <c r="B139" i="1"/>
  <c r="B138" i="1"/>
  <c r="B137" i="1"/>
  <c r="B136" i="1"/>
  <c r="B135" i="1"/>
  <c r="C139" i="1" l="1"/>
  <c r="C143" i="1"/>
  <c r="C147" i="1"/>
  <c r="C136" i="1"/>
  <c r="C140" i="1"/>
  <c r="C144" i="1"/>
  <c r="C137" i="1"/>
  <c r="C141" i="1"/>
  <c r="C145" i="1"/>
  <c r="C138" i="1"/>
  <c r="C142" i="1"/>
  <c r="C146" i="1"/>
  <c r="C135" i="1"/>
  <c r="F52" i="1"/>
  <c r="F56" i="1"/>
  <c r="F60" i="1"/>
  <c r="F38" i="1"/>
  <c r="H169" i="1" s="1"/>
  <c r="E40" i="1"/>
  <c r="F42" i="1"/>
  <c r="H173" i="1" s="1"/>
  <c r="E44" i="1"/>
  <c r="F46" i="1"/>
  <c r="H177" i="1" s="1"/>
  <c r="E48" i="1"/>
  <c r="F50" i="1"/>
  <c r="H181" i="1" s="1"/>
  <c r="E53" i="1"/>
  <c r="F57" i="1"/>
  <c r="F61" i="1"/>
  <c r="F54" i="1"/>
  <c r="E58" i="1"/>
  <c r="E62" i="1"/>
  <c r="F39" i="1"/>
  <c r="H170" i="1" s="1"/>
  <c r="F41" i="1"/>
  <c r="H172" i="1" s="1"/>
  <c r="F43" i="1"/>
  <c r="H174" i="1" s="1"/>
  <c r="F45" i="1"/>
  <c r="H176" i="1" s="1"/>
  <c r="F47" i="1"/>
  <c r="H178" i="1" s="1"/>
  <c r="F49" i="1"/>
  <c r="H180" i="1" s="1"/>
  <c r="F59" i="1"/>
  <c r="F63" i="1"/>
  <c r="C157" i="1" a="1"/>
  <c r="C157" i="1" s="1"/>
  <c r="C155" i="1" a="1"/>
  <c r="C155" i="1" s="1"/>
  <c r="C156" i="1" a="1"/>
  <c r="C156" i="1" s="1"/>
  <c r="C158" i="1" a="1"/>
  <c r="C158" i="1" s="1"/>
  <c r="F51" i="1"/>
  <c r="F37" i="1"/>
  <c r="H168" i="1" s="1"/>
  <c r="E52" i="1"/>
  <c r="F53" i="1"/>
  <c r="E57" i="1"/>
  <c r="F58" i="1"/>
  <c r="E61" i="1"/>
  <c r="F62" i="1"/>
  <c r="E51" i="1"/>
  <c r="E56" i="1"/>
  <c r="E60" i="1"/>
  <c r="E64" i="1"/>
  <c r="E54" i="1"/>
  <c r="E59" i="1"/>
  <c r="E63" i="1"/>
  <c r="E39" i="1"/>
  <c r="F40" i="1"/>
  <c r="H171" i="1" s="1"/>
  <c r="E43" i="1"/>
  <c r="F44" i="1"/>
  <c r="H175" i="1" s="1"/>
  <c r="E47" i="1"/>
  <c r="F48" i="1"/>
  <c r="H179" i="1" s="1"/>
  <c r="E38" i="1"/>
  <c r="E42" i="1"/>
  <c r="E46" i="1"/>
  <c r="E50" i="1"/>
  <c r="E41" i="1"/>
  <c r="E45" i="1"/>
  <c r="E49" i="1"/>
  <c r="E37" i="1"/>
  <c r="B148" i="13"/>
  <c r="G148" i="13"/>
  <c r="G160" i="13" s="1"/>
  <c r="B135" i="13"/>
  <c r="G135" i="13"/>
  <c r="G147" i="13" s="1"/>
  <c r="B122" i="13"/>
  <c r="G122" i="13"/>
  <c r="G134" i="13" s="1"/>
  <c r="B109" i="13"/>
  <c r="G109" i="13"/>
  <c r="G121" i="13" s="1"/>
  <c r="B96" i="13"/>
  <c r="G96" i="13"/>
  <c r="G108" i="13" s="1"/>
  <c r="B83" i="13"/>
  <c r="G83" i="13"/>
  <c r="G95" i="13" s="1"/>
  <c r="B70" i="13"/>
  <c r="G70" i="13"/>
  <c r="G82" i="13" s="1"/>
  <c r="B57" i="13"/>
  <c r="G57" i="13"/>
  <c r="G69" i="13" s="1"/>
  <c r="B44" i="13"/>
  <c r="G44" i="13"/>
  <c r="G56" i="13" s="1"/>
  <c r="B31" i="13"/>
  <c r="G31" i="13"/>
  <c r="G43" i="13" s="1"/>
  <c r="G18" i="13"/>
  <c r="G30" i="13" s="1"/>
  <c r="G17" i="13"/>
  <c r="G90" i="1" s="1"/>
  <c r="H51" i="1" l="1"/>
  <c r="H135" i="1" s="1"/>
  <c r="H61" i="1"/>
  <c r="H145" i="1" s="1"/>
  <c r="H56" i="1"/>
  <c r="H140" i="1" s="1"/>
  <c r="H62" i="1"/>
  <c r="H146" i="1" s="1"/>
  <c r="H53" i="1"/>
  <c r="H137" i="1" s="1"/>
  <c r="H63" i="1"/>
  <c r="H147" i="1" s="1"/>
  <c r="H57" i="1"/>
  <c r="H141" i="1" s="1"/>
  <c r="H52" i="1"/>
  <c r="H136" i="1" s="1"/>
  <c r="H59" i="1"/>
  <c r="H143" i="1" s="1"/>
  <c r="H64" i="1"/>
  <c r="H148" i="1" s="1"/>
  <c r="H58" i="1"/>
  <c r="H142" i="1" s="1"/>
  <c r="H54" i="1"/>
  <c r="H138" i="1" s="1"/>
  <c r="H60" i="1"/>
  <c r="H144" i="1" s="1"/>
  <c r="D155" i="1"/>
  <c r="D158" i="1"/>
  <c r="D156" i="1"/>
  <c r="D157" i="1"/>
  <c r="G94" i="1"/>
  <c r="G93" i="1"/>
  <c r="G95" i="1"/>
  <c r="G92" i="1"/>
  <c r="G91" i="1"/>
  <c r="H96" i="1"/>
  <c r="F96" i="1"/>
  <c r="E96" i="1"/>
  <c r="B168" i="6"/>
  <c r="B153" i="6"/>
  <c r="B138" i="6"/>
  <c r="B123" i="6"/>
  <c r="B108" i="6"/>
  <c r="B93" i="6"/>
  <c r="B78" i="6"/>
  <c r="B63" i="6"/>
  <c r="B48" i="6"/>
  <c r="B33" i="6"/>
  <c r="B18" i="6"/>
  <c r="B3" i="6"/>
  <c r="H218" i="1" l="1"/>
  <c r="G96" i="1"/>
  <c r="H154" i="1" s="1"/>
  <c r="F55" i="1" l="1"/>
  <c r="E55" i="1"/>
  <c r="M4" i="11"/>
  <c r="N4" i="11" s="1"/>
  <c r="L4" i="11"/>
  <c r="L3" i="11"/>
  <c r="M3" i="11" s="1"/>
  <c r="N3" i="11" s="1"/>
  <c r="L2" i="11"/>
  <c r="M2" i="11" s="1"/>
  <c r="N2" i="11" s="1"/>
  <c r="H114" i="1"/>
  <c r="H111" i="1"/>
  <c r="F27" i="1"/>
  <c r="F26" i="1"/>
  <c r="G26" i="1" s="1"/>
  <c r="F25" i="1"/>
  <c r="H134" i="1" s="1"/>
  <c r="F23" i="1"/>
  <c r="H132" i="1" s="1"/>
  <c r="F22" i="1"/>
  <c r="H131" i="1" s="1"/>
  <c r="F21" i="1"/>
  <c r="H130" i="1" s="1"/>
  <c r="F20" i="1"/>
  <c r="H129" i="1" s="1"/>
  <c r="F19" i="1"/>
  <c r="H128" i="1" s="1"/>
  <c r="F18" i="1"/>
  <c r="H127" i="1" s="1"/>
  <c r="F17" i="1"/>
  <c r="H126" i="1" s="1"/>
  <c r="F16" i="1"/>
  <c r="H125" i="1" s="1"/>
  <c r="F15" i="1"/>
  <c r="H124" i="1" s="1"/>
  <c r="F14" i="1"/>
  <c r="H123" i="1" s="1"/>
  <c r="F13" i="1"/>
  <c r="H122" i="1" s="1"/>
  <c r="E13" i="1"/>
  <c r="E25" i="1"/>
  <c r="E23" i="1"/>
  <c r="E22" i="1"/>
  <c r="E21" i="1"/>
  <c r="E20" i="1"/>
  <c r="E19" i="1"/>
  <c r="E18" i="1"/>
  <c r="E17" i="1"/>
  <c r="E16" i="1"/>
  <c r="E15" i="1"/>
  <c r="E14" i="1"/>
  <c r="H33" i="1"/>
  <c r="F33" i="1"/>
  <c r="E33" i="1"/>
  <c r="G87" i="1"/>
  <c r="G86" i="1"/>
  <c r="G85" i="1"/>
  <c r="G84" i="1"/>
  <c r="H84" i="1" s="1"/>
  <c r="G83" i="1"/>
  <c r="H83" i="1" s="1"/>
  <c r="G82" i="1"/>
  <c r="H82" i="1" s="1"/>
  <c r="G81" i="1"/>
  <c r="H81" i="1" s="1"/>
  <c r="G80" i="1"/>
  <c r="B78" i="1" a="1"/>
  <c r="B78" i="1" s="1"/>
  <c r="C189" i="1" s="1"/>
  <c r="G30" i="1"/>
  <c r="D19" i="2"/>
  <c r="D20" i="2" s="1"/>
  <c r="D21" i="2" s="1"/>
  <c r="D22" i="2" s="1"/>
  <c r="D23" i="2" s="1"/>
  <c r="D24" i="2" s="1"/>
  <c r="D25" i="2" s="1"/>
  <c r="D26" i="2" s="1"/>
  <c r="D27" i="2" s="1"/>
  <c r="D28" i="2" s="1"/>
  <c r="D29" i="2" s="1"/>
  <c r="C19" i="2"/>
  <c r="C20" i="2" s="1"/>
  <c r="C21" i="2" s="1"/>
  <c r="C22" i="2" s="1"/>
  <c r="C23" i="2" s="1"/>
  <c r="C24" i="2" s="1"/>
  <c r="C25" i="2" s="1"/>
  <c r="C26" i="2" s="1"/>
  <c r="C27" i="2" s="1"/>
  <c r="C28" i="2" s="1"/>
  <c r="C29" i="2" s="1"/>
  <c r="B20" i="2"/>
  <c r="C8" i="12"/>
  <c r="C12" i="12" s="1"/>
  <c r="C16" i="12" s="1"/>
  <c r="C20" i="12" s="1"/>
  <c r="C24" i="12" s="1"/>
  <c r="C28" i="12" s="1"/>
  <c r="C32" i="12" s="1"/>
  <c r="C36" i="12" s="1"/>
  <c r="C40" i="12" s="1"/>
  <c r="C44" i="12" s="1"/>
  <c r="C48" i="12" s="1"/>
  <c r="C50" i="12"/>
  <c r="C46" i="12"/>
  <c r="C42" i="12"/>
  <c r="C38" i="12"/>
  <c r="C34" i="12"/>
  <c r="C30" i="12"/>
  <c r="C26" i="12"/>
  <c r="C22" i="12"/>
  <c r="C21" i="12"/>
  <c r="C18" i="12"/>
  <c r="C14" i="12"/>
  <c r="C10" i="12"/>
  <c r="C6" i="12"/>
  <c r="G32" i="1" s="1"/>
  <c r="G31" i="1"/>
  <c r="H80" i="1" l="1"/>
  <c r="H55" i="1"/>
  <c r="H139" i="1" s="1"/>
  <c r="B21" i="2"/>
  <c r="B23" i="2" s="1"/>
  <c r="B24" i="2" s="1"/>
  <c r="B25" i="2" s="1"/>
  <c r="B26" i="2" s="1"/>
  <c r="B27" i="2" s="1"/>
  <c r="B28" i="2" s="1"/>
  <c r="B29" i="2" s="1"/>
  <c r="D8" i="1"/>
  <c r="H85" i="1"/>
  <c r="H86" i="1"/>
  <c r="H87" i="1"/>
  <c r="G17" i="1"/>
  <c r="G21" i="1"/>
  <c r="G16" i="1"/>
  <c r="G20" i="1"/>
  <c r="G25" i="1"/>
  <c r="G15" i="1"/>
  <c r="G19" i="1"/>
  <c r="G23" i="1"/>
  <c r="F15" i="11"/>
  <c r="G27" i="1" s="1"/>
  <c r="D9" i="1"/>
  <c r="G3" i="9" s="1"/>
  <c r="B82" i="1"/>
  <c r="C193" i="1" s="1"/>
  <c r="B81" i="1"/>
  <c r="C192" i="1" s="1"/>
  <c r="B84" i="1"/>
  <c r="C195" i="1" s="1"/>
  <c r="B80" i="1"/>
  <c r="C191" i="1" s="1"/>
  <c r="B83" i="1"/>
  <c r="C194" i="1" s="1"/>
  <c r="G13" i="1"/>
  <c r="G14" i="1"/>
  <c r="G18" i="1"/>
  <c r="G22" i="1"/>
  <c r="G33" i="1"/>
  <c r="H153" i="1" s="1"/>
  <c r="D5" i="1"/>
  <c r="H28" i="1"/>
  <c r="H98" i="1" s="1"/>
  <c r="F28" i="1"/>
  <c r="E28" i="1"/>
  <c r="B2" i="11"/>
  <c r="N75" i="1"/>
  <c r="H6" i="1"/>
  <c r="A49" i="8"/>
  <c r="A48" i="8"/>
  <c r="A45" i="8"/>
  <c r="A44" i="8"/>
  <c r="A41" i="8"/>
  <c r="A40" i="8"/>
  <c r="A37" i="8"/>
  <c r="A36" i="8"/>
  <c r="A33" i="8"/>
  <c r="A32" i="8"/>
  <c r="A29" i="8"/>
  <c r="A28" i="8"/>
  <c r="A25" i="8"/>
  <c r="A24" i="8"/>
  <c r="A21" i="8"/>
  <c r="A20" i="8"/>
  <c r="A17" i="8"/>
  <c r="A16" i="8"/>
  <c r="A13" i="8"/>
  <c r="A12" i="8"/>
  <c r="A9" i="8"/>
  <c r="A8" i="8"/>
  <c r="F74" i="1"/>
  <c r="H187" i="1" s="1"/>
  <c r="F75" i="1"/>
  <c r="H188" i="1" s="1"/>
  <c r="E75" i="1"/>
  <c r="E76" i="1" s="1"/>
  <c r="G75" i="1"/>
  <c r="K40" i="9"/>
  <c r="G4" i="9"/>
  <c r="H4" i="9" s="1"/>
  <c r="H151" i="1" l="1"/>
  <c r="H156" i="1"/>
  <c r="H155" i="1"/>
  <c r="H157" i="1"/>
  <c r="H158" i="1"/>
  <c r="G34" i="1"/>
  <c r="E78" i="1"/>
  <c r="E79" i="1"/>
  <c r="F36" i="1"/>
  <c r="H167" i="1" s="1"/>
  <c r="F79" i="1"/>
  <c r="H190" i="1" s="1"/>
  <c r="E36" i="1"/>
  <c r="F78" i="1"/>
  <c r="H189" i="1" s="1"/>
  <c r="H219" i="1" s="1"/>
  <c r="G28" i="1"/>
  <c r="F76" i="1"/>
  <c r="E98" i="1"/>
  <c r="F98" i="1"/>
  <c r="H3" i="9"/>
  <c r="H75" i="1"/>
  <c r="G98" i="1" l="1"/>
  <c r="H152" i="1"/>
  <c r="H215" i="1" s="1"/>
  <c r="G72" i="1"/>
  <c r="F70" i="1" s="1"/>
  <c r="H149" i="1" s="1"/>
  <c r="H216" i="1" s="1"/>
  <c r="G79" i="1"/>
  <c r="H79" i="1" s="1"/>
  <c r="E88" i="1"/>
  <c r="F88" i="1"/>
  <c r="G78" i="1"/>
  <c r="E16" i="9"/>
  <c r="E20" i="9" s="1"/>
  <c r="E24" i="9" s="1"/>
  <c r="E28" i="9" s="1"/>
  <c r="E32" i="9" s="1"/>
  <c r="E36" i="9" s="1"/>
  <c r="E40" i="9" s="1"/>
  <c r="E44" i="9" s="1"/>
  <c r="E48" i="9" s="1"/>
  <c r="E12" i="9"/>
  <c r="E8" i="9"/>
  <c r="F8" i="9"/>
  <c r="F7" i="9"/>
  <c r="F11" i="9" s="1"/>
  <c r="E7" i="9"/>
  <c r="E11" i="9" s="1"/>
  <c r="E13" i="8"/>
  <c r="E17" i="8" s="1"/>
  <c r="E21" i="8" s="1"/>
  <c r="E25" i="8" s="1"/>
  <c r="E29" i="8" s="1"/>
  <c r="E33" i="8" s="1"/>
  <c r="E37" i="8" s="1"/>
  <c r="E41" i="8" s="1"/>
  <c r="E45" i="8" s="1"/>
  <c r="E49" i="8" s="1"/>
  <c r="F9" i="8"/>
  <c r="F13" i="8" s="1"/>
  <c r="F17" i="8" s="1"/>
  <c r="F21" i="8" s="1"/>
  <c r="F25" i="8" s="1"/>
  <c r="F29" i="8" s="1"/>
  <c r="F33" i="8" s="1"/>
  <c r="F37" i="8" s="1"/>
  <c r="F41" i="8" s="1"/>
  <c r="F45" i="8" s="1"/>
  <c r="F49" i="8" s="1"/>
  <c r="F8" i="8"/>
  <c r="F12" i="8" s="1"/>
  <c r="F16" i="8" s="1"/>
  <c r="F20" i="8" s="1"/>
  <c r="F24" i="8" s="1"/>
  <c r="F28" i="8" s="1"/>
  <c r="F32" i="8" s="1"/>
  <c r="F36" i="8" s="1"/>
  <c r="F40" i="8" s="1"/>
  <c r="F44" i="8" s="1"/>
  <c r="F48" i="8" s="1"/>
  <c r="E9" i="8"/>
  <c r="E8" i="8"/>
  <c r="E12" i="8" s="1"/>
  <c r="E16" i="8" s="1"/>
  <c r="E20" i="8" s="1"/>
  <c r="E24" i="8" s="1"/>
  <c r="E28" i="8" s="1"/>
  <c r="E32" i="8" s="1"/>
  <c r="E36" i="8" s="1"/>
  <c r="E40" i="8" s="1"/>
  <c r="E44" i="8" s="1"/>
  <c r="E48" i="8" s="1"/>
  <c r="D9" i="8"/>
  <c r="D13" i="8" s="1"/>
  <c r="D17" i="8" s="1"/>
  <c r="D21" i="8" s="1"/>
  <c r="D25" i="8" s="1"/>
  <c r="D29" i="8" s="1"/>
  <c r="D33" i="8" s="1"/>
  <c r="D37" i="8" s="1"/>
  <c r="D41" i="8" s="1"/>
  <c r="D45" i="8" s="1"/>
  <c r="D49" i="8" s="1"/>
  <c r="D8" i="8"/>
  <c r="D12" i="8" s="1"/>
  <c r="D16" i="8" s="1"/>
  <c r="D20" i="8" s="1"/>
  <c r="D24" i="8" s="1"/>
  <c r="D28" i="8" s="1"/>
  <c r="D32" i="8" s="1"/>
  <c r="D36" i="8" s="1"/>
  <c r="D40" i="8" s="1"/>
  <c r="D44" i="8" s="1"/>
  <c r="D48" i="8" s="1"/>
  <c r="C9" i="8"/>
  <c r="C13" i="8" s="1"/>
  <c r="C17" i="8" s="1"/>
  <c r="C21" i="8" s="1"/>
  <c r="C25" i="8" s="1"/>
  <c r="C29" i="8" s="1"/>
  <c r="C33" i="8" s="1"/>
  <c r="C37" i="8" s="1"/>
  <c r="C41" i="8" s="1"/>
  <c r="C45" i="8" s="1"/>
  <c r="C49" i="8" s="1"/>
  <c r="C8" i="8"/>
  <c r="C12" i="8" s="1"/>
  <c r="C16" i="8" s="1"/>
  <c r="C20" i="8" s="1"/>
  <c r="C24" i="8" s="1"/>
  <c r="C28" i="8" s="1"/>
  <c r="C32" i="8" s="1"/>
  <c r="C36" i="8" s="1"/>
  <c r="C40" i="8" s="1"/>
  <c r="C44" i="8" s="1"/>
  <c r="C48" i="8" s="1"/>
  <c r="E2" i="1"/>
  <c r="H10" i="1"/>
  <c r="D6" i="1"/>
  <c r="D10" i="1"/>
  <c r="H5" i="1"/>
  <c r="H4" i="1"/>
  <c r="D4" i="1"/>
  <c r="H2" i="1"/>
  <c r="H3" i="1"/>
  <c r="D3" i="1"/>
  <c r="D7" i="1" s="1" a="1"/>
  <c r="D7" i="1" s="1"/>
  <c r="E120" i="1" l="1"/>
  <c r="E165" i="1"/>
  <c r="G88" i="1"/>
  <c r="F72" i="1"/>
  <c r="H72" i="1"/>
  <c r="H208" i="1"/>
  <c r="F9" i="9"/>
  <c r="H78" i="1"/>
  <c r="H88" i="1" s="1"/>
  <c r="F12" i="9"/>
  <c r="G8" i="9"/>
  <c r="H8" i="9" s="1"/>
  <c r="E13" i="9"/>
  <c r="E15" i="9"/>
  <c r="E9" i="9"/>
  <c r="F13" i="9"/>
  <c r="F15" i="9"/>
  <c r="H116" i="1"/>
  <c r="F115" i="1"/>
  <c r="C117" i="1" s="1"/>
  <c r="F112" i="1"/>
  <c r="F99" i="1" l="1"/>
  <c r="G47" i="9"/>
  <c r="G31" i="9"/>
  <c r="G15" i="9"/>
  <c r="H15" i="9" s="1"/>
  <c r="G7" i="9"/>
  <c r="G35" i="9"/>
  <c r="G43" i="9"/>
  <c r="G27" i="9"/>
  <c r="G11" i="9"/>
  <c r="H11" i="9" s="1"/>
  <c r="G23" i="9"/>
  <c r="K39" i="9"/>
  <c r="G39" i="9"/>
  <c r="G19" i="9"/>
  <c r="F16" i="9"/>
  <c r="G12" i="9"/>
  <c r="E17" i="9"/>
  <c r="E19" i="9"/>
  <c r="F17" i="9"/>
  <c r="F19" i="9"/>
  <c r="F101" i="1" l="1"/>
  <c r="G74" i="1"/>
  <c r="H150" i="1" s="1"/>
  <c r="G220" i="1" s="1"/>
  <c r="G13" i="9"/>
  <c r="H7" i="9"/>
  <c r="H9" i="9" s="1"/>
  <c r="G9" i="9"/>
  <c r="F20" i="9"/>
  <c r="F21" i="9" s="1"/>
  <c r="G16" i="9"/>
  <c r="H16" i="9" s="1"/>
  <c r="H17" i="9" s="1"/>
  <c r="H12" i="9"/>
  <c r="H13" i="9" s="1"/>
  <c r="H19" i="9"/>
  <c r="G17" i="9"/>
  <c r="E21" i="9"/>
  <c r="E23" i="9"/>
  <c r="F23" i="9"/>
  <c r="H217" i="1" l="1"/>
  <c r="G76" i="1"/>
  <c r="F24" i="9"/>
  <c r="G20" i="9"/>
  <c r="H20" i="9" s="1"/>
  <c r="H21" i="9"/>
  <c r="H23" i="9"/>
  <c r="E25" i="9"/>
  <c r="E27" i="9"/>
  <c r="F25" i="9"/>
  <c r="F27" i="9"/>
  <c r="G99" i="1" l="1"/>
  <c r="G101" i="1" s="1"/>
  <c r="H76" i="1"/>
  <c r="H99" i="1" s="1"/>
  <c r="F28" i="9"/>
  <c r="F29" i="9" s="1"/>
  <c r="G24" i="9"/>
  <c r="H24" i="9" s="1"/>
  <c r="H25" i="9" s="1"/>
  <c r="G21" i="9"/>
  <c r="H27" i="9"/>
  <c r="G25" i="9"/>
  <c r="E29" i="9"/>
  <c r="E31" i="9"/>
  <c r="F31" i="9"/>
  <c r="G103" i="1" l="1"/>
  <c r="G108" i="1" s="1"/>
  <c r="G107" i="1" s="1"/>
  <c r="H112" i="1"/>
  <c r="H101" i="1"/>
  <c r="F32" i="9"/>
  <c r="F33" i="9" s="1"/>
  <c r="G28" i="9"/>
  <c r="H28" i="9" s="1"/>
  <c r="H29" i="9"/>
  <c r="G29" i="9"/>
  <c r="H31" i="9"/>
  <c r="E33" i="9"/>
  <c r="E35" i="9"/>
  <c r="F35" i="9"/>
  <c r="H107" i="1" l="1"/>
  <c r="H221" i="1"/>
  <c r="F36" i="9"/>
  <c r="G32" i="9"/>
  <c r="H32" i="9" s="1"/>
  <c r="H33" i="9" s="1"/>
  <c r="H35" i="9"/>
  <c r="E37" i="9"/>
  <c r="E39" i="9"/>
  <c r="F37" i="9"/>
  <c r="F39" i="9"/>
  <c r="H159" i="1" l="1"/>
  <c r="H108" i="1"/>
  <c r="G33" i="9"/>
  <c r="F40" i="9"/>
  <c r="F41" i="9" s="1"/>
  <c r="G36" i="9"/>
  <c r="H36" i="9"/>
  <c r="H37" i="9" s="1"/>
  <c r="G37" i="9"/>
  <c r="H39" i="9"/>
  <c r="E41" i="9"/>
  <c r="E43" i="9"/>
  <c r="F43" i="9"/>
  <c r="G221" i="1" l="1"/>
  <c r="L220" i="1"/>
  <c r="H115" i="1"/>
  <c r="H117" i="1" s="1"/>
  <c r="H162" i="1"/>
  <c r="H210" i="1" s="1"/>
  <c r="F44" i="9"/>
  <c r="G40" i="9"/>
  <c r="H40" i="9" s="1"/>
  <c r="H41" i="9" s="1"/>
  <c r="H43" i="9"/>
  <c r="E45" i="9"/>
  <c r="E47" i="9"/>
  <c r="E49" i="9" s="1"/>
  <c r="F47" i="9"/>
  <c r="G41" i="9" l="1"/>
  <c r="F48" i="9"/>
  <c r="G44" i="9"/>
  <c r="H44" i="9" s="1"/>
  <c r="H45" i="9" s="1"/>
  <c r="F45" i="9"/>
  <c r="H47" i="9"/>
  <c r="G45" i="9" l="1"/>
  <c r="G48" i="9"/>
  <c r="G49" i="9" s="1"/>
  <c r="F49" i="9"/>
  <c r="H48" i="9" l="1"/>
  <c r="H49" i="9" s="1"/>
  <c r="E72" i="1" l="1"/>
  <c r="E99" i="1" s="1"/>
  <c r="E101" i="1" s="1"/>
</calcChain>
</file>

<file path=xl/sharedStrings.xml><?xml version="1.0" encoding="utf-8"?>
<sst xmlns="http://schemas.openxmlformats.org/spreadsheetml/2006/main" count="1081" uniqueCount="280">
  <si>
    <t>Perçu/payé par le bénéficiaire</t>
  </si>
  <si>
    <t>Perçu/payé par le service</t>
  </si>
  <si>
    <t>Droit selon les normes</t>
  </si>
  <si>
    <t>Supplément compte sans garantie</t>
  </si>
  <si>
    <t>Budget d'aide matérielle</t>
  </si>
  <si>
    <t>Bénéficiaire :</t>
  </si>
  <si>
    <t>Année :</t>
  </si>
  <si>
    <t>Mois :</t>
  </si>
  <si>
    <t>Solde du compte d'aide matérielle à fin :</t>
  </si>
  <si>
    <t>Solde du compte sans garantie à fin :</t>
  </si>
  <si>
    <t>Bénéficiaires :</t>
  </si>
  <si>
    <t>No Magic</t>
  </si>
  <si>
    <t>Solde SSC au 1.1.</t>
  </si>
  <si>
    <t>Solde SG au 1.1.</t>
  </si>
  <si>
    <t>Adresse :</t>
  </si>
  <si>
    <t>Etat civil :</t>
  </si>
  <si>
    <t>Date de naissance :</t>
  </si>
  <si>
    <t>Année de création :</t>
  </si>
  <si>
    <t>Article :</t>
  </si>
  <si>
    <t>Commune d'origine :</t>
  </si>
  <si>
    <t>Canton origine :</t>
  </si>
  <si>
    <t>Pays :</t>
  </si>
  <si>
    <t xml:space="preserve">Total des revenus </t>
  </si>
  <si>
    <t>No dossier :</t>
  </si>
  <si>
    <t>AS :</t>
  </si>
  <si>
    <t>Domicile LFA :</t>
  </si>
  <si>
    <t>Domicile LaSoc :</t>
  </si>
  <si>
    <t>Pièce comptable</t>
  </si>
  <si>
    <t>Groupe</t>
  </si>
  <si>
    <t>Groupe :</t>
  </si>
  <si>
    <t xml:space="preserve">Forfait entretien </t>
  </si>
  <si>
    <t>E</t>
  </si>
  <si>
    <t>Revenus</t>
  </si>
  <si>
    <t>A</t>
  </si>
  <si>
    <t>Frais médicaux</t>
  </si>
  <si>
    <t>M</t>
  </si>
  <si>
    <t>Prestations circonstancielles</t>
  </si>
  <si>
    <t>C</t>
  </si>
  <si>
    <t>Frais de logement</t>
  </si>
  <si>
    <t>L</t>
  </si>
  <si>
    <t>Primes maladie (Lamal)</t>
  </si>
  <si>
    <t>PM</t>
  </si>
  <si>
    <t>Frais médicaux / participations</t>
  </si>
  <si>
    <t>Charges locatives</t>
  </si>
  <si>
    <t xml:space="preserve">Total des frais de logement : </t>
  </si>
  <si>
    <t>LAMAL</t>
  </si>
  <si>
    <t>LCA</t>
  </si>
  <si>
    <t>Dcpte part.</t>
  </si>
  <si>
    <t>Total des frais médicaux</t>
  </si>
  <si>
    <t>Compte</t>
  </si>
  <si>
    <t>Forfait</t>
  </si>
  <si>
    <t>Frais de location ou int. Hyp. Sans amortissement</t>
  </si>
  <si>
    <t>Total du forfait :</t>
  </si>
  <si>
    <t>Diminution si non-collaboration (-15 %)</t>
  </si>
  <si>
    <t>Besoins fondamentaux</t>
  </si>
  <si>
    <t>(uniquement sur présentation des justificatifs)(art. 11 ACE 2.5.06)</t>
  </si>
  <si>
    <t>Nourriture, boissons, argent de poche, vêtements, articles pour bébés, chaussures, linges, consommation d'énergie, nettoyages, entretien de l'appartement et des vêtements, taxes déchets, achat de menus articles courants, frais de santé (sans la franchise : médicaments non remboursés par la caisse maladie d'usage courant), prime LCA, frais de transports (y.c. abonnement demi tarif : transports publics locaux) entretien vélo/vélomoteur, communication à distance (téléphone-timbres), loisirs et formation (concessions radio TV rt téléréseau, sport, journaux, jeux, livres, tabac, cinéma, animaux domestiques, frais d'écolage, fournitures scolaires etc.), soins corporels, équipement personnel, boissons prises à l'extérieur, autres (cadeaux, cotisations) assurance ménage</t>
  </si>
  <si>
    <t>Suppléments</t>
  </si>
  <si>
    <t>Revenu de M.</t>
  </si>
  <si>
    <t>Revenu de Mme</t>
  </si>
  <si>
    <t>Rente AI</t>
  </si>
  <si>
    <t>Prestations complémentaires</t>
  </si>
  <si>
    <t>Rente AVS</t>
  </si>
  <si>
    <t>Allocations familiales</t>
  </si>
  <si>
    <t xml:space="preserve">Date </t>
  </si>
  <si>
    <t>Libellé</t>
  </si>
  <si>
    <t>Code</t>
  </si>
  <si>
    <t>Odre de paiement</t>
  </si>
  <si>
    <t>Date du jour :</t>
  </si>
  <si>
    <t>Paiements échelonnés</t>
  </si>
  <si>
    <t>Janvier</t>
  </si>
  <si>
    <t>Février</t>
  </si>
  <si>
    <t>Mars</t>
  </si>
  <si>
    <t>Avril</t>
  </si>
  <si>
    <t>Mai</t>
  </si>
  <si>
    <t>Juin</t>
  </si>
  <si>
    <t>Juillet</t>
  </si>
  <si>
    <t>Août</t>
  </si>
  <si>
    <t>Septembre</t>
  </si>
  <si>
    <t>Octobre</t>
  </si>
  <si>
    <t>Novembre</t>
  </si>
  <si>
    <t>Décembre</t>
  </si>
  <si>
    <t>LOY</t>
  </si>
  <si>
    <t>CHA</t>
  </si>
  <si>
    <t>Ressources</t>
  </si>
  <si>
    <t>Autres</t>
  </si>
  <si>
    <t>ENT</t>
  </si>
  <si>
    <t>Nom</t>
  </si>
  <si>
    <t>Prime mensuelle</t>
  </si>
  <si>
    <t>Subvention</t>
  </si>
  <si>
    <t>Assurance maladie :</t>
  </si>
  <si>
    <t>Treizième salaire de M.</t>
  </si>
  <si>
    <t>Treizième salaire de Mme</t>
  </si>
  <si>
    <t>Renevu autre membre de la famille</t>
  </si>
  <si>
    <t>Comment utiliser ce document ?</t>
  </si>
  <si>
    <t>En premier lieu il faut compléter l'onglet "Les normes-données de base" les cellules mentionnées en</t>
  </si>
  <si>
    <t>NV</t>
  </si>
  <si>
    <t>Treyvaux</t>
  </si>
  <si>
    <t>FR</t>
  </si>
  <si>
    <t>CH</t>
  </si>
  <si>
    <t>veuve</t>
  </si>
  <si>
    <t>Indemnité chômage</t>
  </si>
  <si>
    <t>Indemnité journalière mal/acc</t>
  </si>
  <si>
    <t>Données personnelles</t>
  </si>
  <si>
    <t>Impasse de l'Opéra 1</t>
  </si>
  <si>
    <t>1696 Vuisternens-en-Ogoz</t>
  </si>
  <si>
    <t>Nb. de personnes aidées :</t>
  </si>
  <si>
    <t>Nb. pers. dans le ménage :</t>
  </si>
  <si>
    <t>32/33</t>
  </si>
  <si>
    <t>CSS</t>
  </si>
  <si>
    <t>Payé par le Service</t>
  </si>
  <si>
    <t>oui</t>
  </si>
  <si>
    <t>de l'onglet "Caisse maladie "</t>
  </si>
  <si>
    <t>Données de base</t>
  </si>
  <si>
    <t>Caisse maladie</t>
  </si>
  <si>
    <t>Pièces justificatives et factures</t>
  </si>
  <si>
    <t>Conclusion</t>
  </si>
  <si>
    <t>Votre avis m'intéresse</t>
  </si>
  <si>
    <t>Si vous pensez qu'on pourrait améliorer le document en question faites le moi savoir!</t>
  </si>
  <si>
    <t>En attendant, je vous souhaite beaucoup de plaisir à le tester !</t>
  </si>
  <si>
    <t>si ca commence en cours d'année ?</t>
  </si>
  <si>
    <t>Compléter les cellules du mois de janvier de l'onglet "Caisse maladie "</t>
  </si>
  <si>
    <r>
      <t xml:space="preserve">S'il y a des modifications à apporter dans les données personnelles en cours d'année (état civil, nombre de personnes dans le ménage, nombre de personnes aidées), il faut </t>
    </r>
    <r>
      <rPr>
        <b/>
        <u/>
        <sz val="11"/>
        <color theme="1"/>
        <rFont val="Calibri"/>
        <family val="2"/>
        <scheme val="minor"/>
      </rPr>
      <t>IMPERATIVEMENT</t>
    </r>
    <r>
      <rPr>
        <sz val="11"/>
        <color theme="1"/>
        <rFont val="Calibri"/>
        <family val="2"/>
        <scheme val="minor"/>
      </rPr>
      <t xml:space="preserve"> le modifier dans l'onglet "Les normes-données de base" le mois concerné !</t>
    </r>
  </si>
  <si>
    <r>
      <t xml:space="preserve">S'il y a des modifications à apporter dans les caisses maladie en cours d'année , il faut </t>
    </r>
    <r>
      <rPr>
        <b/>
        <u/>
        <sz val="11"/>
        <color theme="1"/>
        <rFont val="Calibri"/>
        <family val="2"/>
        <scheme val="minor"/>
      </rPr>
      <t>IMPERATIVEMENT</t>
    </r>
    <r>
      <rPr>
        <sz val="11"/>
        <color theme="1"/>
        <rFont val="Calibri"/>
        <family val="2"/>
        <scheme val="minor"/>
      </rPr>
      <t xml:space="preserve"> le modifier dans l'onglet "Caisse maladie" le mois concerné !</t>
    </r>
  </si>
  <si>
    <t>Forfait entretien</t>
  </si>
  <si>
    <t>Normes</t>
  </si>
  <si>
    <t>par personne</t>
  </si>
  <si>
    <t>Nombre de personne</t>
  </si>
  <si>
    <t>forfait par mois</t>
  </si>
  <si>
    <t>forfait par mois/par personne</t>
  </si>
  <si>
    <t>Logement sans les charges</t>
  </si>
  <si>
    <t>loyer mensuel</t>
  </si>
  <si>
    <t>Attention à modifier quand tous les onglets des budgets seront prêts</t>
  </si>
  <si>
    <t>janvier</t>
  </si>
  <si>
    <t>mai</t>
  </si>
  <si>
    <t>février</t>
  </si>
  <si>
    <t>Franchise</t>
  </si>
  <si>
    <t>Franchise si activité lucrative à 100 % durant 1 mois au minimum (au prorata du temps de travail : minimum 200.--/maximum 400.--)</t>
  </si>
  <si>
    <t>Suppléments d'intégration</t>
  </si>
  <si>
    <t>Total des revenus</t>
  </si>
  <si>
    <t>Total des suppléments d'intégration</t>
  </si>
  <si>
    <t>Total des prestations circonstancielles</t>
  </si>
  <si>
    <t>Nicole Villet</t>
  </si>
  <si>
    <t>Tête de cordée</t>
  </si>
  <si>
    <t>Enfant 1</t>
  </si>
  <si>
    <t>Enfant 2</t>
  </si>
  <si>
    <t>Enfant3</t>
  </si>
  <si>
    <t>Enfant4</t>
  </si>
  <si>
    <t>Enfant 5</t>
  </si>
  <si>
    <t>Conjoint/concubin</t>
  </si>
  <si>
    <t>Charlyne Villet</t>
  </si>
  <si>
    <t>Par contre inscrire le nombre total de personne dans le ménage à la ligne 19</t>
  </si>
  <si>
    <t>Inscrire le nombre de personne aidée à la ligne 20</t>
  </si>
  <si>
    <t>Personne sans activité qui fournit un effort d'intégration et ne peut participer à une mesure d'intégration</t>
  </si>
  <si>
    <t>Prime d'encouragement MIS</t>
  </si>
  <si>
    <t>Famille monoparentale si enfant de moins de 16 ans et si la mère vit seule avec ses enfants, sans colocataire ou concubin</t>
  </si>
  <si>
    <t>forfait</t>
  </si>
  <si>
    <t>A compléter ci-dessous SVP !</t>
  </si>
  <si>
    <t>Est-ce qu'une MIS est en place</t>
  </si>
  <si>
    <t>Combien de personnes sont en MIS</t>
  </si>
  <si>
    <t>Insérer le conjoint/concubin, les enfants ou colocataires !</t>
  </si>
  <si>
    <t>Colin Villet</t>
  </si>
  <si>
    <t>coloc1</t>
  </si>
  <si>
    <t>coloc2</t>
  </si>
  <si>
    <t>coloc3</t>
  </si>
  <si>
    <t>coloc4</t>
  </si>
  <si>
    <t>mars</t>
  </si>
  <si>
    <t>avril</t>
  </si>
  <si>
    <t>juin</t>
  </si>
  <si>
    <t>juillet</t>
  </si>
  <si>
    <t>août</t>
  </si>
  <si>
    <t>septembre</t>
  </si>
  <si>
    <t>octobre</t>
  </si>
  <si>
    <t>novembre</t>
  </si>
  <si>
    <t>décembre</t>
  </si>
  <si>
    <t>Dentiste</t>
  </si>
  <si>
    <t>état civil</t>
  </si>
  <si>
    <t>nb personnes aidées</t>
  </si>
  <si>
    <t>nb personnes dans le ménage</t>
  </si>
  <si>
    <t>taux d'activité %</t>
  </si>
  <si>
    <t>Durée en jours</t>
  </si>
  <si>
    <t>Lunettes</t>
  </si>
  <si>
    <t>non</t>
  </si>
  <si>
    <r>
      <t>Solde (</t>
    </r>
    <r>
      <rPr>
        <b/>
        <sz val="11"/>
        <color rgb="FFFF0000"/>
        <rFont val="Calibri"/>
        <family val="2"/>
        <scheme val="minor"/>
      </rPr>
      <t>- = découvert</t>
    </r>
    <r>
      <rPr>
        <b/>
        <sz val="11"/>
        <color theme="1"/>
        <rFont val="Calibri"/>
        <family val="2"/>
        <scheme val="minor"/>
      </rPr>
      <t xml:space="preserve"> / + = excédent)</t>
    </r>
  </si>
  <si>
    <t>dont :</t>
  </si>
  <si>
    <t>Versé au bénéficiaire</t>
  </si>
  <si>
    <t>Etat de la dette</t>
  </si>
  <si>
    <t>Dette totale à la fin</t>
  </si>
  <si>
    <t>(minus = en faveur du SSG)</t>
  </si>
  <si>
    <t>Assurance ménage</t>
  </si>
  <si>
    <t>Electricité</t>
  </si>
  <si>
    <t>Téléphone</t>
  </si>
  <si>
    <t>OCN</t>
  </si>
  <si>
    <t>Assurance véhicule</t>
  </si>
  <si>
    <t>Billag</t>
  </si>
  <si>
    <t>Impôts communaux</t>
  </si>
  <si>
    <t>Impôts cantonaux</t>
  </si>
  <si>
    <t>Bourse (étude ou autres)</t>
  </si>
  <si>
    <r>
      <t xml:space="preserve">Pour les factures à paiements échelonnés sur plusieurs mois, </t>
    </r>
    <r>
      <rPr>
        <b/>
        <u/>
        <sz val="11"/>
        <color theme="1"/>
        <rFont val="Calibri"/>
        <family val="2"/>
        <scheme val="minor"/>
      </rPr>
      <t>il est impératif de compléter l'onglet "paiements échelonnés" uniquement</t>
    </r>
    <r>
      <rPr>
        <sz val="11"/>
        <color theme="1"/>
        <rFont val="Calibri"/>
        <family val="2"/>
        <scheme val="minor"/>
      </rPr>
      <t>. La magie d'excel fera le reste !!</t>
    </r>
  </si>
  <si>
    <t>Paiements par le compte SG (pour les factures retenues chaque mois)</t>
  </si>
  <si>
    <t>Créanciers</t>
  </si>
  <si>
    <t>Montants</t>
  </si>
  <si>
    <t>SCC</t>
  </si>
  <si>
    <t>Commune de Farvagny</t>
  </si>
  <si>
    <t>Générali</t>
  </si>
  <si>
    <t>Payé par le service</t>
  </si>
  <si>
    <t>Groupe E</t>
  </si>
  <si>
    <t>Impôt véhicule</t>
  </si>
  <si>
    <r>
      <t>Pour les factures uniques (payées en une fois)</t>
    </r>
    <r>
      <rPr>
        <b/>
        <u/>
        <sz val="11"/>
        <color theme="1"/>
        <rFont val="Calibri"/>
        <family val="2"/>
        <scheme val="minor"/>
      </rPr>
      <t xml:space="preserve"> pour lesquelles vous n'avez pas fait de retenue par le compte SG</t>
    </r>
    <r>
      <rPr>
        <sz val="11"/>
        <color theme="1"/>
        <rFont val="Calibri"/>
        <family val="2"/>
        <scheme val="minor"/>
      </rPr>
      <t>, veuillez les mentionner sur les lignes prévues à cet effet avec la couleur rose dans la colonne B. PS ne pas oublier de mentionner le montant dans la colonne correspondante (payée par le service ou payée par le bénéficiaire)</t>
    </r>
  </si>
  <si>
    <r>
      <t>Pour les factures uniques (payées en une fois)</t>
    </r>
    <r>
      <rPr>
        <b/>
        <u/>
        <sz val="11"/>
        <color theme="1"/>
        <rFont val="Calibri"/>
        <family val="2"/>
        <scheme val="minor"/>
      </rPr>
      <t xml:space="preserve"> pour lesquelles AVEZ FAIT une retenue par le compte SG</t>
    </r>
    <r>
      <rPr>
        <sz val="11"/>
        <color theme="1"/>
        <rFont val="Calibri"/>
        <family val="2"/>
        <scheme val="minor"/>
      </rPr>
      <t xml:space="preserve">, veuillez les mentionner sur les lignes prévues à cet effet avec la couleur rose dans la colonne B. </t>
    </r>
    <r>
      <rPr>
        <b/>
        <u/>
        <sz val="11"/>
        <color theme="1"/>
        <rFont val="Calibri"/>
        <family val="2"/>
        <scheme val="minor"/>
      </rPr>
      <t>Dans ce cas, le montant doit IMPERATIVEMENT être mentionné dans la colonne SG.</t>
    </r>
  </si>
  <si>
    <t>Pour les décompte de participation de la CM, mentionner uniquement le No de décompte dans la colonne C et le montant à payer dans la colonne correspondante (payé par le bénéficiaire ou payé par le service)</t>
  </si>
  <si>
    <r>
      <t>Pour les décompte de remboursement de la caisse de compensation, mentionner uniquement la date du décompte dans la colonne C et le montant à recevoir (</t>
    </r>
    <r>
      <rPr>
        <b/>
        <u/>
        <sz val="11"/>
        <color theme="1"/>
        <rFont val="Calibri"/>
        <family val="2"/>
        <scheme val="minor"/>
      </rPr>
      <t>à inscrire impérativement avec un moins devant le montant</t>
    </r>
    <r>
      <rPr>
        <sz val="11"/>
        <color theme="1"/>
        <rFont val="Calibri"/>
        <family val="2"/>
        <scheme val="minor"/>
      </rPr>
      <t xml:space="preserve">,           exemple </t>
    </r>
    <r>
      <rPr>
        <b/>
        <u/>
        <sz val="11"/>
        <color rgb="FFFF0000"/>
        <rFont val="Calibri"/>
        <family val="2"/>
        <scheme val="minor"/>
      </rPr>
      <t>-412.80</t>
    </r>
    <r>
      <rPr>
        <sz val="11"/>
        <color theme="1"/>
        <rFont val="Calibri"/>
        <family val="2"/>
        <scheme val="minor"/>
      </rPr>
      <t>) dans la colonne correspondante (reçu par le bénéficiaire ou reçu par le service)</t>
    </r>
  </si>
  <si>
    <t xml:space="preserve">Remb. frais méd. </t>
  </si>
  <si>
    <t>Caisse compensation</t>
  </si>
  <si>
    <t>Frais de transports</t>
  </si>
  <si>
    <t>Repas pris hors du domicile</t>
  </si>
  <si>
    <t>Pour les frais de transports, remplir l'onglet "frais de transport"</t>
  </si>
  <si>
    <t>Pour les repas pris hors du domicile mentionner le nombre de repas dans la cellule correspondante de la colonne D</t>
  </si>
  <si>
    <t>Pour toutes les autres prestations circonstancielles, acceptées par la ComSoc, il faut les mentionner dans les 4 lignes prévues à cet effet et mentionner le montant dans la colonne correspondante</t>
  </si>
  <si>
    <t>Décompte des frais de transport</t>
  </si>
  <si>
    <t>Lieu de départ</t>
  </si>
  <si>
    <t>Lieu d'arrivée</t>
  </si>
  <si>
    <t>Nombre de course</t>
  </si>
  <si>
    <t>KM/course</t>
  </si>
  <si>
    <t>Montant</t>
  </si>
  <si>
    <t>But du trajet</t>
  </si>
  <si>
    <t>Vuisternens</t>
  </si>
  <si>
    <t>Farvagny</t>
  </si>
  <si>
    <t>Professionnel</t>
  </si>
  <si>
    <t>Total</t>
  </si>
  <si>
    <t>ajouter directive transport pour la formule</t>
  </si>
  <si>
    <t>tutu</t>
  </si>
  <si>
    <t>Enfants de 6 à 16 ans  </t>
  </si>
  <si>
    <t>Jeunes de 16 à 25 ans</t>
  </si>
  <si>
    <t>Étudiants de 25 à 30 ans </t>
  </si>
  <si>
    <t>Adultes        </t>
  </si>
  <si>
    <t>Séniors </t>
  </si>
  <si>
    <t>Handicapés</t>
  </si>
  <si>
    <t>Les frais liés à l’utilisation d’un véhicule privé sont à prendre en compte si la destination n’est pas raisonnablement atteignable par les transports publics en raison d’horaires spéciaux à raison de CHF -.60/km jusqu’à concurrence du montant de l’abonnement générale CFF/12 mois, soit :</t>
  </si>
  <si>
    <t>Solde nourriture et boissons</t>
  </si>
  <si>
    <t xml:space="preserve">Total des charges </t>
  </si>
  <si>
    <t xml:space="preserve">Ne pas oublier de déterminer le montant à verser au bénéficiaire </t>
  </si>
  <si>
    <t>Attention que les frais de transports ne dépassent pas le montant de la norme</t>
  </si>
  <si>
    <t>Versement du bénéficiaire</t>
  </si>
  <si>
    <t>marié</t>
  </si>
  <si>
    <t>Heine</t>
  </si>
  <si>
    <t>AES</t>
  </si>
  <si>
    <t xml:space="preserve">Total paiements </t>
  </si>
  <si>
    <t>Total transferts</t>
  </si>
  <si>
    <t>Versé/Prélevé en compte de gestion</t>
  </si>
  <si>
    <t>Preuve = total pmt + total transfert ./. Solde selon les normes = 0</t>
  </si>
  <si>
    <t>Récapitulation retenues pour factures</t>
  </si>
  <si>
    <t>kk</t>
  </si>
  <si>
    <t>Total annuel des retenues</t>
  </si>
  <si>
    <t>Retenues</t>
  </si>
  <si>
    <t>Fact. Payées</t>
  </si>
  <si>
    <t>Récapitulation des paiements échellonés</t>
  </si>
  <si>
    <t>Total annuel des paiements échellonés</t>
  </si>
  <si>
    <t>Date pmt</t>
  </si>
  <si>
    <t>Solde (si négatif = en faveur du bénéficiaire)</t>
  </si>
  <si>
    <t>PC</t>
  </si>
  <si>
    <t>TR</t>
  </si>
  <si>
    <t>Versement au bénéficiaire</t>
  </si>
  <si>
    <t>SSC</t>
  </si>
  <si>
    <t>SG</t>
  </si>
  <si>
    <t>Récapitulation écritures</t>
  </si>
  <si>
    <t>SAL</t>
  </si>
  <si>
    <t>AI</t>
  </si>
  <si>
    <t>AVS</t>
  </si>
  <si>
    <t>IC</t>
  </si>
  <si>
    <t>IJ</t>
  </si>
  <si>
    <t>AF</t>
  </si>
  <si>
    <t>BOU</t>
  </si>
  <si>
    <t>DIV</t>
  </si>
  <si>
    <t>FRA</t>
  </si>
  <si>
    <t>SUP</t>
  </si>
  <si>
    <t>MED</t>
  </si>
  <si>
    <t>CIR</t>
  </si>
  <si>
    <t>scc</t>
  </si>
  <si>
    <t>sg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</si>
</sst>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
    <numFmt numFmtId="165" formatCode="#,##0.00_ ;[Red]\-#,##0.00\ "/>
    <numFmt numFmtId="166" formatCode="0.00_ ;[Red]\-0.00\ "/>
  </numFmts>
  <fonts count="19"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b/>
      <sz val="10"/>
      <color theme="1"/>
      <name val="Calibri"/>
      <family val="2"/>
      <scheme val="minor"/>
    </font>
    <font>
      <sz val="6"/>
      <color theme="1"/>
      <name val="Calibri"/>
      <family val="2"/>
      <scheme val="minor"/>
    </font>
    <font>
      <b/>
      <u/>
      <sz val="11"/>
      <color theme="1"/>
      <name val="Calibri"/>
      <family val="2"/>
      <scheme val="minor"/>
    </font>
    <font>
      <sz val="16"/>
      <color theme="1"/>
      <name val="Calibri"/>
      <family val="2"/>
      <scheme val="minor"/>
    </font>
    <font>
      <b/>
      <u/>
      <sz val="12"/>
      <color theme="1"/>
      <name val="Calibri"/>
      <family val="2"/>
      <scheme val="minor"/>
    </font>
    <font>
      <sz val="10"/>
      <color theme="1"/>
      <name val="Calibri"/>
      <family val="2"/>
      <scheme val="minor"/>
    </font>
    <font>
      <sz val="9"/>
      <color theme="1"/>
      <name val="Calibri"/>
      <family val="2"/>
      <scheme val="minor"/>
    </font>
    <font>
      <b/>
      <sz val="11"/>
      <color rgb="FFFF0000"/>
      <name val="Calibri"/>
      <family val="2"/>
      <scheme val="minor"/>
    </font>
    <font>
      <sz val="8"/>
      <color theme="1"/>
      <name val="Calibri"/>
      <family val="2"/>
      <scheme val="minor"/>
    </font>
    <font>
      <b/>
      <u/>
      <sz val="11"/>
      <color rgb="FFFF0000"/>
      <name val="Calibri"/>
      <family val="2"/>
      <scheme val="minor"/>
    </font>
    <font>
      <b/>
      <sz val="10"/>
      <color rgb="FFFF0000"/>
      <name val="Calibri"/>
      <family val="2"/>
      <scheme val="minor"/>
    </font>
    <font>
      <sz val="10"/>
      <color theme="0"/>
      <name val="Calibri"/>
      <family val="2"/>
      <scheme val="minor"/>
    </font>
    <font>
      <b/>
      <sz val="10"/>
      <name val="Calibri"/>
      <family val="2"/>
      <scheme val="minor"/>
    </font>
    <font>
      <b/>
      <sz val="6"/>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s>
  <borders count="34">
    <border>
      <left/>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
      <left/>
      <right style="dashed">
        <color indexed="64"/>
      </right>
      <top style="thin">
        <color indexed="64"/>
      </top>
      <bottom style="double">
        <color indexed="64"/>
      </bottom>
      <diagonal/>
    </border>
    <border>
      <left/>
      <right/>
      <top style="double">
        <color indexed="64"/>
      </top>
      <bottom/>
      <diagonal/>
    </border>
    <border>
      <left/>
      <right/>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double">
        <color indexed="64"/>
      </bottom>
      <diagonal/>
    </border>
    <border>
      <left style="dashed">
        <color indexed="64"/>
      </left>
      <right style="dashed">
        <color indexed="64"/>
      </right>
      <top style="thin">
        <color indexed="64"/>
      </top>
      <bottom style="double">
        <color indexed="64"/>
      </bottom>
      <diagonal/>
    </border>
    <border>
      <left/>
      <right/>
      <top style="dashed">
        <color indexed="64"/>
      </top>
      <bottom style="dashed">
        <color indexed="64"/>
      </bottom>
      <diagonal/>
    </border>
    <border>
      <left style="dashed">
        <color indexed="64"/>
      </left>
      <right/>
      <top style="dashed">
        <color indexed="64"/>
      </top>
      <bottom style="dashed">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s>
  <cellStyleXfs count="1">
    <xf numFmtId="0" fontId="0" fillId="0" borderId="0"/>
  </cellStyleXfs>
  <cellXfs count="347">
    <xf numFmtId="0" fontId="0" fillId="0" borderId="0" xfId="0"/>
    <xf numFmtId="0" fontId="1" fillId="0" borderId="0" xfId="0" applyFont="1"/>
    <xf numFmtId="0" fontId="4" fillId="0" borderId="1" xfId="0" applyFont="1" applyBorder="1"/>
    <xf numFmtId="0" fontId="4" fillId="0" borderId="2" xfId="0" applyFont="1" applyBorder="1"/>
    <xf numFmtId="0" fontId="0" fillId="0" borderId="3" xfId="0" applyBorder="1"/>
    <xf numFmtId="0" fontId="4" fillId="0" borderId="4" xfId="0" applyFont="1" applyBorder="1"/>
    <xf numFmtId="0" fontId="0" fillId="0" borderId="5" xfId="0" applyBorder="1"/>
    <xf numFmtId="0" fontId="4" fillId="0" borderId="6" xfId="0" applyFont="1" applyBorder="1"/>
    <xf numFmtId="0" fontId="0" fillId="0" borderId="0" xfId="0" applyBorder="1"/>
    <xf numFmtId="0" fontId="3" fillId="0" borderId="8" xfId="0" applyFont="1" applyBorder="1"/>
    <xf numFmtId="0" fontId="0" fillId="0" borderId="9" xfId="0" applyBorder="1"/>
    <xf numFmtId="0" fontId="0" fillId="0" borderId="10" xfId="0" applyBorder="1"/>
    <xf numFmtId="0" fontId="0" fillId="0" borderId="11" xfId="0" applyBorder="1"/>
    <xf numFmtId="0" fontId="0" fillId="0" borderId="12" xfId="0" applyBorder="1"/>
    <xf numFmtId="0" fontId="1" fillId="0" borderId="13" xfId="0" applyFont="1" applyBorder="1"/>
    <xf numFmtId="0" fontId="1" fillId="0" borderId="14" xfId="0" applyFont="1" applyBorder="1"/>
    <xf numFmtId="0" fontId="1" fillId="0" borderId="15" xfId="0" applyFont="1" applyBorder="1"/>
    <xf numFmtId="0" fontId="1" fillId="0" borderId="0" xfId="0" applyFont="1" applyAlignment="1">
      <alignment vertical="top" wrapText="1"/>
    </xf>
    <xf numFmtId="0" fontId="1" fillId="0" borderId="0" xfId="0" applyFont="1" applyBorder="1"/>
    <xf numFmtId="0" fontId="1" fillId="0" borderId="9" xfId="0" applyFont="1" applyBorder="1"/>
    <xf numFmtId="0" fontId="0" fillId="0" borderId="18" xfId="0" applyBorder="1"/>
    <xf numFmtId="0" fontId="1" fillId="0" borderId="19" xfId="0" applyFont="1" applyBorder="1"/>
    <xf numFmtId="0" fontId="5" fillId="0" borderId="16" xfId="0" applyFont="1" applyBorder="1" applyAlignment="1">
      <alignment vertical="top" wrapText="1"/>
    </xf>
    <xf numFmtId="0" fontId="5" fillId="0" borderId="7" xfId="0" applyFont="1" applyBorder="1" applyAlignment="1">
      <alignment vertical="top" wrapText="1"/>
    </xf>
    <xf numFmtId="0" fontId="1" fillId="0" borderId="12" xfId="0" applyFont="1" applyBorder="1" applyAlignment="1">
      <alignment vertical="top" wrapText="1"/>
    </xf>
    <xf numFmtId="0" fontId="2" fillId="0" borderId="0" xfId="0" applyFont="1" applyAlignment="1">
      <alignment horizontal="center" vertical="top"/>
    </xf>
    <xf numFmtId="0" fontId="0" fillId="2" borderId="0" xfId="0" applyFill="1"/>
    <xf numFmtId="165" fontId="0" fillId="0" borderId="0" xfId="0" applyNumberFormat="1"/>
    <xf numFmtId="0" fontId="4" fillId="0" borderId="1" xfId="0" applyFont="1" applyBorder="1" applyAlignment="1">
      <alignment vertical="top"/>
    </xf>
    <xf numFmtId="0" fontId="1" fillId="0" borderId="21" xfId="0" applyFont="1" applyBorder="1" applyAlignment="1">
      <alignment vertical="top" wrapText="1"/>
    </xf>
    <xf numFmtId="0" fontId="1" fillId="0" borderId="2" xfId="0" applyFont="1" applyBorder="1" applyAlignment="1">
      <alignment vertical="top" wrapText="1"/>
    </xf>
    <xf numFmtId="0" fontId="0" fillId="0" borderId="4" xfId="0" applyBorder="1"/>
    <xf numFmtId="0" fontId="0" fillId="0" borderId="22" xfId="0" applyBorder="1"/>
    <xf numFmtId="0" fontId="0" fillId="0" borderId="6" xfId="0" applyBorder="1"/>
    <xf numFmtId="0" fontId="0" fillId="0" borderId="3" xfId="0" applyFont="1" applyBorder="1"/>
    <xf numFmtId="0" fontId="0" fillId="0" borderId="5" xfId="0" applyFont="1" applyBorder="1"/>
    <xf numFmtId="0" fontId="0" fillId="3" borderId="0" xfId="0" applyFill="1"/>
    <xf numFmtId="0" fontId="0" fillId="0" borderId="0" xfId="0" applyAlignment="1">
      <alignment horizontal="left"/>
    </xf>
    <xf numFmtId="0" fontId="4" fillId="0" borderId="0" xfId="0" applyFont="1" applyBorder="1"/>
    <xf numFmtId="14" fontId="0" fillId="3" borderId="0" xfId="0" applyNumberFormat="1" applyFill="1"/>
    <xf numFmtId="0" fontId="0" fillId="0" borderId="0" xfId="0" applyFill="1"/>
    <xf numFmtId="0" fontId="0" fillId="3" borderId="0" xfId="0" applyFill="1" applyBorder="1"/>
    <xf numFmtId="165" fontId="0" fillId="3" borderId="0" xfId="0" applyNumberFormat="1" applyFill="1"/>
    <xf numFmtId="0" fontId="0" fillId="3" borderId="0" xfId="0" applyFill="1" applyAlignment="1">
      <alignment horizontal="left"/>
    </xf>
    <xf numFmtId="0" fontId="0" fillId="3" borderId="0" xfId="0" applyFont="1" applyFill="1" applyBorder="1"/>
    <xf numFmtId="0" fontId="0" fillId="3" borderId="22" xfId="0" applyFont="1" applyFill="1" applyBorder="1"/>
    <xf numFmtId="165" fontId="0" fillId="3" borderId="0" xfId="0" applyNumberFormat="1" applyFont="1" applyFill="1" applyBorder="1"/>
    <xf numFmtId="165" fontId="0" fillId="3" borderId="4" xfId="0" applyNumberFormat="1" applyFont="1" applyFill="1" applyBorder="1"/>
    <xf numFmtId="165" fontId="0" fillId="3" borderId="22" xfId="0" applyNumberFormat="1" applyFont="1" applyFill="1" applyBorder="1"/>
    <xf numFmtId="165" fontId="0" fillId="3" borderId="6" xfId="0" applyNumberFormat="1" applyFont="1" applyFill="1" applyBorder="1"/>
    <xf numFmtId="0" fontId="4" fillId="0" borderId="3" xfId="0" applyFont="1" applyBorder="1" applyAlignment="1">
      <alignment vertical="top"/>
    </xf>
    <xf numFmtId="0" fontId="1" fillId="0" borderId="0" xfId="0" applyFont="1" applyBorder="1" applyAlignment="1">
      <alignment vertical="top" wrapText="1"/>
    </xf>
    <xf numFmtId="0" fontId="1" fillId="0" borderId="1" xfId="0" applyFont="1" applyBorder="1" applyAlignment="1">
      <alignment vertical="top" wrapText="1"/>
    </xf>
    <xf numFmtId="165" fontId="0" fillId="3" borderId="3" xfId="0" applyNumberFormat="1" applyFont="1" applyFill="1" applyBorder="1"/>
    <xf numFmtId="165" fontId="0" fillId="3" borderId="5" xfId="0" applyNumberFormat="1" applyFont="1" applyFill="1" applyBorder="1"/>
    <xf numFmtId="0" fontId="4" fillId="0" borderId="25" xfId="0" applyFont="1" applyBorder="1" applyAlignment="1">
      <alignment horizontal="center" vertical="top" wrapText="1"/>
    </xf>
    <xf numFmtId="0" fontId="0" fillId="0" borderId="1" xfId="0" applyBorder="1"/>
    <xf numFmtId="0" fontId="0" fillId="2" borderId="17" xfId="0" applyFill="1" applyBorder="1"/>
    <xf numFmtId="0" fontId="9" fillId="0" borderId="0" xfId="0" applyFont="1" applyAlignment="1">
      <alignment horizontal="left"/>
    </xf>
    <xf numFmtId="0" fontId="0" fillId="0" borderId="0" xfId="0" applyAlignment="1">
      <alignment wrapText="1"/>
    </xf>
    <xf numFmtId="0" fontId="0" fillId="0" borderId="0" xfId="0" applyAlignment="1">
      <alignment vertical="top" wrapText="1"/>
    </xf>
    <xf numFmtId="0" fontId="8" fillId="0" borderId="0" xfId="0" applyFont="1" applyAlignment="1">
      <alignment horizontal="left"/>
    </xf>
    <xf numFmtId="0" fontId="0" fillId="3" borderId="17" xfId="0" applyFill="1" applyBorder="1"/>
    <xf numFmtId="0" fontId="4" fillId="0" borderId="10" xfId="0" applyFont="1" applyBorder="1"/>
    <xf numFmtId="0" fontId="0" fillId="0" borderId="0" xfId="0" applyFont="1" applyFill="1" applyBorder="1"/>
    <xf numFmtId="165" fontId="0" fillId="0" borderId="3" xfId="0" applyNumberFormat="1" applyFont="1" applyFill="1" applyBorder="1"/>
    <xf numFmtId="165" fontId="0" fillId="0" borderId="0" xfId="0" applyNumberFormat="1" applyFont="1" applyFill="1" applyBorder="1"/>
    <xf numFmtId="165" fontId="0" fillId="0" borderId="4" xfId="0" applyNumberFormat="1" applyFont="1" applyFill="1" applyBorder="1"/>
    <xf numFmtId="0" fontId="0" fillId="0" borderId="22" xfId="0" applyFont="1" applyFill="1" applyBorder="1"/>
    <xf numFmtId="165" fontId="0" fillId="0" borderId="5" xfId="0" applyNumberFormat="1" applyFont="1" applyFill="1" applyBorder="1"/>
    <xf numFmtId="165" fontId="0" fillId="0" borderId="22" xfId="0" applyNumberFormat="1" applyFont="1" applyFill="1" applyBorder="1"/>
    <xf numFmtId="165" fontId="0" fillId="0" borderId="6" xfId="0" applyNumberFormat="1" applyFont="1" applyFill="1" applyBorder="1"/>
    <xf numFmtId="0" fontId="1" fillId="0" borderId="0" xfId="0" applyFont="1" applyFill="1" applyBorder="1" applyAlignment="1">
      <alignment vertical="top" wrapText="1"/>
    </xf>
    <xf numFmtId="0" fontId="1" fillId="0" borderId="1" xfId="0" applyFont="1" applyFill="1" applyBorder="1" applyAlignment="1">
      <alignment vertical="top" wrapText="1"/>
    </xf>
    <xf numFmtId="0" fontId="1" fillId="0" borderId="21" xfId="0" applyFont="1" applyFill="1" applyBorder="1" applyAlignment="1">
      <alignment vertical="top" wrapText="1"/>
    </xf>
    <xf numFmtId="0" fontId="1" fillId="0" borderId="2" xfId="0" applyFont="1" applyFill="1" applyBorder="1" applyAlignment="1">
      <alignment vertical="top" wrapText="1"/>
    </xf>
    <xf numFmtId="0" fontId="0" fillId="0" borderId="18" xfId="0" applyFill="1" applyBorder="1"/>
    <xf numFmtId="0" fontId="0" fillId="0" borderId="10" xfId="0" applyFill="1" applyBorder="1"/>
    <xf numFmtId="0" fontId="0" fillId="0" borderId="17" xfId="0" applyFill="1" applyBorder="1"/>
    <xf numFmtId="0" fontId="1" fillId="0" borderId="19" xfId="0" applyFont="1" applyFill="1" applyBorder="1"/>
    <xf numFmtId="165" fontId="0" fillId="0" borderId="0" xfId="0" applyNumberFormat="1" applyFill="1"/>
    <xf numFmtId="0" fontId="0" fillId="0" borderId="0" xfId="0" applyAlignment="1">
      <alignment vertical="top"/>
    </xf>
    <xf numFmtId="0" fontId="0" fillId="0" borderId="3" xfId="0" applyBorder="1" applyAlignment="1">
      <alignment vertical="top"/>
    </xf>
    <xf numFmtId="0" fontId="10" fillId="0" borderId="0" xfId="0" applyFont="1" applyFill="1" applyBorder="1" applyAlignment="1">
      <alignment vertical="top" wrapText="1"/>
    </xf>
    <xf numFmtId="0" fontId="10" fillId="0" borderId="4" xfId="0" applyFont="1" applyBorder="1" applyAlignment="1">
      <alignment vertical="top" wrapText="1"/>
    </xf>
    <xf numFmtId="0" fontId="0" fillId="0" borderId="3" xfId="0" applyBorder="1" applyAlignment="1">
      <alignment horizontal="center"/>
    </xf>
    <xf numFmtId="165" fontId="0" fillId="0" borderId="0" xfId="0" applyNumberFormat="1" applyFill="1" applyBorder="1"/>
    <xf numFmtId="165" fontId="0" fillId="0" borderId="4" xfId="0" applyNumberFormat="1" applyBorder="1"/>
    <xf numFmtId="0" fontId="0" fillId="0" borderId="5" xfId="0" applyBorder="1" applyAlignment="1">
      <alignment horizontal="center"/>
    </xf>
    <xf numFmtId="165" fontId="0" fillId="0" borderId="22" xfId="0" applyNumberFormat="1" applyFill="1" applyBorder="1"/>
    <xf numFmtId="165" fontId="0" fillId="0" borderId="6" xfId="0" applyNumberFormat="1" applyBorder="1"/>
    <xf numFmtId="0" fontId="4" fillId="0" borderId="21" xfId="0" applyFont="1" applyFill="1" applyBorder="1"/>
    <xf numFmtId="0" fontId="0" fillId="2" borderId="18" xfId="0" applyFill="1" applyBorder="1"/>
    <xf numFmtId="0" fontId="1" fillId="2" borderId="19" xfId="0" applyFont="1" applyFill="1" applyBorder="1"/>
    <xf numFmtId="0" fontId="5" fillId="0" borderId="16" xfId="0" applyFont="1" applyFill="1" applyBorder="1" applyAlignment="1">
      <alignment vertical="top" wrapText="1"/>
    </xf>
    <xf numFmtId="0" fontId="0" fillId="0" borderId="12" xfId="0" applyFill="1" applyBorder="1"/>
    <xf numFmtId="0" fontId="1" fillId="0" borderId="15" xfId="0" applyFont="1" applyFill="1" applyBorder="1"/>
    <xf numFmtId="165" fontId="0" fillId="0" borderId="10" xfId="0" applyNumberFormat="1" applyBorder="1"/>
    <xf numFmtId="165" fontId="0" fillId="0" borderId="18" xfId="0" applyNumberFormat="1" applyBorder="1"/>
    <xf numFmtId="165" fontId="0" fillId="0" borderId="9" xfId="0" applyNumberFormat="1" applyBorder="1"/>
    <xf numFmtId="0" fontId="0" fillId="0" borderId="23" xfId="0" applyBorder="1" applyAlignment="1">
      <alignment horizontal="center" vertical="top" wrapText="1"/>
    </xf>
    <xf numFmtId="0" fontId="0" fillId="0" borderId="24" xfId="0" applyBorder="1" applyAlignment="1">
      <alignment horizontal="center" vertical="top" wrapText="1"/>
    </xf>
    <xf numFmtId="0" fontId="0" fillId="0" borderId="0" xfId="0" applyFill="1" applyBorder="1"/>
    <xf numFmtId="165" fontId="0" fillId="0" borderId="12" xfId="0" applyNumberFormat="1" applyFill="1" applyBorder="1"/>
    <xf numFmtId="165" fontId="0" fillId="0" borderId="17" xfId="0" applyNumberFormat="1" applyFill="1" applyBorder="1"/>
    <xf numFmtId="0" fontId="1" fillId="5" borderId="14" xfId="0" applyFont="1" applyFill="1" applyBorder="1"/>
    <xf numFmtId="0" fontId="1" fillId="5" borderId="15" xfId="0" applyFont="1" applyFill="1" applyBorder="1"/>
    <xf numFmtId="165" fontId="1" fillId="5" borderId="19" xfId="0" applyNumberFormat="1" applyFont="1" applyFill="1" applyBorder="1"/>
    <xf numFmtId="165" fontId="1" fillId="5" borderId="15" xfId="0" applyNumberFormat="1" applyFont="1" applyFill="1" applyBorder="1"/>
    <xf numFmtId="0" fontId="0" fillId="6" borderId="0" xfId="0" applyFill="1"/>
    <xf numFmtId="0" fontId="0" fillId="0" borderId="0" xfId="0" applyFont="1"/>
    <xf numFmtId="0" fontId="4" fillId="3" borderId="0" xfId="0" applyFont="1" applyFill="1" applyBorder="1"/>
    <xf numFmtId="0" fontId="1" fillId="7" borderId="0" xfId="0" applyFont="1" applyFill="1"/>
    <xf numFmtId="0" fontId="1" fillId="7" borderId="0" xfId="0" applyFont="1" applyFill="1" applyBorder="1"/>
    <xf numFmtId="0" fontId="5" fillId="0" borderId="0" xfId="0" applyFont="1" applyFill="1" applyBorder="1" applyAlignment="1">
      <alignment vertical="top" wrapText="1"/>
    </xf>
    <xf numFmtId="165" fontId="0" fillId="0" borderId="0" xfId="0" applyNumberFormat="1" applyAlignment="1">
      <alignment vertical="top"/>
    </xf>
    <xf numFmtId="2" fontId="0" fillId="3" borderId="0" xfId="0" applyNumberFormat="1" applyFill="1"/>
    <xf numFmtId="0" fontId="4" fillId="0" borderId="0" xfId="0" applyFont="1" applyAlignment="1">
      <alignment vertical="top"/>
    </xf>
    <xf numFmtId="14" fontId="0" fillId="0" borderId="0" xfId="0" applyNumberFormat="1" applyAlignment="1">
      <alignment vertical="top"/>
    </xf>
    <xf numFmtId="165" fontId="0" fillId="0" borderId="0" xfId="0" applyNumberFormat="1" applyFill="1" applyAlignment="1">
      <alignment vertical="top"/>
    </xf>
    <xf numFmtId="14" fontId="0" fillId="0" borderId="0" xfId="0" applyNumberFormat="1" applyAlignment="1"/>
    <xf numFmtId="0" fontId="4" fillId="0" borderId="1" xfId="0" applyFont="1" applyBorder="1" applyAlignment="1">
      <alignment vertical="top" wrapText="1"/>
    </xf>
    <xf numFmtId="164" fontId="11" fillId="0" borderId="21" xfId="0" applyNumberFormat="1" applyFont="1" applyBorder="1" applyAlignment="1">
      <alignment vertical="top" wrapText="1"/>
    </xf>
    <xf numFmtId="164" fontId="11" fillId="0" borderId="0" xfId="0" applyNumberFormat="1" applyFont="1" applyBorder="1" applyAlignment="1">
      <alignment vertical="top" wrapText="1"/>
    </xf>
    <xf numFmtId="164" fontId="4" fillId="0" borderId="0" xfId="0" applyNumberFormat="1" applyFont="1" applyBorder="1" applyAlignment="1">
      <alignment vertical="top" wrapText="1"/>
    </xf>
    <xf numFmtId="0" fontId="0" fillId="0" borderId="0" xfId="0" applyBorder="1" applyAlignment="1">
      <alignment vertical="top" wrapText="1"/>
    </xf>
    <xf numFmtId="164" fontId="11" fillId="0" borderId="2" xfId="0" applyNumberFormat="1" applyFont="1" applyBorder="1" applyAlignment="1">
      <alignment vertical="top" wrapText="1"/>
    </xf>
    <xf numFmtId="0" fontId="0" fillId="0" borderId="3" xfId="0" applyFill="1" applyBorder="1"/>
    <xf numFmtId="0" fontId="0" fillId="3" borderId="4" xfId="0" applyFill="1" applyBorder="1"/>
    <xf numFmtId="0" fontId="0" fillId="0" borderId="22" xfId="0" applyFill="1" applyBorder="1"/>
    <xf numFmtId="0" fontId="11" fillId="4" borderId="11" xfId="0" applyFont="1" applyFill="1" applyBorder="1" applyAlignment="1">
      <alignment vertical="top" wrapText="1"/>
    </xf>
    <xf numFmtId="10" fontId="0" fillId="0" borderId="0" xfId="0" applyNumberFormat="1"/>
    <xf numFmtId="165" fontId="11" fillId="0" borderId="0" xfId="0" applyNumberFormat="1" applyFont="1" applyAlignment="1">
      <alignment vertical="top" wrapText="1"/>
    </xf>
    <xf numFmtId="165" fontId="11" fillId="0" borderId="0" xfId="0" applyNumberFormat="1" applyFont="1" applyBorder="1" applyAlignment="1">
      <alignment vertical="top" wrapText="1"/>
    </xf>
    <xf numFmtId="10" fontId="0" fillId="3" borderId="0" xfId="0" applyNumberFormat="1" applyFill="1"/>
    <xf numFmtId="0" fontId="0" fillId="0" borderId="11" xfId="0" applyFill="1" applyBorder="1"/>
    <xf numFmtId="165" fontId="0" fillId="6" borderId="12" xfId="0" applyNumberFormat="1" applyFill="1" applyBorder="1"/>
    <xf numFmtId="0" fontId="1" fillId="5" borderId="0" xfId="0" applyFont="1" applyFill="1" applyBorder="1"/>
    <xf numFmtId="165" fontId="1" fillId="5" borderId="12" xfId="0" applyNumberFormat="1" applyFont="1" applyFill="1" applyBorder="1"/>
    <xf numFmtId="0" fontId="1" fillId="0" borderId="0" xfId="0" applyFont="1" applyFill="1" applyBorder="1"/>
    <xf numFmtId="165" fontId="1" fillId="0" borderId="0" xfId="0" applyNumberFormat="1" applyFont="1" applyFill="1" applyBorder="1"/>
    <xf numFmtId="165" fontId="1" fillId="0" borderId="12" xfId="0" applyNumberFormat="1" applyFont="1" applyFill="1" applyBorder="1"/>
    <xf numFmtId="0" fontId="1" fillId="5" borderId="9" xfId="0" applyFont="1" applyFill="1" applyBorder="1"/>
    <xf numFmtId="165" fontId="1" fillId="5" borderId="27" xfId="0" applyNumberFormat="1" applyFont="1" applyFill="1" applyBorder="1"/>
    <xf numFmtId="0" fontId="1" fillId="5" borderId="10" xfId="0" applyFont="1" applyFill="1" applyBorder="1"/>
    <xf numFmtId="0" fontId="1" fillId="5" borderId="12" xfId="0" applyFont="1" applyFill="1" applyBorder="1"/>
    <xf numFmtId="165" fontId="1" fillId="5" borderId="18" xfId="0" applyNumberFormat="1" applyFont="1" applyFill="1" applyBorder="1"/>
    <xf numFmtId="165" fontId="1" fillId="5" borderId="17" xfId="0" applyNumberFormat="1" applyFont="1" applyFill="1" applyBorder="1"/>
    <xf numFmtId="165" fontId="1" fillId="5" borderId="28" xfId="0" applyNumberFormat="1" applyFont="1" applyFill="1" applyBorder="1"/>
    <xf numFmtId="165" fontId="1" fillId="0" borderId="30" xfId="0" applyNumberFormat="1" applyFont="1" applyFill="1" applyBorder="1"/>
    <xf numFmtId="0" fontId="5" fillId="5" borderId="0" xfId="0" applyFont="1" applyFill="1" applyAlignment="1">
      <alignment horizontal="center" vertical="center" textRotation="90" wrapText="1"/>
    </xf>
    <xf numFmtId="0" fontId="1" fillId="5" borderId="0" xfId="0" applyFont="1" applyFill="1"/>
    <xf numFmtId="0" fontId="0" fillId="5" borderId="0" xfId="0" applyFill="1"/>
    <xf numFmtId="165" fontId="0" fillId="0" borderId="10" xfId="0" applyNumberFormat="1" applyFill="1" applyBorder="1"/>
    <xf numFmtId="165" fontId="0" fillId="0" borderId="18" xfId="0" applyNumberFormat="1" applyFill="1" applyBorder="1"/>
    <xf numFmtId="0" fontId="1" fillId="0" borderId="0" xfId="0" applyFont="1" applyFill="1"/>
    <xf numFmtId="165" fontId="1" fillId="0" borderId="20" xfId="0" applyNumberFormat="1" applyFont="1" applyFill="1" applyBorder="1"/>
    <xf numFmtId="0" fontId="0" fillId="0" borderId="14" xfId="0" applyFill="1" applyBorder="1"/>
    <xf numFmtId="165" fontId="0" fillId="0" borderId="14" xfId="0" applyNumberFormat="1" applyFill="1" applyBorder="1"/>
    <xf numFmtId="165" fontId="0" fillId="0" borderId="15" xfId="0" applyNumberFormat="1" applyFill="1" applyBorder="1"/>
    <xf numFmtId="0" fontId="10" fillId="0" borderId="0" xfId="0" applyFont="1" applyFill="1" applyBorder="1"/>
    <xf numFmtId="0" fontId="0" fillId="0" borderId="0" xfId="0" applyAlignment="1"/>
    <xf numFmtId="0" fontId="2" fillId="0" borderId="0" xfId="0" applyFont="1" applyAlignment="1">
      <alignment horizontal="left" vertical="top"/>
    </xf>
    <xf numFmtId="0" fontId="3" fillId="0" borderId="0" xfId="0" applyFont="1" applyAlignment="1">
      <alignment horizontal="left" vertical="top"/>
    </xf>
    <xf numFmtId="0" fontId="2" fillId="3" borderId="0" xfId="0" applyFont="1" applyFill="1" applyAlignment="1">
      <alignment horizontal="center" vertical="top"/>
    </xf>
    <xf numFmtId="0" fontId="0" fillId="0" borderId="0" xfId="0" applyFont="1" applyAlignment="1">
      <alignment horizontal="left" vertical="top"/>
    </xf>
    <xf numFmtId="165" fontId="0" fillId="0" borderId="0" xfId="0" applyNumberFormat="1" applyFont="1" applyAlignment="1">
      <alignment horizontal="right" vertical="top"/>
    </xf>
    <xf numFmtId="165" fontId="0" fillId="0" borderId="0" xfId="0" applyNumberFormat="1" applyFont="1" applyAlignment="1">
      <alignment horizontal="left" vertical="top"/>
    </xf>
    <xf numFmtId="0" fontId="2" fillId="5" borderId="0" xfId="0" applyFont="1" applyFill="1" applyAlignment="1">
      <alignment horizontal="center" vertical="top"/>
    </xf>
    <xf numFmtId="0" fontId="0" fillId="0" borderId="0" xfId="0" applyFont="1" applyBorder="1" applyAlignment="1">
      <alignment horizontal="left" vertical="top"/>
    </xf>
    <xf numFmtId="165" fontId="0" fillId="0" borderId="0" xfId="0" applyNumberFormat="1" applyFont="1" applyBorder="1" applyAlignment="1">
      <alignment horizontal="right" vertical="top"/>
    </xf>
    <xf numFmtId="0" fontId="2" fillId="5" borderId="0" xfId="0" applyFont="1" applyFill="1" applyBorder="1" applyAlignment="1">
      <alignment horizontal="center" vertical="top"/>
    </xf>
    <xf numFmtId="165" fontId="0" fillId="0" borderId="0" xfId="0" applyNumberFormat="1" applyFont="1" applyBorder="1" applyAlignment="1">
      <alignment horizontal="left" vertical="top"/>
    </xf>
    <xf numFmtId="0" fontId="2" fillId="0" borderId="0" xfId="0" applyFont="1" applyBorder="1" applyAlignment="1">
      <alignment horizontal="center" vertical="top"/>
    </xf>
    <xf numFmtId="0" fontId="2" fillId="3" borderId="0" xfId="0" applyFont="1" applyFill="1" applyBorder="1" applyAlignment="1">
      <alignment horizontal="center" vertical="top"/>
    </xf>
    <xf numFmtId="0" fontId="3" fillId="0" borderId="0" xfId="0" applyFont="1" applyAlignment="1">
      <alignment horizontal="left" vertical="top" wrapText="1"/>
    </xf>
    <xf numFmtId="0" fontId="0" fillId="5" borderId="0" xfId="0" applyFill="1" applyAlignment="1">
      <alignment vertical="center" textRotation="90"/>
    </xf>
    <xf numFmtId="165" fontId="1" fillId="0" borderId="10" xfId="0" applyNumberFormat="1" applyFont="1" applyBorder="1"/>
    <xf numFmtId="0" fontId="10" fillId="0" borderId="12" xfId="0" applyFont="1" applyBorder="1"/>
    <xf numFmtId="165" fontId="10" fillId="0" borderId="0" xfId="0" applyNumberFormat="1" applyFont="1" applyFill="1" applyBorder="1"/>
    <xf numFmtId="165" fontId="10" fillId="0" borderId="12" xfId="0" applyNumberFormat="1" applyFont="1" applyFill="1" applyBorder="1"/>
    <xf numFmtId="0" fontId="10" fillId="0" borderId="0" xfId="0" applyFont="1" applyFill="1"/>
    <xf numFmtId="0" fontId="2" fillId="0" borderId="0" xfId="0" applyFont="1"/>
    <xf numFmtId="0" fontId="1" fillId="0" borderId="0" xfId="0" applyFont="1" applyAlignment="1">
      <alignment vertical="top"/>
    </xf>
    <xf numFmtId="0" fontId="1" fillId="2" borderId="0" xfId="0" applyFont="1" applyFill="1" applyAlignment="1">
      <alignment vertical="top"/>
    </xf>
    <xf numFmtId="0" fontId="0" fillId="8" borderId="21" xfId="0" applyFill="1" applyBorder="1"/>
    <xf numFmtId="165" fontId="0" fillId="8" borderId="21" xfId="0" applyNumberFormat="1" applyFill="1" applyBorder="1"/>
    <xf numFmtId="0" fontId="0" fillId="8" borderId="2" xfId="0" applyFill="1" applyBorder="1"/>
    <xf numFmtId="0" fontId="0" fillId="8" borderId="0" xfId="0" applyFill="1" applyBorder="1"/>
    <xf numFmtId="165" fontId="0" fillId="8" borderId="0" xfId="0" applyNumberFormat="1" applyFill="1" applyBorder="1"/>
    <xf numFmtId="0" fontId="0" fillId="8" borderId="4" xfId="0" applyFill="1" applyBorder="1"/>
    <xf numFmtId="0" fontId="1" fillId="8" borderId="22" xfId="0" applyFont="1" applyFill="1" applyBorder="1"/>
    <xf numFmtId="165" fontId="1" fillId="8" borderId="22" xfId="0" applyNumberFormat="1" applyFont="1" applyFill="1" applyBorder="1"/>
    <xf numFmtId="0" fontId="1" fillId="8" borderId="6" xfId="0" applyFont="1" applyFill="1" applyBorder="1"/>
    <xf numFmtId="0" fontId="0" fillId="0" borderId="21" xfId="0" applyBorder="1"/>
    <xf numFmtId="165" fontId="0" fillId="0" borderId="21" xfId="0" applyNumberFormat="1" applyBorder="1"/>
    <xf numFmtId="0" fontId="0" fillId="0" borderId="2" xfId="0" applyBorder="1"/>
    <xf numFmtId="165" fontId="0" fillId="0" borderId="0" xfId="0" applyNumberFormat="1" applyBorder="1"/>
    <xf numFmtId="0" fontId="1" fillId="0" borderId="22" xfId="0" applyFont="1" applyBorder="1"/>
    <xf numFmtId="165" fontId="1" fillId="0" borderId="22" xfId="0" applyNumberFormat="1" applyFont="1" applyBorder="1"/>
    <xf numFmtId="0" fontId="1" fillId="0" borderId="6" xfId="0" applyFont="1" applyBorder="1"/>
    <xf numFmtId="0" fontId="1" fillId="8" borderId="0" xfId="0" applyFont="1" applyFill="1" applyBorder="1"/>
    <xf numFmtId="165" fontId="1" fillId="8" borderId="0" xfId="0" applyNumberFormat="1" applyFont="1" applyFill="1" applyBorder="1"/>
    <xf numFmtId="0" fontId="1" fillId="8" borderId="4" xfId="0" applyFont="1" applyFill="1" applyBorder="1"/>
    <xf numFmtId="0" fontId="0" fillId="0" borderId="21" xfId="0" applyFill="1" applyBorder="1"/>
    <xf numFmtId="165" fontId="0" fillId="0" borderId="21" xfId="0" applyNumberFormat="1" applyFill="1" applyBorder="1"/>
    <xf numFmtId="0" fontId="0" fillId="0" borderId="2" xfId="0" applyFill="1" applyBorder="1"/>
    <xf numFmtId="0" fontId="0" fillId="8" borderId="31" xfId="0" applyFill="1" applyBorder="1"/>
    <xf numFmtId="0" fontId="0" fillId="8" borderId="32" xfId="0" applyFill="1" applyBorder="1"/>
    <xf numFmtId="0" fontId="1" fillId="8" borderId="33" xfId="0" applyFont="1" applyFill="1" applyBorder="1"/>
    <xf numFmtId="0" fontId="0" fillId="0" borderId="31" xfId="0" applyBorder="1"/>
    <xf numFmtId="0" fontId="0" fillId="0" borderId="32" xfId="0" applyBorder="1"/>
    <xf numFmtId="0" fontId="0" fillId="0" borderId="31" xfId="0" applyFill="1" applyBorder="1"/>
    <xf numFmtId="165" fontId="0" fillId="0" borderId="0" xfId="0" applyNumberFormat="1" applyBorder="1" applyAlignment="1">
      <alignment horizontal="left" vertical="top"/>
    </xf>
    <xf numFmtId="165" fontId="0" fillId="3" borderId="0" xfId="0" applyNumberFormat="1" applyFill="1" applyAlignment="1">
      <alignment vertical="top"/>
    </xf>
    <xf numFmtId="0" fontId="11" fillId="0" borderId="0" xfId="0" applyFont="1" applyAlignment="1">
      <alignment horizontal="justify" vertical="top"/>
    </xf>
    <xf numFmtId="165" fontId="1" fillId="0" borderId="27" xfId="0" applyNumberFormat="1" applyFont="1" applyFill="1" applyBorder="1"/>
    <xf numFmtId="165" fontId="1" fillId="0" borderId="27" xfId="0" applyNumberFormat="1" applyFont="1" applyBorder="1"/>
    <xf numFmtId="165" fontId="1" fillId="0" borderId="0" xfId="0" applyNumberFormat="1" applyFont="1" applyFill="1"/>
    <xf numFmtId="165" fontId="10" fillId="0" borderId="0" xfId="0" applyNumberFormat="1" applyFont="1" applyFill="1"/>
    <xf numFmtId="165" fontId="1" fillId="0" borderId="0" xfId="0" applyNumberFormat="1" applyFont="1"/>
    <xf numFmtId="0" fontId="4" fillId="0" borderId="0" xfId="0" applyFont="1"/>
    <xf numFmtId="0" fontId="0" fillId="3" borderId="0" xfId="0" applyFont="1" applyFill="1" applyBorder="1" applyAlignment="1">
      <alignment horizontal="left" vertical="top"/>
    </xf>
    <xf numFmtId="0" fontId="0" fillId="3" borderId="0" xfId="0" applyFont="1" applyFill="1" applyAlignment="1">
      <alignment horizontal="left" vertical="top"/>
    </xf>
    <xf numFmtId="0" fontId="1" fillId="0" borderId="27" xfId="0" applyFont="1" applyBorder="1"/>
    <xf numFmtId="0" fontId="1" fillId="0" borderId="0" xfId="0" applyFont="1" applyAlignment="1">
      <alignment horizontal="right"/>
    </xf>
    <xf numFmtId="0" fontId="0" fillId="0" borderId="0" xfId="0" applyFill="1" applyBorder="1" applyAlignment="1">
      <alignment horizontal="left"/>
    </xf>
    <xf numFmtId="0" fontId="0" fillId="0" borderId="0" xfId="0" applyFont="1" applyFill="1" applyBorder="1" applyAlignment="1">
      <alignment horizontal="left"/>
    </xf>
    <xf numFmtId="0" fontId="1" fillId="0" borderId="0" xfId="0" applyFont="1" applyAlignment="1">
      <alignment horizontal="left" vertical="top" wrapText="1"/>
    </xf>
    <xf numFmtId="0" fontId="3" fillId="0" borderId="9" xfId="0" applyFont="1" applyBorder="1" applyAlignment="1">
      <alignment horizontal="left"/>
    </xf>
    <xf numFmtId="0" fontId="3" fillId="0" borderId="0" xfId="0" applyFont="1" applyBorder="1" applyAlignment="1">
      <alignment horizontal="left"/>
    </xf>
    <xf numFmtId="0" fontId="1" fillId="5" borderId="14" xfId="0" applyFont="1" applyFill="1" applyBorder="1" applyAlignment="1">
      <alignment horizontal="left"/>
    </xf>
    <xf numFmtId="0" fontId="3" fillId="0" borderId="8" xfId="0" applyFont="1" applyBorder="1" applyAlignment="1">
      <alignment horizontal="left"/>
    </xf>
    <xf numFmtId="0" fontId="0" fillId="0" borderId="11" xfId="0" applyFill="1" applyBorder="1" applyAlignment="1">
      <alignment horizontal="left"/>
    </xf>
    <xf numFmtId="0" fontId="10" fillId="0" borderId="11" xfId="0" applyFont="1" applyFill="1" applyBorder="1" applyAlignment="1">
      <alignment horizontal="left"/>
    </xf>
    <xf numFmtId="0" fontId="1" fillId="0" borderId="29" xfId="0" applyFont="1" applyFill="1" applyBorder="1" applyAlignment="1">
      <alignment horizontal="left"/>
    </xf>
    <xf numFmtId="0" fontId="1" fillId="5" borderId="8" xfId="0" applyFont="1" applyFill="1" applyBorder="1" applyAlignment="1">
      <alignment horizontal="left"/>
    </xf>
    <xf numFmtId="0" fontId="1" fillId="5" borderId="11" xfId="0" applyFont="1" applyFill="1" applyBorder="1" applyAlignment="1">
      <alignment horizontal="left"/>
    </xf>
    <xf numFmtId="0" fontId="1" fillId="5" borderId="13" xfId="0" applyFont="1" applyFill="1" applyBorder="1" applyAlignment="1">
      <alignment horizontal="left"/>
    </xf>
    <xf numFmtId="0" fontId="1" fillId="0" borderId="11" xfId="0" applyFont="1" applyFill="1" applyBorder="1" applyAlignment="1">
      <alignment horizontal="left"/>
    </xf>
    <xf numFmtId="0" fontId="0" fillId="0" borderId="13" xfId="0" applyFill="1" applyBorder="1" applyAlignment="1">
      <alignment horizontal="left"/>
    </xf>
    <xf numFmtId="0" fontId="1" fillId="0" borderId="0" xfId="0" applyFont="1" applyAlignment="1">
      <alignment horizontal="left"/>
    </xf>
    <xf numFmtId="14" fontId="0" fillId="0" borderId="0" xfId="0" applyNumberFormat="1" applyFont="1" applyAlignment="1">
      <alignment horizontal="left"/>
    </xf>
    <xf numFmtId="14" fontId="10" fillId="0" borderId="0" xfId="0" applyNumberFormat="1" applyFont="1" applyAlignment="1">
      <alignment horizontal="left"/>
    </xf>
    <xf numFmtId="0" fontId="10" fillId="0" borderId="0" xfId="0" applyFont="1" applyFill="1" applyAlignment="1">
      <alignment horizontal="center"/>
    </xf>
    <xf numFmtId="0" fontId="5" fillId="0" borderId="0" xfId="0" applyFont="1"/>
    <xf numFmtId="0" fontId="10" fillId="0" borderId="0" xfId="0" applyFont="1"/>
    <xf numFmtId="165" fontId="10" fillId="0" borderId="0" xfId="0" applyNumberFormat="1" applyFont="1"/>
    <xf numFmtId="14" fontId="10" fillId="0" borderId="0" xfId="0" applyNumberFormat="1" applyFont="1" applyFill="1" applyAlignment="1">
      <alignment horizontal="left"/>
    </xf>
    <xf numFmtId="0" fontId="10" fillId="0" borderId="0" xfId="0" applyFont="1" applyAlignment="1">
      <alignment horizontal="center"/>
    </xf>
    <xf numFmtId="165" fontId="5" fillId="0" borderId="27" xfId="0" applyNumberFormat="1" applyFont="1" applyBorder="1"/>
    <xf numFmtId="0" fontId="10" fillId="0" borderId="0" xfId="0" applyFont="1" applyAlignment="1">
      <alignment horizontal="left"/>
    </xf>
    <xf numFmtId="165" fontId="15" fillId="0" borderId="27" xfId="0" applyNumberFormat="1" applyFont="1" applyBorder="1" applyAlignment="1">
      <alignment horizontal="right"/>
    </xf>
    <xf numFmtId="0" fontId="5" fillId="0" borderId="1" xfId="0" applyFont="1" applyBorder="1"/>
    <xf numFmtId="0" fontId="10" fillId="0" borderId="2" xfId="0" applyFont="1" applyBorder="1"/>
    <xf numFmtId="0" fontId="5" fillId="0" borderId="31" xfId="0" applyFont="1" applyBorder="1"/>
    <xf numFmtId="0" fontId="5" fillId="0" borderId="2" xfId="0" applyFont="1" applyBorder="1"/>
    <xf numFmtId="0" fontId="10" fillId="0" borderId="3" xfId="0" applyFont="1" applyBorder="1"/>
    <xf numFmtId="0" fontId="10" fillId="0" borderId="4" xfId="0" applyFont="1" applyBorder="1"/>
    <xf numFmtId="166" fontId="10" fillId="0" borderId="32" xfId="0" applyNumberFormat="1" applyFont="1" applyBorder="1"/>
    <xf numFmtId="166" fontId="10" fillId="0" borderId="4" xfId="0" applyNumberFormat="1" applyFont="1" applyBorder="1"/>
    <xf numFmtId="166" fontId="10" fillId="0" borderId="33" xfId="0" applyNumberFormat="1" applyFont="1" applyBorder="1"/>
    <xf numFmtId="166" fontId="10" fillId="0" borderId="6" xfId="0" applyNumberFormat="1" applyFont="1" applyBorder="1"/>
    <xf numFmtId="0" fontId="10" fillId="0" borderId="5" xfId="0" applyFont="1" applyBorder="1"/>
    <xf numFmtId="0" fontId="10" fillId="0" borderId="6" xfId="0" applyFont="1" applyBorder="1"/>
    <xf numFmtId="0" fontId="5" fillId="0" borderId="0" xfId="0" applyFont="1" applyFill="1"/>
    <xf numFmtId="0" fontId="5" fillId="7" borderId="0" xfId="0" applyFont="1" applyFill="1"/>
    <xf numFmtId="165" fontId="16" fillId="0" borderId="0" xfId="0" applyNumberFormat="1" applyFont="1" applyFill="1" applyBorder="1"/>
    <xf numFmtId="0" fontId="10" fillId="0" borderId="12" xfId="0" applyFont="1" applyFill="1" applyBorder="1"/>
    <xf numFmtId="165" fontId="10" fillId="0" borderId="17" xfId="0" applyNumberFormat="1" applyFont="1" applyFill="1" applyBorder="1"/>
    <xf numFmtId="165" fontId="10" fillId="6" borderId="17" xfId="0" applyNumberFormat="1" applyFont="1" applyFill="1" applyBorder="1"/>
    <xf numFmtId="0" fontId="5" fillId="5" borderId="0" xfId="0" applyFont="1" applyFill="1"/>
    <xf numFmtId="0" fontId="10" fillId="5" borderId="0" xfId="0" applyFont="1" applyFill="1"/>
    <xf numFmtId="0" fontId="17" fillId="7" borderId="0" xfId="0" applyFont="1" applyFill="1"/>
    <xf numFmtId="0" fontId="10" fillId="7" borderId="0" xfId="0" applyFont="1" applyFill="1"/>
    <xf numFmtId="0" fontId="10" fillId="0" borderId="0" xfId="0" applyFont="1" applyFill="1" applyBorder="1" applyAlignment="1">
      <alignment horizontal="right" vertical="center"/>
    </xf>
    <xf numFmtId="0" fontId="10" fillId="3" borderId="11" xfId="0" applyFont="1" applyFill="1" applyBorder="1" applyAlignment="1">
      <alignment horizontal="left"/>
    </xf>
    <xf numFmtId="0" fontId="10" fillId="0" borderId="0" xfId="0" applyFont="1" applyBorder="1" applyAlignment="1">
      <alignment vertical="top" wrapText="1"/>
    </xf>
    <xf numFmtId="0" fontId="10" fillId="0" borderId="12" xfId="0" applyFont="1" applyBorder="1" applyAlignment="1">
      <alignment vertical="top" wrapText="1"/>
    </xf>
    <xf numFmtId="0" fontId="10" fillId="0" borderId="0" xfId="0" applyFont="1" applyBorder="1"/>
    <xf numFmtId="0" fontId="10" fillId="0" borderId="0" xfId="0" applyFont="1" applyFill="1" applyBorder="1" applyAlignment="1">
      <alignment horizontal="left" wrapText="1"/>
    </xf>
    <xf numFmtId="0" fontId="10" fillId="0" borderId="12" xfId="0" applyFont="1" applyFill="1" applyBorder="1" applyAlignment="1">
      <alignment horizontal="left" wrapText="1"/>
    </xf>
    <xf numFmtId="0" fontId="10" fillId="6" borderId="0" xfId="0" applyFont="1" applyFill="1" applyBorder="1" applyAlignment="1">
      <alignment vertical="top" wrapText="1"/>
    </xf>
    <xf numFmtId="0" fontId="10" fillId="6" borderId="12" xfId="0" applyFont="1" applyFill="1" applyBorder="1" applyAlignment="1">
      <alignment vertical="top" wrapText="1"/>
    </xf>
    <xf numFmtId="165" fontId="10" fillId="6" borderId="12" xfId="0" applyNumberFormat="1" applyFont="1" applyFill="1" applyBorder="1"/>
    <xf numFmtId="0" fontId="10" fillId="6" borderId="11" xfId="0" applyFont="1" applyFill="1" applyBorder="1" applyAlignment="1">
      <alignment horizontal="left"/>
    </xf>
    <xf numFmtId="0" fontId="10" fillId="6" borderId="0" xfId="0" applyFont="1" applyFill="1" applyBorder="1"/>
    <xf numFmtId="0" fontId="10" fillId="6" borderId="12" xfId="0" applyFont="1" applyFill="1" applyBorder="1"/>
    <xf numFmtId="0" fontId="10" fillId="0" borderId="11" xfId="0" applyFont="1" applyBorder="1" applyAlignment="1">
      <alignment horizontal="left"/>
    </xf>
    <xf numFmtId="165" fontId="10" fillId="0" borderId="12" xfId="0" applyNumberFormat="1" applyFont="1" applyBorder="1"/>
    <xf numFmtId="0" fontId="10" fillId="0" borderId="0" xfId="0" applyFont="1" applyFill="1" applyAlignment="1">
      <alignment horizontal="left"/>
    </xf>
    <xf numFmtId="165" fontId="10" fillId="0" borderId="17" xfId="0" applyNumberFormat="1" applyFont="1" applyBorder="1"/>
    <xf numFmtId="0" fontId="10" fillId="3" borderId="26" xfId="0" applyFont="1" applyFill="1" applyBorder="1"/>
    <xf numFmtId="0" fontId="10" fillId="3" borderId="26" xfId="0" applyFont="1" applyFill="1"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xf>
    <xf numFmtId="0" fontId="6" fillId="0" borderId="0" xfId="0" applyFont="1"/>
    <xf numFmtId="0" fontId="18" fillId="0" borderId="0" xfId="0" applyFont="1" applyAlignment="1">
      <alignment vertical="top" wrapText="1"/>
    </xf>
    <xf numFmtId="0" fontId="18" fillId="0" borderId="18" xfId="0" applyFont="1" applyBorder="1" applyAlignment="1">
      <alignment horizontal="center" vertical="distributed" textRotation="90" justifyLastLine="1"/>
    </xf>
    <xf numFmtId="0" fontId="18" fillId="0" borderId="17" xfId="0" applyFont="1" applyBorder="1" applyAlignment="1">
      <alignment horizontal="center" vertical="center" textRotation="90"/>
    </xf>
    <xf numFmtId="0" fontId="18" fillId="0" borderId="19" xfId="0" applyFont="1" applyBorder="1" applyAlignment="1">
      <alignment horizontal="center" vertical="center" textRotation="90"/>
    </xf>
    <xf numFmtId="0" fontId="18" fillId="0" borderId="18" xfId="0" applyFont="1" applyBorder="1" applyAlignment="1">
      <alignment vertical="top" textRotation="90"/>
    </xf>
    <xf numFmtId="0" fontId="18" fillId="0" borderId="17" xfId="0" applyFont="1" applyBorder="1" applyAlignment="1">
      <alignment vertical="top" textRotation="90"/>
    </xf>
    <xf numFmtId="0" fontId="18" fillId="0" borderId="19" xfId="0" applyFont="1" applyBorder="1" applyAlignment="1">
      <alignment vertical="top" textRotation="90"/>
    </xf>
    <xf numFmtId="0" fontId="18" fillId="0" borderId="18" xfId="0" applyFont="1" applyBorder="1" applyAlignment="1">
      <alignment vertical="center" textRotation="90"/>
    </xf>
    <xf numFmtId="0" fontId="6" fillId="0" borderId="17" xfId="0" applyFont="1" applyBorder="1" applyAlignment="1">
      <alignment vertical="center" textRotation="90"/>
    </xf>
    <xf numFmtId="0" fontId="6" fillId="0" borderId="19" xfId="0" applyFont="1" applyBorder="1" applyAlignment="1">
      <alignment vertical="center" textRotation="90"/>
    </xf>
    <xf numFmtId="0" fontId="18" fillId="0" borderId="18" xfId="0" applyFont="1" applyBorder="1" applyAlignment="1">
      <alignment horizontal="right" textRotation="90"/>
    </xf>
    <xf numFmtId="0" fontId="18" fillId="0" borderId="17" xfId="0" applyFont="1" applyBorder="1" applyAlignment="1">
      <alignment vertical="center" textRotation="90"/>
    </xf>
    <xf numFmtId="0" fontId="18" fillId="0" borderId="19" xfId="0" applyFont="1" applyBorder="1" applyAlignment="1">
      <alignment vertical="center" textRotation="90"/>
    </xf>
    <xf numFmtId="0" fontId="18" fillId="0" borderId="11" xfId="0" applyFont="1" applyBorder="1" applyAlignment="1">
      <alignment vertical="center" textRotation="90"/>
    </xf>
    <xf numFmtId="0" fontId="6" fillId="0" borderId="18" xfId="0" applyFont="1" applyBorder="1"/>
    <xf numFmtId="0" fontId="6" fillId="0" borderId="17" xfId="0" applyFont="1" applyBorder="1"/>
    <xf numFmtId="0" fontId="18" fillId="0" borderId="17" xfId="0" applyFont="1" applyBorder="1"/>
    <xf numFmtId="0" fontId="18" fillId="0" borderId="17" xfId="0" applyFont="1" applyFill="1" applyBorder="1"/>
    <xf numFmtId="0" fontId="6" fillId="0" borderId="17" xfId="0" applyFont="1" applyFill="1" applyBorder="1"/>
    <xf numFmtId="0" fontId="6" fillId="0" borderId="19" xfId="0" applyFont="1" applyFill="1" applyBorder="1"/>
    <xf numFmtId="0" fontId="18" fillId="0" borderId="0" xfId="0" applyFont="1"/>
    <xf numFmtId="0" fontId="5" fillId="0" borderId="0" xfId="0" applyFont="1" applyAlignment="1">
      <alignment horizontal="left"/>
    </xf>
    <xf numFmtId="0" fontId="0" fillId="0" borderId="0" xfId="0" applyAlignment="1">
      <alignment vertical="top" wrapText="1"/>
    </xf>
    <xf numFmtId="0" fontId="0" fillId="0" borderId="0" xfId="0" applyAlignment="1">
      <alignment wrapText="1"/>
    </xf>
    <xf numFmtId="0" fontId="2" fillId="0" borderId="0" xfId="0" applyFont="1" applyAlignment="1">
      <alignment horizontal="center"/>
    </xf>
    <xf numFmtId="0" fontId="0" fillId="0" borderId="0" xfId="0" applyAlignment="1">
      <alignment horizontal="center"/>
    </xf>
    <xf numFmtId="0" fontId="0" fillId="0" borderId="0" xfId="0" applyAlignment="1">
      <alignment horizontal="justify" vertical="center" wrapText="1"/>
    </xf>
    <xf numFmtId="0" fontId="2" fillId="0" borderId="0" xfId="0" applyFont="1" applyAlignment="1">
      <alignment horizontal="center" vertical="top"/>
    </xf>
    <xf numFmtId="0" fontId="0" fillId="0" borderId="0" xfId="0" applyAlignment="1">
      <alignment horizontal="center" vertical="top"/>
    </xf>
    <xf numFmtId="0" fontId="11" fillId="0" borderId="11" xfId="0" applyFont="1" applyBorder="1" applyAlignment="1">
      <alignment vertical="top" wrapText="1"/>
    </xf>
    <xf numFmtId="0" fontId="11" fillId="0" borderId="0" xfId="0" applyFont="1" applyAlignment="1">
      <alignment vertical="top" wrapText="1"/>
    </xf>
    <xf numFmtId="0" fontId="11" fillId="0" borderId="12" xfId="0" applyFont="1" applyBorder="1" applyAlignment="1">
      <alignment vertical="top" wrapText="1"/>
    </xf>
    <xf numFmtId="0" fontId="10" fillId="0" borderId="11" xfId="0" applyFont="1" applyBorder="1" applyAlignment="1">
      <alignment wrapText="1"/>
    </xf>
    <xf numFmtId="0" fontId="10" fillId="0" borderId="0" xfId="0" applyFont="1" applyAlignment="1"/>
    <xf numFmtId="0" fontId="10" fillId="0" borderId="12" xfId="0" applyFont="1" applyBorder="1" applyAlignment="1"/>
    <xf numFmtId="0" fontId="13" fillId="0" borderId="11" xfId="0" applyFont="1" applyBorder="1" applyAlignment="1">
      <alignment vertical="top" wrapText="1"/>
    </xf>
    <xf numFmtId="0" fontId="13" fillId="0" borderId="0" xfId="0" applyFont="1" applyBorder="1" applyAlignment="1">
      <alignment vertical="top" wrapText="1"/>
    </xf>
    <xf numFmtId="0" fontId="13" fillId="0" borderId="0" xfId="0" applyFont="1" applyAlignment="1"/>
    <xf numFmtId="0" fontId="13" fillId="0" borderId="12" xfId="0" applyFont="1" applyBorder="1" applyAlignment="1"/>
    <xf numFmtId="0" fontId="2" fillId="8" borderId="21" xfId="0" applyFont="1" applyFill="1" applyBorder="1" applyAlignment="1">
      <alignment vertical="center" textRotation="89"/>
    </xf>
    <xf numFmtId="0" fontId="2" fillId="0" borderId="0" xfId="0" applyFont="1" applyBorder="1" applyAlignment="1">
      <alignment vertical="center" textRotation="89"/>
    </xf>
    <xf numFmtId="0" fontId="2" fillId="0" borderId="22" xfId="0" applyFont="1" applyBorder="1" applyAlignment="1">
      <alignment vertical="center" textRotation="89"/>
    </xf>
    <xf numFmtId="0" fontId="2" fillId="0" borderId="21" xfId="0" applyFont="1" applyFill="1" applyBorder="1" applyAlignment="1">
      <alignment vertical="center" textRotation="89"/>
    </xf>
    <xf numFmtId="0" fontId="2" fillId="0" borderId="0" xfId="0" applyFont="1" applyFill="1" applyBorder="1" applyAlignment="1">
      <alignment vertical="center" textRotation="89"/>
    </xf>
    <xf numFmtId="0" fontId="2" fillId="0" borderId="22" xfId="0" applyFont="1" applyFill="1" applyBorder="1" applyAlignment="1">
      <alignment vertical="center" textRotation="89"/>
    </xf>
    <xf numFmtId="0" fontId="2" fillId="8" borderId="0" xfId="0" applyFont="1" applyFill="1" applyBorder="1" applyAlignment="1">
      <alignment vertical="center" textRotation="89"/>
    </xf>
    <xf numFmtId="0" fontId="2" fillId="0" borderId="0" xfId="0" applyFont="1" applyBorder="1" applyAlignment="1">
      <alignment horizontal="center" vertical="center" textRotation="90"/>
    </xf>
    <xf numFmtId="0" fontId="8" fillId="0" borderId="0" xfId="0" applyFont="1" applyAlignment="1">
      <alignment horizontal="center" vertical="center" textRotation="90"/>
    </xf>
    <xf numFmtId="0" fontId="2" fillId="0" borderId="0" xfId="0" applyFont="1" applyAlignment="1">
      <alignment horizontal="center" vertical="center" textRotation="90"/>
    </xf>
    <xf numFmtId="0" fontId="0" fillId="0" borderId="0" xfId="0" applyAlignment="1">
      <alignment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J41"/>
  <sheetViews>
    <sheetView topLeftCell="A24" workbookViewId="0">
      <selection activeCell="A35" sqref="A35:XFD35"/>
    </sheetView>
  </sheetViews>
  <sheetFormatPr baseColWidth="10" defaultRowHeight="15" x14ac:dyDescent="0.25"/>
  <cols>
    <col min="1" max="1" width="3.7109375" style="37" customWidth="1"/>
  </cols>
  <sheetData>
    <row r="1" spans="1:10" ht="21" x14ac:dyDescent="0.35">
      <c r="A1" s="321" t="s">
        <v>94</v>
      </c>
      <c r="B1" s="322"/>
      <c r="C1" s="322"/>
      <c r="D1" s="322"/>
      <c r="E1" s="322"/>
      <c r="F1" s="322"/>
      <c r="G1" s="322"/>
      <c r="H1" s="322"/>
      <c r="I1" s="322"/>
      <c r="J1" s="322"/>
    </row>
    <row r="3" spans="1:10" ht="15.75" x14ac:dyDescent="0.25">
      <c r="A3" s="58" t="s">
        <v>113</v>
      </c>
    </row>
    <row r="4" spans="1:10" x14ac:dyDescent="0.25">
      <c r="A4" s="37">
        <v>1</v>
      </c>
      <c r="B4" t="s">
        <v>95</v>
      </c>
      <c r="J4" s="36"/>
    </row>
    <row r="5" spans="1:10" x14ac:dyDescent="0.25">
      <c r="B5" t="s">
        <v>160</v>
      </c>
      <c r="J5" s="36"/>
    </row>
    <row r="6" spans="1:10" x14ac:dyDescent="0.25">
      <c r="B6" t="s">
        <v>151</v>
      </c>
      <c r="J6" s="36"/>
    </row>
    <row r="7" spans="1:10" x14ac:dyDescent="0.25">
      <c r="B7" t="s">
        <v>152</v>
      </c>
      <c r="J7" s="36"/>
    </row>
    <row r="8" spans="1:10" ht="46.5" customHeight="1" x14ac:dyDescent="0.25">
      <c r="B8" s="320" t="s">
        <v>122</v>
      </c>
      <c r="C8" s="320"/>
      <c r="D8" s="320"/>
      <c r="E8" s="320"/>
      <c r="F8" s="320"/>
      <c r="G8" s="320"/>
      <c r="H8" s="320"/>
      <c r="I8" s="320"/>
      <c r="J8" s="320"/>
    </row>
    <row r="9" spans="1:10" ht="15.75" x14ac:dyDescent="0.25">
      <c r="A9" s="58" t="s">
        <v>114</v>
      </c>
    </row>
    <row r="10" spans="1:10" x14ac:dyDescent="0.25">
      <c r="A10" s="37">
        <v>2</v>
      </c>
      <c r="B10" t="s">
        <v>121</v>
      </c>
      <c r="D10" s="40"/>
      <c r="E10" t="s">
        <v>112</v>
      </c>
      <c r="J10" s="36"/>
    </row>
    <row r="11" spans="1:10" ht="32.25" customHeight="1" x14ac:dyDescent="0.25">
      <c r="B11" s="319" t="s">
        <v>123</v>
      </c>
      <c r="C11" s="319"/>
      <c r="D11" s="319"/>
      <c r="E11" s="319"/>
      <c r="F11" s="319"/>
      <c r="G11" s="319"/>
      <c r="H11" s="319"/>
      <c r="I11" s="319"/>
      <c r="J11" s="319"/>
    </row>
    <row r="12" spans="1:10" ht="15.75" x14ac:dyDescent="0.25">
      <c r="A12" s="58" t="s">
        <v>84</v>
      </c>
    </row>
    <row r="15" spans="1:10" ht="15.75" x14ac:dyDescent="0.25">
      <c r="A15" s="58" t="s">
        <v>36</v>
      </c>
    </row>
    <row r="16" spans="1:10" x14ac:dyDescent="0.25">
      <c r="B16" t="s">
        <v>216</v>
      </c>
    </row>
    <row r="17" spans="1:10" x14ac:dyDescent="0.25">
      <c r="B17" t="s">
        <v>217</v>
      </c>
    </row>
    <row r="18" spans="1:10" ht="31.5" customHeight="1" x14ac:dyDescent="0.25">
      <c r="B18" s="319" t="s">
        <v>218</v>
      </c>
      <c r="C18" s="319"/>
      <c r="D18" s="319"/>
      <c r="E18" s="319"/>
      <c r="F18" s="319"/>
      <c r="G18" s="319"/>
      <c r="H18" s="319"/>
      <c r="I18" s="319"/>
      <c r="J18" s="319"/>
    </row>
    <row r="19" spans="1:10" ht="15.75" x14ac:dyDescent="0.25">
      <c r="A19" s="58" t="s">
        <v>38</v>
      </c>
    </row>
    <row r="21" spans="1:10" ht="15.75" x14ac:dyDescent="0.25">
      <c r="A21" s="58" t="s">
        <v>54</v>
      </c>
    </row>
    <row r="22" spans="1:10" ht="48.75" customHeight="1" x14ac:dyDescent="0.25">
      <c r="A22" s="58"/>
      <c r="B22" s="319" t="s">
        <v>208</v>
      </c>
      <c r="C22" s="319"/>
      <c r="D22" s="319"/>
      <c r="E22" s="319"/>
      <c r="F22" s="319"/>
      <c r="G22" s="319"/>
      <c r="H22" s="319"/>
      <c r="I22" s="319"/>
      <c r="J22" s="319"/>
    </row>
    <row r="23" spans="1:10" ht="34.5" customHeight="1" x14ac:dyDescent="0.25">
      <c r="A23" s="58"/>
      <c r="B23" s="319" t="s">
        <v>198</v>
      </c>
      <c r="C23" s="319"/>
      <c r="D23" s="319"/>
      <c r="E23" s="319"/>
      <c r="F23" s="319"/>
      <c r="G23" s="319"/>
      <c r="H23" s="319"/>
      <c r="I23" s="319"/>
      <c r="J23" s="319"/>
    </row>
    <row r="24" spans="1:10" ht="48" customHeight="1" x14ac:dyDescent="0.25">
      <c r="A24" s="58"/>
      <c r="B24" s="319" t="s">
        <v>209</v>
      </c>
      <c r="C24" s="319"/>
      <c r="D24" s="319"/>
      <c r="E24" s="319"/>
      <c r="F24" s="319"/>
      <c r="G24" s="319"/>
      <c r="H24" s="319"/>
      <c r="I24" s="319"/>
      <c r="J24" s="319"/>
    </row>
    <row r="25" spans="1:10" ht="15.75" x14ac:dyDescent="0.25">
      <c r="A25" s="58" t="s">
        <v>34</v>
      </c>
    </row>
    <row r="26" spans="1:10" ht="33.75" customHeight="1" x14ac:dyDescent="0.25">
      <c r="A26" s="58"/>
      <c r="B26" s="319" t="s">
        <v>210</v>
      </c>
      <c r="C26" s="319"/>
      <c r="D26" s="319"/>
      <c r="E26" s="319"/>
      <c r="F26" s="319"/>
      <c r="G26" s="319"/>
      <c r="H26" s="319"/>
      <c r="I26" s="319"/>
      <c r="J26" s="319"/>
    </row>
    <row r="27" spans="1:10" ht="48" customHeight="1" x14ac:dyDescent="0.25">
      <c r="A27" s="58"/>
      <c r="B27" s="319" t="s">
        <v>211</v>
      </c>
      <c r="C27" s="319"/>
      <c r="D27" s="319"/>
      <c r="E27" s="319"/>
      <c r="F27" s="319"/>
      <c r="G27" s="319"/>
      <c r="H27" s="319"/>
      <c r="I27" s="319"/>
      <c r="J27" s="319"/>
    </row>
    <row r="28" spans="1:10" ht="15.75" x14ac:dyDescent="0.25">
      <c r="A28" s="58" t="s">
        <v>57</v>
      </c>
    </row>
    <row r="32" spans="1:10" ht="15.75" x14ac:dyDescent="0.25">
      <c r="A32" s="58" t="s">
        <v>69</v>
      </c>
      <c r="I32" t="s">
        <v>120</v>
      </c>
    </row>
    <row r="36" spans="1:1" ht="15.75" x14ac:dyDescent="0.25">
      <c r="A36" s="58" t="s">
        <v>115</v>
      </c>
    </row>
    <row r="38" spans="1:1" ht="15.75" x14ac:dyDescent="0.25">
      <c r="A38" s="58" t="s">
        <v>116</v>
      </c>
    </row>
    <row r="39" spans="1:1" ht="21" x14ac:dyDescent="0.35">
      <c r="A39" s="61" t="s">
        <v>117</v>
      </c>
    </row>
    <row r="40" spans="1:1" ht="21" x14ac:dyDescent="0.35">
      <c r="A40" s="61" t="s">
        <v>118</v>
      </c>
    </row>
    <row r="41" spans="1:1" ht="21" x14ac:dyDescent="0.35">
      <c r="A41" s="61" t="s">
        <v>119</v>
      </c>
    </row>
  </sheetData>
  <mergeCells count="9">
    <mergeCell ref="B27:J27"/>
    <mergeCell ref="B18:J18"/>
    <mergeCell ref="B8:J8"/>
    <mergeCell ref="B11:J11"/>
    <mergeCell ref="A1:J1"/>
    <mergeCell ref="B22:J22"/>
    <mergeCell ref="B23:J23"/>
    <mergeCell ref="B24:J24"/>
    <mergeCell ref="B26:J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63"/>
  <sheetViews>
    <sheetView topLeftCell="A50" workbookViewId="0">
      <selection activeCell="B23" sqref="B23"/>
    </sheetView>
  </sheetViews>
  <sheetFormatPr baseColWidth="10" defaultRowHeight="15" x14ac:dyDescent="0.25"/>
  <cols>
    <col min="1" max="1" width="37.42578125" customWidth="1"/>
    <col min="3" max="3" width="12.28515625" customWidth="1"/>
    <col min="8" max="8" width="12.28515625" customWidth="1"/>
  </cols>
  <sheetData>
    <row r="1" spans="1:13" ht="18.75" x14ac:dyDescent="0.3">
      <c r="A1" t="s">
        <v>6</v>
      </c>
      <c r="B1" s="36">
        <v>2015</v>
      </c>
      <c r="H1" s="38"/>
      <c r="I1" s="38"/>
    </row>
    <row r="2" spans="1:13" s="60" customFormat="1" ht="30" x14ac:dyDescent="0.25">
      <c r="B2" s="17" t="s">
        <v>143</v>
      </c>
      <c r="C2" s="17"/>
      <c r="D2" s="17" t="s">
        <v>149</v>
      </c>
      <c r="E2" s="17" t="s">
        <v>144</v>
      </c>
      <c r="F2" s="17" t="s">
        <v>145</v>
      </c>
      <c r="G2" s="17" t="s">
        <v>146</v>
      </c>
      <c r="H2" s="51" t="s">
        <v>147</v>
      </c>
      <c r="I2" s="51" t="s">
        <v>148</v>
      </c>
      <c r="J2" s="17" t="s">
        <v>162</v>
      </c>
      <c r="K2" s="17" t="s">
        <v>163</v>
      </c>
      <c r="L2" s="17" t="s">
        <v>164</v>
      </c>
      <c r="M2" s="17" t="s">
        <v>165</v>
      </c>
    </row>
    <row r="3" spans="1:13" ht="18.75" x14ac:dyDescent="0.3">
      <c r="A3" t="s">
        <v>10</v>
      </c>
      <c r="B3" s="36" t="s">
        <v>142</v>
      </c>
      <c r="D3" s="36"/>
      <c r="E3" s="36" t="s">
        <v>161</v>
      </c>
      <c r="F3" s="36" t="s">
        <v>150</v>
      </c>
      <c r="G3" s="36"/>
      <c r="H3" s="41"/>
      <c r="I3" s="111"/>
      <c r="J3" s="36"/>
      <c r="K3" s="36"/>
      <c r="L3" s="36"/>
      <c r="M3" s="36"/>
    </row>
    <row r="4" spans="1:13" ht="18.75" x14ac:dyDescent="0.3">
      <c r="A4" t="s">
        <v>11</v>
      </c>
      <c r="B4" s="43">
        <v>977</v>
      </c>
      <c r="D4" s="36"/>
      <c r="E4" s="36"/>
      <c r="F4" s="36"/>
      <c r="G4" s="36"/>
      <c r="H4" s="41"/>
      <c r="I4" s="111"/>
      <c r="J4" s="36"/>
      <c r="K4" s="36"/>
      <c r="L4" s="36"/>
      <c r="M4" s="36"/>
    </row>
    <row r="5" spans="1:13" ht="18.75" x14ac:dyDescent="0.3">
      <c r="A5" t="s">
        <v>24</v>
      </c>
      <c r="B5" s="36" t="s">
        <v>96</v>
      </c>
      <c r="D5" s="36"/>
      <c r="E5" s="36"/>
      <c r="F5" s="36"/>
      <c r="G5" s="36"/>
      <c r="H5" s="41"/>
      <c r="I5" s="111"/>
      <c r="J5" s="36"/>
      <c r="K5" s="36"/>
      <c r="L5" s="36"/>
      <c r="M5" s="36"/>
    </row>
    <row r="6" spans="1:13" ht="18.75" x14ac:dyDescent="0.3">
      <c r="A6" t="s">
        <v>12</v>
      </c>
      <c r="B6" s="42">
        <v>-402.85</v>
      </c>
      <c r="D6" s="36"/>
      <c r="E6" s="36"/>
      <c r="F6" s="36"/>
      <c r="G6" s="36"/>
      <c r="H6" s="41"/>
      <c r="I6" s="111"/>
      <c r="J6" s="36"/>
      <c r="K6" s="36"/>
      <c r="L6" s="36"/>
      <c r="M6" s="36"/>
    </row>
    <row r="7" spans="1:13" ht="18.75" x14ac:dyDescent="0.3">
      <c r="A7" t="s">
        <v>13</v>
      </c>
      <c r="B7" s="42">
        <v>-11213.4</v>
      </c>
      <c r="D7" s="36"/>
      <c r="E7" s="36"/>
      <c r="F7" s="36"/>
      <c r="G7" s="36"/>
      <c r="H7" s="41"/>
      <c r="I7" s="111"/>
      <c r="J7" s="36"/>
      <c r="K7" s="36"/>
      <c r="L7" s="36"/>
      <c r="M7" s="36"/>
    </row>
    <row r="8" spans="1:13" ht="18.75" x14ac:dyDescent="0.3">
      <c r="A8" t="s">
        <v>16</v>
      </c>
      <c r="B8" s="39">
        <v>24682</v>
      </c>
      <c r="D8" s="36">
        <v>0</v>
      </c>
      <c r="E8" s="39">
        <v>35071</v>
      </c>
      <c r="F8" s="39">
        <v>35628</v>
      </c>
      <c r="G8" s="36"/>
      <c r="H8" s="41"/>
      <c r="I8" s="111"/>
      <c r="J8" s="36"/>
      <c r="K8" s="36"/>
      <c r="L8" s="36"/>
      <c r="M8" s="36"/>
    </row>
    <row r="9" spans="1:13" ht="18.75" x14ac:dyDescent="0.3">
      <c r="A9" t="s">
        <v>19</v>
      </c>
      <c r="B9" s="36" t="s">
        <v>97</v>
      </c>
      <c r="D9" s="36"/>
      <c r="E9" s="36"/>
      <c r="F9" s="116"/>
      <c r="G9" s="36"/>
      <c r="H9" s="41"/>
      <c r="I9" s="111"/>
      <c r="J9" s="36"/>
      <c r="K9" s="36"/>
      <c r="L9" s="36"/>
      <c r="M9" s="36"/>
    </row>
    <row r="10" spans="1:13" ht="18.75" x14ac:dyDescent="0.3">
      <c r="A10" t="s">
        <v>20</v>
      </c>
      <c r="B10" s="36" t="s">
        <v>98</v>
      </c>
      <c r="D10" s="36"/>
      <c r="E10" s="36"/>
      <c r="F10" s="36"/>
      <c r="G10" s="36"/>
      <c r="H10" s="41"/>
      <c r="I10" s="111"/>
      <c r="J10" s="36"/>
      <c r="K10" s="36"/>
      <c r="L10" s="36"/>
      <c r="M10" s="36"/>
    </row>
    <row r="11" spans="1:13" ht="18.75" x14ac:dyDescent="0.3">
      <c r="A11" t="s">
        <v>21</v>
      </c>
      <c r="B11" s="36" t="s">
        <v>99</v>
      </c>
      <c r="D11" s="36"/>
      <c r="E11" s="36"/>
      <c r="F11" s="36"/>
      <c r="G11" s="36"/>
      <c r="H11" s="41"/>
      <c r="I11" s="111"/>
      <c r="J11" s="36"/>
      <c r="K11" s="36"/>
      <c r="L11" s="36"/>
      <c r="M11" s="36"/>
    </row>
    <row r="12" spans="1:13" ht="18.75" x14ac:dyDescent="0.3">
      <c r="A12" t="s">
        <v>25</v>
      </c>
      <c r="B12" s="36">
        <v>2231</v>
      </c>
      <c r="D12" s="36"/>
      <c r="E12" s="36"/>
      <c r="F12" s="36"/>
      <c r="G12" s="36"/>
      <c r="H12" s="41"/>
      <c r="I12" s="111"/>
      <c r="J12" s="36"/>
      <c r="K12" s="36"/>
      <c r="L12" s="36"/>
      <c r="M12" s="36"/>
    </row>
    <row r="13" spans="1:13" x14ac:dyDescent="0.25">
      <c r="A13" t="s">
        <v>26</v>
      </c>
      <c r="B13" s="36">
        <v>2231</v>
      </c>
      <c r="D13" s="36"/>
      <c r="E13" s="36"/>
      <c r="F13" s="36"/>
      <c r="G13" s="36"/>
      <c r="H13" s="36"/>
      <c r="I13" s="36"/>
      <c r="J13" s="36"/>
      <c r="K13" s="36"/>
      <c r="L13" s="36"/>
      <c r="M13" s="36"/>
    </row>
    <row r="14" spans="1:13" x14ac:dyDescent="0.25">
      <c r="A14" t="s">
        <v>14</v>
      </c>
      <c r="B14" s="36" t="s">
        <v>104</v>
      </c>
      <c r="C14" s="36"/>
      <c r="D14" s="36" t="s">
        <v>105</v>
      </c>
      <c r="E14" s="109"/>
    </row>
    <row r="15" spans="1:13" x14ac:dyDescent="0.25">
      <c r="A15" t="s">
        <v>18</v>
      </c>
      <c r="B15" s="36" t="s">
        <v>108</v>
      </c>
      <c r="E15" s="109"/>
    </row>
    <row r="16" spans="1:13" ht="19.5" thickBot="1" x14ac:dyDescent="0.35">
      <c r="A16" t="s">
        <v>17</v>
      </c>
      <c r="B16" s="36">
        <v>2014</v>
      </c>
      <c r="H16" s="8"/>
      <c r="I16" s="38"/>
    </row>
    <row r="17" spans="1:14" s="60" customFormat="1" ht="36.75" thickTop="1" x14ac:dyDescent="0.25">
      <c r="A17" s="121" t="s">
        <v>103</v>
      </c>
      <c r="B17" s="122" t="s">
        <v>176</v>
      </c>
      <c r="C17" s="122" t="s">
        <v>178</v>
      </c>
      <c r="D17" s="126" t="s">
        <v>177</v>
      </c>
      <c r="E17" s="123"/>
      <c r="F17" s="124"/>
      <c r="G17" s="124"/>
      <c r="H17" s="124"/>
      <c r="I17" s="124"/>
      <c r="J17" s="124"/>
      <c r="K17" s="124"/>
      <c r="L17" s="124"/>
      <c r="M17" s="124"/>
      <c r="N17" s="125"/>
    </row>
    <row r="18" spans="1:14" x14ac:dyDescent="0.25">
      <c r="A18" s="127" t="s">
        <v>133</v>
      </c>
      <c r="B18" s="41" t="s">
        <v>100</v>
      </c>
      <c r="C18" s="41">
        <v>3</v>
      </c>
      <c r="D18" s="128">
        <v>2</v>
      </c>
      <c r="E18" s="8"/>
      <c r="F18" s="8"/>
      <c r="G18" s="8"/>
      <c r="H18" s="8"/>
      <c r="I18" s="8"/>
      <c r="J18" s="8"/>
      <c r="K18" s="8"/>
      <c r="L18" s="8"/>
      <c r="M18" s="8"/>
      <c r="N18" s="8"/>
    </row>
    <row r="19" spans="1:14" x14ac:dyDescent="0.25">
      <c r="A19" s="127" t="s">
        <v>135</v>
      </c>
      <c r="B19" s="102" t="str">
        <f>B18</f>
        <v>veuve</v>
      </c>
      <c r="C19" s="8">
        <f>C18</f>
        <v>3</v>
      </c>
      <c r="D19" s="31">
        <f>D18</f>
        <v>2</v>
      </c>
      <c r="E19" s="8"/>
      <c r="F19" s="8"/>
      <c r="G19" s="8"/>
      <c r="H19" s="8"/>
      <c r="I19" s="8"/>
      <c r="J19" s="8"/>
      <c r="K19" s="8"/>
      <c r="L19" s="8"/>
      <c r="M19" s="8"/>
    </row>
    <row r="20" spans="1:14" x14ac:dyDescent="0.25">
      <c r="A20" s="127" t="s">
        <v>166</v>
      </c>
      <c r="B20" s="102" t="str">
        <f t="shared" ref="B20:B29" si="0">B19</f>
        <v>veuve</v>
      </c>
      <c r="C20" s="8">
        <f t="shared" ref="C20:C29" si="1">C19</f>
        <v>3</v>
      </c>
      <c r="D20" s="31">
        <f t="shared" ref="D20:D29" si="2">D19</f>
        <v>2</v>
      </c>
      <c r="E20" s="8"/>
      <c r="F20" s="8"/>
      <c r="G20" s="8"/>
      <c r="H20" s="8"/>
      <c r="I20" s="8"/>
      <c r="J20" s="8"/>
      <c r="K20" s="8"/>
      <c r="L20" s="8"/>
      <c r="M20" s="8"/>
    </row>
    <row r="21" spans="1:14" x14ac:dyDescent="0.25">
      <c r="A21" s="4" t="s">
        <v>167</v>
      </c>
      <c r="B21" s="102" t="str">
        <f t="shared" si="0"/>
        <v>veuve</v>
      </c>
      <c r="C21" s="8">
        <f t="shared" si="1"/>
        <v>3</v>
      </c>
      <c r="D21" s="31">
        <f t="shared" si="2"/>
        <v>2</v>
      </c>
      <c r="E21" s="8"/>
      <c r="F21" s="8"/>
      <c r="G21" s="8"/>
      <c r="H21" s="8"/>
      <c r="I21" s="8"/>
      <c r="J21" s="8"/>
      <c r="K21" s="8"/>
      <c r="L21" s="8"/>
      <c r="M21" s="8"/>
    </row>
    <row r="22" spans="1:14" x14ac:dyDescent="0.25">
      <c r="A22" s="4" t="s">
        <v>134</v>
      </c>
      <c r="B22" s="102" t="s">
        <v>244</v>
      </c>
      <c r="C22" s="8">
        <f t="shared" si="1"/>
        <v>3</v>
      </c>
      <c r="D22" s="31">
        <f t="shared" si="2"/>
        <v>2</v>
      </c>
      <c r="E22" s="8"/>
      <c r="F22" s="8"/>
      <c r="G22" s="8"/>
      <c r="H22" s="8"/>
      <c r="I22" s="8"/>
      <c r="J22" s="8"/>
      <c r="K22" s="8"/>
      <c r="L22" s="8"/>
      <c r="M22" s="8"/>
    </row>
    <row r="23" spans="1:14" x14ac:dyDescent="0.25">
      <c r="A23" s="4" t="s">
        <v>168</v>
      </c>
      <c r="B23" s="102" t="str">
        <f t="shared" si="0"/>
        <v>marié</v>
      </c>
      <c r="C23" s="8">
        <f t="shared" si="1"/>
        <v>3</v>
      </c>
      <c r="D23" s="31">
        <f t="shared" si="2"/>
        <v>2</v>
      </c>
      <c r="E23" s="8"/>
      <c r="F23" s="8"/>
      <c r="G23" s="8"/>
      <c r="H23" s="8"/>
      <c r="I23" s="8"/>
      <c r="J23" s="8"/>
      <c r="K23" s="8"/>
      <c r="L23" s="8"/>
      <c r="M23" s="8"/>
    </row>
    <row r="24" spans="1:14" x14ac:dyDescent="0.25">
      <c r="A24" s="4" t="s">
        <v>169</v>
      </c>
      <c r="B24" s="102" t="str">
        <f t="shared" si="0"/>
        <v>marié</v>
      </c>
      <c r="C24" s="8">
        <f t="shared" si="1"/>
        <v>3</v>
      </c>
      <c r="D24" s="31">
        <f t="shared" si="2"/>
        <v>2</v>
      </c>
      <c r="E24" s="8"/>
      <c r="F24" s="8"/>
      <c r="G24" s="8"/>
      <c r="H24" s="8"/>
      <c r="I24" s="8"/>
      <c r="J24" s="8"/>
      <c r="K24" s="8"/>
      <c r="L24" s="8"/>
      <c r="M24" s="8"/>
    </row>
    <row r="25" spans="1:14" x14ac:dyDescent="0.25">
      <c r="A25" s="4" t="s">
        <v>170</v>
      </c>
      <c r="B25" s="102" t="str">
        <f t="shared" si="0"/>
        <v>marié</v>
      </c>
      <c r="C25" s="8">
        <f t="shared" si="1"/>
        <v>3</v>
      </c>
      <c r="D25" s="31">
        <f t="shared" si="2"/>
        <v>2</v>
      </c>
      <c r="E25" s="8"/>
      <c r="F25" s="8"/>
      <c r="G25" s="8"/>
      <c r="H25" s="8"/>
      <c r="I25" s="8"/>
      <c r="J25" s="8"/>
      <c r="K25" s="8"/>
      <c r="L25" s="8"/>
      <c r="M25" s="8"/>
    </row>
    <row r="26" spans="1:14" x14ac:dyDescent="0.25">
      <c r="A26" s="4" t="s">
        <v>171</v>
      </c>
      <c r="B26" s="102" t="str">
        <f t="shared" si="0"/>
        <v>marié</v>
      </c>
      <c r="C26" s="8">
        <f t="shared" si="1"/>
        <v>3</v>
      </c>
      <c r="D26" s="31">
        <f t="shared" si="2"/>
        <v>2</v>
      </c>
      <c r="E26" s="8"/>
      <c r="F26" s="8"/>
      <c r="G26" s="8"/>
      <c r="H26" s="8"/>
      <c r="I26" s="8"/>
      <c r="J26" s="8"/>
      <c r="K26" s="8"/>
      <c r="L26" s="8"/>
      <c r="M26" s="8"/>
    </row>
    <row r="27" spans="1:14" x14ac:dyDescent="0.25">
      <c r="A27" s="4" t="s">
        <v>172</v>
      </c>
      <c r="B27" s="102" t="str">
        <f t="shared" si="0"/>
        <v>marié</v>
      </c>
      <c r="C27" s="8">
        <f t="shared" si="1"/>
        <v>3</v>
      </c>
      <c r="D27" s="31">
        <f t="shared" si="2"/>
        <v>2</v>
      </c>
      <c r="E27" s="8"/>
      <c r="F27" s="8"/>
      <c r="G27" s="8"/>
      <c r="H27" s="8"/>
      <c r="I27" s="8"/>
      <c r="J27" s="8"/>
      <c r="K27" s="8"/>
      <c r="L27" s="8"/>
      <c r="M27" s="8"/>
    </row>
    <row r="28" spans="1:14" x14ac:dyDescent="0.25">
      <c r="A28" s="4" t="s">
        <v>173</v>
      </c>
      <c r="B28" s="102" t="str">
        <f t="shared" si="0"/>
        <v>marié</v>
      </c>
      <c r="C28" s="8">
        <f t="shared" si="1"/>
        <v>3</v>
      </c>
      <c r="D28" s="31">
        <f t="shared" si="2"/>
        <v>2</v>
      </c>
      <c r="E28" s="8"/>
      <c r="F28" s="8"/>
      <c r="G28" s="8"/>
      <c r="H28" s="8"/>
      <c r="I28" s="8"/>
      <c r="J28" s="8"/>
      <c r="K28" s="8"/>
      <c r="L28" s="8"/>
      <c r="M28" s="8"/>
    </row>
    <row r="29" spans="1:14" ht="15.75" thickBot="1" x14ac:dyDescent="0.3">
      <c r="A29" s="6" t="s">
        <v>174</v>
      </c>
      <c r="B29" s="129" t="str">
        <f t="shared" si="0"/>
        <v>marié</v>
      </c>
      <c r="C29" s="32">
        <f t="shared" si="1"/>
        <v>3</v>
      </c>
      <c r="D29" s="33">
        <f t="shared" si="2"/>
        <v>2</v>
      </c>
      <c r="E29" s="8"/>
      <c r="F29" s="8"/>
      <c r="G29" s="8"/>
      <c r="H29" s="8"/>
      <c r="I29" s="8"/>
      <c r="J29" s="8"/>
      <c r="K29" s="8"/>
      <c r="L29" s="8"/>
      <c r="M29" s="8"/>
    </row>
    <row r="30" spans="1:14" ht="15.75" thickTop="1" x14ac:dyDescent="0.25">
      <c r="A30" s="8"/>
      <c r="B30" s="102"/>
      <c r="C30" s="8"/>
      <c r="D30" s="8"/>
      <c r="E30" s="8"/>
      <c r="F30" s="8"/>
      <c r="G30" s="8"/>
      <c r="H30" s="8"/>
      <c r="I30" s="8"/>
      <c r="J30" s="8"/>
      <c r="K30" s="8"/>
      <c r="L30" s="8"/>
      <c r="M30" s="8"/>
    </row>
    <row r="31" spans="1:14" ht="19.5" thickBot="1" x14ac:dyDescent="0.35">
      <c r="B31" s="40"/>
      <c r="H31" s="8"/>
      <c r="I31" s="38"/>
    </row>
    <row r="32" spans="1:14" ht="19.5" thickTop="1" x14ac:dyDescent="0.3">
      <c r="A32" s="2" t="s">
        <v>124</v>
      </c>
      <c r="B32" s="91" t="s">
        <v>125</v>
      </c>
      <c r="C32" s="3"/>
      <c r="H32" s="8"/>
      <c r="I32" s="38"/>
    </row>
    <row r="33" spans="1:9" ht="39" thickBot="1" x14ac:dyDescent="0.35">
      <c r="A33" s="82" t="s">
        <v>127</v>
      </c>
      <c r="B33" s="83" t="s">
        <v>128</v>
      </c>
      <c r="C33" s="84" t="s">
        <v>129</v>
      </c>
      <c r="E33" s="8"/>
      <c r="F33" s="8"/>
      <c r="H33" s="8"/>
      <c r="I33" s="38"/>
    </row>
    <row r="34" spans="1:9" ht="19.5" thickTop="1" x14ac:dyDescent="0.3">
      <c r="A34" s="85">
        <v>1</v>
      </c>
      <c r="B34" s="86">
        <v>977</v>
      </c>
      <c r="C34" s="87">
        <v>977</v>
      </c>
      <c r="E34" s="8"/>
      <c r="F34" s="8"/>
      <c r="H34" s="2" t="s">
        <v>29</v>
      </c>
      <c r="I34" s="3"/>
    </row>
    <row r="35" spans="1:9" ht="18.75" x14ac:dyDescent="0.3">
      <c r="A35" s="85">
        <v>2</v>
      </c>
      <c r="B35" s="86">
        <v>1495</v>
      </c>
      <c r="C35" s="87">
        <v>748</v>
      </c>
      <c r="H35" s="4" t="s">
        <v>30</v>
      </c>
      <c r="I35" s="5" t="s">
        <v>31</v>
      </c>
    </row>
    <row r="36" spans="1:9" ht="18.75" x14ac:dyDescent="0.3">
      <c r="A36" s="85">
        <v>3</v>
      </c>
      <c r="B36" s="86">
        <v>1818</v>
      </c>
      <c r="C36" s="87">
        <v>606</v>
      </c>
      <c r="H36" s="4" t="s">
        <v>32</v>
      </c>
      <c r="I36" s="5" t="s">
        <v>33</v>
      </c>
    </row>
    <row r="37" spans="1:9" ht="18.75" x14ac:dyDescent="0.3">
      <c r="A37" s="85">
        <v>4</v>
      </c>
      <c r="B37" s="86">
        <v>2090</v>
      </c>
      <c r="C37" s="87">
        <v>523</v>
      </c>
      <c r="H37" s="4" t="s">
        <v>40</v>
      </c>
      <c r="I37" s="5" t="s">
        <v>41</v>
      </c>
    </row>
    <row r="38" spans="1:9" ht="18.75" x14ac:dyDescent="0.3">
      <c r="A38" s="85">
        <v>5</v>
      </c>
      <c r="B38" s="86">
        <v>2364</v>
      </c>
      <c r="C38" s="87">
        <v>473</v>
      </c>
      <c r="H38" s="4" t="s">
        <v>42</v>
      </c>
      <c r="I38" s="5" t="s">
        <v>35</v>
      </c>
    </row>
    <row r="39" spans="1:9" ht="18.75" x14ac:dyDescent="0.3">
      <c r="A39" s="85">
        <v>6</v>
      </c>
      <c r="B39" s="86">
        <v>2638</v>
      </c>
      <c r="C39" s="87">
        <v>440</v>
      </c>
      <c r="H39" s="4" t="s">
        <v>36</v>
      </c>
      <c r="I39" s="5" t="s">
        <v>37</v>
      </c>
    </row>
    <row r="40" spans="1:9" ht="19.5" thickBot="1" x14ac:dyDescent="0.35">
      <c r="A40" s="85">
        <v>7</v>
      </c>
      <c r="B40" s="86">
        <v>2912</v>
      </c>
      <c r="C40" s="87">
        <v>416</v>
      </c>
      <c r="H40" s="6" t="s">
        <v>38</v>
      </c>
      <c r="I40" s="7" t="s">
        <v>39</v>
      </c>
    </row>
    <row r="41" spans="1:9" ht="20.25" thickTop="1" thickBot="1" x14ac:dyDescent="0.35">
      <c r="A41" s="88">
        <v>8</v>
      </c>
      <c r="B41" s="89">
        <v>274</v>
      </c>
      <c r="C41" s="90">
        <v>274</v>
      </c>
      <c r="H41" s="8"/>
      <c r="I41" s="38"/>
    </row>
    <row r="42" spans="1:9" ht="20.25" thickTop="1" thickBot="1" x14ac:dyDescent="0.35">
      <c r="B42" s="40"/>
      <c r="H42" s="8"/>
      <c r="I42" s="38"/>
    </row>
    <row r="43" spans="1:9" ht="19.5" thickTop="1" x14ac:dyDescent="0.3">
      <c r="A43" s="2" t="s">
        <v>130</v>
      </c>
      <c r="B43" s="91" t="s">
        <v>125</v>
      </c>
      <c r="C43" s="3"/>
      <c r="H43" s="8"/>
      <c r="I43" s="38"/>
    </row>
    <row r="44" spans="1:9" ht="25.5" x14ac:dyDescent="0.3">
      <c r="A44" s="82" t="s">
        <v>127</v>
      </c>
      <c r="B44" s="83" t="s">
        <v>131</v>
      </c>
      <c r="C44" s="84"/>
      <c r="H44" s="8"/>
      <c r="I44" s="38"/>
    </row>
    <row r="45" spans="1:9" ht="18.75" x14ac:dyDescent="0.3">
      <c r="A45" s="85">
        <v>1</v>
      </c>
      <c r="B45" s="86">
        <v>900</v>
      </c>
      <c r="C45" s="87"/>
      <c r="H45" s="8"/>
      <c r="I45" s="38"/>
    </row>
    <row r="46" spans="1:9" ht="18.75" x14ac:dyDescent="0.3">
      <c r="A46" s="85">
        <v>2</v>
      </c>
      <c r="B46" s="86">
        <v>1150</v>
      </c>
      <c r="C46" s="87"/>
      <c r="H46" s="8"/>
      <c r="I46" s="38"/>
    </row>
    <row r="47" spans="1:9" ht="18.75" x14ac:dyDescent="0.3">
      <c r="A47" s="85">
        <v>3</v>
      </c>
      <c r="B47" s="86">
        <v>1350</v>
      </c>
      <c r="C47" s="87"/>
      <c r="H47" s="8"/>
      <c r="I47" s="38"/>
    </row>
    <row r="48" spans="1:9" ht="18.75" x14ac:dyDescent="0.3">
      <c r="A48" s="85">
        <v>4</v>
      </c>
      <c r="B48" s="86">
        <v>1450</v>
      </c>
      <c r="C48" s="87"/>
      <c r="H48" s="8"/>
      <c r="I48" s="38"/>
    </row>
    <row r="49" spans="1:14" ht="18.75" x14ac:dyDescent="0.3">
      <c r="A49" s="85">
        <v>5</v>
      </c>
      <c r="B49" s="86">
        <v>1650</v>
      </c>
      <c r="C49" s="87"/>
      <c r="H49" s="8"/>
      <c r="I49" s="38"/>
    </row>
    <row r="50" spans="1:14" ht="18.75" x14ac:dyDescent="0.3">
      <c r="A50" s="85">
        <v>6</v>
      </c>
      <c r="B50" s="86">
        <v>1750</v>
      </c>
      <c r="C50" s="87"/>
      <c r="H50" s="8"/>
      <c r="I50" s="38"/>
    </row>
    <row r="51" spans="1:14" ht="18.75" x14ac:dyDescent="0.3">
      <c r="A51" s="85">
        <v>7</v>
      </c>
      <c r="B51" s="86">
        <v>1850</v>
      </c>
      <c r="C51" s="87"/>
      <c r="H51" s="8"/>
      <c r="I51" s="38"/>
    </row>
    <row r="52" spans="1:14" ht="19.5" thickBot="1" x14ac:dyDescent="0.35">
      <c r="A52" s="88">
        <v>8</v>
      </c>
      <c r="B52" s="89">
        <v>1950</v>
      </c>
      <c r="C52" s="90"/>
      <c r="H52" s="8"/>
      <c r="I52" s="38"/>
    </row>
    <row r="53" spans="1:14" ht="15.75" thickTop="1" x14ac:dyDescent="0.25"/>
    <row r="55" spans="1:14" x14ac:dyDescent="0.25">
      <c r="A55" t="s">
        <v>214</v>
      </c>
    </row>
    <row r="56" spans="1:14" ht="24" x14ac:dyDescent="0.25">
      <c r="B56" s="215" t="s">
        <v>232</v>
      </c>
      <c r="C56" s="115">
        <v>1570</v>
      </c>
      <c r="D56" s="115">
        <f>C56/12</f>
        <v>130.83333333333334</v>
      </c>
    </row>
    <row r="57" spans="1:14" s="17" customFormat="1" ht="24" x14ac:dyDescent="0.25">
      <c r="B57" s="215" t="s">
        <v>233</v>
      </c>
      <c r="C57" s="115">
        <v>2530</v>
      </c>
      <c r="D57" s="115">
        <f t="shared" ref="D57:D61" si="3">C57/12</f>
        <v>210.83333333333334</v>
      </c>
      <c r="E57"/>
      <c r="F57"/>
      <c r="G57"/>
      <c r="H57"/>
      <c r="I57"/>
      <c r="J57"/>
      <c r="K57"/>
      <c r="L57"/>
      <c r="M57"/>
      <c r="N57"/>
    </row>
    <row r="58" spans="1:14" ht="24" x14ac:dyDescent="0.25">
      <c r="B58" s="215" t="s">
        <v>234</v>
      </c>
      <c r="C58" s="115">
        <v>2530</v>
      </c>
      <c r="D58" s="115">
        <f t="shared" si="3"/>
        <v>210.83333333333334</v>
      </c>
    </row>
    <row r="59" spans="1:14" x14ac:dyDescent="0.25">
      <c r="B59" s="215" t="s">
        <v>235</v>
      </c>
      <c r="C59" s="115">
        <v>3550</v>
      </c>
      <c r="D59" s="115">
        <f t="shared" si="3"/>
        <v>295.83333333333331</v>
      </c>
    </row>
    <row r="60" spans="1:14" x14ac:dyDescent="0.25">
      <c r="B60" s="215" t="s">
        <v>236</v>
      </c>
      <c r="C60" s="115">
        <v>2680</v>
      </c>
      <c r="D60" s="115">
        <f t="shared" si="3"/>
        <v>223.33333333333334</v>
      </c>
    </row>
    <row r="61" spans="1:14" x14ac:dyDescent="0.25">
      <c r="B61" s="215" t="s">
        <v>237</v>
      </c>
      <c r="C61" s="115">
        <v>2300</v>
      </c>
      <c r="D61" s="115">
        <f t="shared" si="3"/>
        <v>191.66666666666666</v>
      </c>
    </row>
    <row r="63" spans="1:14" ht="74.25" customHeight="1" x14ac:dyDescent="0.25">
      <c r="A63" s="323" t="s">
        <v>238</v>
      </c>
      <c r="B63" s="320"/>
      <c r="C63" s="320"/>
      <c r="D63" s="320"/>
    </row>
  </sheetData>
  <mergeCells count="1">
    <mergeCell ref="A63:D63"/>
  </mergeCells>
  <dataValidations count="1">
    <dataValidation allowBlank="1" showInputMessage="1" showErrorMessage="1" promptTitle="renevus" sqref="A65:A70"/>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T223"/>
  <sheetViews>
    <sheetView showZeros="0" tabSelected="1" topLeftCell="B1" workbookViewId="0">
      <selection activeCell="C16" sqref="C16"/>
    </sheetView>
  </sheetViews>
  <sheetFormatPr baseColWidth="10" defaultRowHeight="15" x14ac:dyDescent="0.25"/>
  <cols>
    <col min="1" max="1" width="3.85546875" style="317" hidden="1" customWidth="1"/>
    <col min="2" max="2" width="16.85546875" style="37" customWidth="1"/>
    <col min="3" max="3" width="21.140625" customWidth="1"/>
    <col min="4" max="4" width="14" customWidth="1"/>
    <col min="5" max="8" width="11.42578125" customWidth="1"/>
    <col min="9" max="9" width="3.5703125" customWidth="1"/>
    <col min="10" max="11" width="4" style="1" customWidth="1"/>
    <col min="12" max="13" width="6.85546875" style="1" customWidth="1"/>
    <col min="14" max="14" width="9.42578125" customWidth="1"/>
  </cols>
  <sheetData>
    <row r="1" spans="1:15" ht="21" x14ac:dyDescent="0.25">
      <c r="A1" s="296"/>
      <c r="B1" s="324" t="s">
        <v>4</v>
      </c>
      <c r="C1" s="324"/>
      <c r="D1" s="324"/>
      <c r="E1" s="324"/>
      <c r="F1" s="324"/>
      <c r="G1" s="324"/>
      <c r="H1" s="324"/>
    </row>
    <row r="2" spans="1:15" s="246" customFormat="1" ht="12.75" x14ac:dyDescent="0.2">
      <c r="A2" s="296"/>
      <c r="B2" s="251" t="s">
        <v>7</v>
      </c>
      <c r="C2" s="265" t="s">
        <v>133</v>
      </c>
      <c r="D2" s="246" t="s">
        <v>6</v>
      </c>
      <c r="E2" s="318">
        <f>'Les normes-données de base'!B1</f>
        <v>2015</v>
      </c>
      <c r="F2" s="246" t="s">
        <v>24</v>
      </c>
      <c r="H2" s="251" t="str">
        <f>'Les normes-données de base'!B5</f>
        <v>NV</v>
      </c>
      <c r="J2" s="245"/>
      <c r="K2" s="245"/>
      <c r="L2" s="245"/>
      <c r="M2" s="245"/>
    </row>
    <row r="3" spans="1:15" s="246" customFormat="1" ht="12.75" x14ac:dyDescent="0.2">
      <c r="A3" s="296"/>
      <c r="B3" s="251" t="s">
        <v>5</v>
      </c>
      <c r="D3" s="246" t="str">
        <f>'Les normes-données de base'!B3</f>
        <v>Nicole Villet</v>
      </c>
      <c r="F3" s="246" t="s">
        <v>23</v>
      </c>
      <c r="H3" s="251">
        <f>'Les normes-données de base'!B4</f>
        <v>977</v>
      </c>
      <c r="J3" s="245"/>
      <c r="K3" s="245"/>
      <c r="L3" s="245"/>
      <c r="M3" s="245"/>
    </row>
    <row r="4" spans="1:15" s="246" customFormat="1" ht="12.75" x14ac:dyDescent="0.2">
      <c r="A4" s="296"/>
      <c r="B4" s="251" t="s">
        <v>14</v>
      </c>
      <c r="D4" s="246" t="str">
        <f>'Les normes-données de base'!B14</f>
        <v>Impasse de l'Opéra 1</v>
      </c>
      <c r="F4" s="246" t="s">
        <v>25</v>
      </c>
      <c r="H4" s="251">
        <f>'Les normes-données de base'!B12</f>
        <v>2231</v>
      </c>
      <c r="J4" s="245"/>
      <c r="K4" s="245"/>
      <c r="L4" s="245"/>
      <c r="M4" s="245"/>
    </row>
    <row r="5" spans="1:15" s="246" customFormat="1" ht="12.75" x14ac:dyDescent="0.2">
      <c r="A5" s="296"/>
      <c r="B5" s="251"/>
      <c r="D5" s="246" t="str">
        <f>'Les normes-données de base'!D14</f>
        <v>1696 Vuisternens-en-Ogoz</v>
      </c>
      <c r="F5" s="246" t="s">
        <v>26</v>
      </c>
      <c r="H5" s="251">
        <f>'Les normes-données de base'!B13</f>
        <v>2231</v>
      </c>
      <c r="J5" s="245"/>
      <c r="K5" s="245"/>
      <c r="L5" s="245"/>
      <c r="M5" s="245"/>
    </row>
    <row r="6" spans="1:15" s="246" customFormat="1" ht="12.75" x14ac:dyDescent="0.2">
      <c r="A6" s="296"/>
      <c r="B6" s="251" t="s">
        <v>16</v>
      </c>
      <c r="D6" s="243">
        <f>'Les normes-données de base'!B8</f>
        <v>24682</v>
      </c>
      <c r="E6" s="181"/>
      <c r="F6" s="246" t="s">
        <v>68</v>
      </c>
      <c r="G6" s="181"/>
      <c r="H6" s="248">
        <f ca="1">TODAY()</f>
        <v>41987</v>
      </c>
      <c r="J6" s="245"/>
      <c r="K6" s="245"/>
      <c r="L6" s="245"/>
      <c r="M6" s="245"/>
    </row>
    <row r="7" spans="1:15" s="246" customFormat="1" ht="12.75" x14ac:dyDescent="0.2">
      <c r="A7" s="296"/>
      <c r="B7" s="251" t="s">
        <v>15</v>
      </c>
      <c r="D7" s="181" t="str">
        <f t="array" ref="D7">INDEX('Les normes-données de base'!B18:B29,MATCH(1,('Les normes-données de base'!A18:A29=C2)*('Les normes-données de base'!B3='BU-janv'!D3),0))</f>
        <v>veuve</v>
      </c>
      <c r="E7" s="181"/>
      <c r="F7" s="246" t="s">
        <v>19</v>
      </c>
      <c r="H7" s="246" t="str">
        <f>'Les normes-données de base'!B9</f>
        <v>Treyvaux</v>
      </c>
      <c r="J7" s="245"/>
      <c r="K7" s="245"/>
      <c r="L7" s="245"/>
      <c r="M7" s="245"/>
    </row>
    <row r="8" spans="1:15" s="246" customFormat="1" ht="12.75" x14ac:dyDescent="0.2">
      <c r="A8" s="296"/>
      <c r="B8" s="251" t="s">
        <v>107</v>
      </c>
      <c r="D8" s="290">
        <f ca="1">SUMIF('Les normes-données de base'!A18:C29,C2,'Les normes-données de base'!C18:C29)</f>
        <v>3</v>
      </c>
      <c r="E8" s="181"/>
      <c r="F8" s="246" t="s">
        <v>20</v>
      </c>
      <c r="H8" s="246" t="str">
        <f>'Les normes-données de base'!B10</f>
        <v>FR</v>
      </c>
      <c r="J8" s="245"/>
      <c r="K8" s="245"/>
      <c r="L8" s="245"/>
      <c r="M8" s="245"/>
    </row>
    <row r="9" spans="1:15" s="246" customFormat="1" ht="12.75" x14ac:dyDescent="0.2">
      <c r="A9" s="296"/>
      <c r="B9" s="251" t="s">
        <v>106</v>
      </c>
      <c r="D9" s="290">
        <f ca="1">SUMIF('Les normes-données de base'!A18:D29,C2,'Les normes-données de base'!D18:D29)</f>
        <v>2</v>
      </c>
      <c r="E9" s="181"/>
      <c r="F9" s="246" t="s">
        <v>21</v>
      </c>
      <c r="H9" s="246" t="str">
        <f>'Les normes-données de base'!B11</f>
        <v>CH</v>
      </c>
      <c r="J9" s="245"/>
      <c r="K9" s="245"/>
      <c r="L9" s="245"/>
      <c r="M9" s="245"/>
    </row>
    <row r="10" spans="1:15" s="246" customFormat="1" ht="12.75" x14ac:dyDescent="0.2">
      <c r="A10" s="296"/>
      <c r="B10" s="251" t="s">
        <v>17</v>
      </c>
      <c r="D10" s="251">
        <f>'Les normes-données de base'!B16</f>
        <v>2014</v>
      </c>
      <c r="F10" s="246" t="s">
        <v>18</v>
      </c>
      <c r="H10" s="246" t="str">
        <f>'Les normes-données de base'!B15</f>
        <v>32/33</v>
      </c>
      <c r="J10" s="245"/>
      <c r="K10" s="245"/>
      <c r="L10" s="245"/>
      <c r="M10" s="245"/>
    </row>
    <row r="11" spans="1:15" s="17" customFormat="1" ht="39" customHeight="1" x14ac:dyDescent="0.25">
      <c r="A11" s="297"/>
      <c r="B11" s="228"/>
      <c r="D11" s="24"/>
      <c r="E11" s="22" t="s">
        <v>0</v>
      </c>
      <c r="F11" s="23" t="s">
        <v>1</v>
      </c>
      <c r="G11" s="23" t="s">
        <v>2</v>
      </c>
      <c r="H11" s="22" t="s">
        <v>3</v>
      </c>
      <c r="J11" s="150" t="s">
        <v>28</v>
      </c>
      <c r="K11" s="150" t="s">
        <v>66</v>
      </c>
      <c r="L11" s="150" t="s">
        <v>49</v>
      </c>
      <c r="M11" s="150" t="s">
        <v>49</v>
      </c>
    </row>
    <row r="12" spans="1:15" ht="16.5" customHeight="1" x14ac:dyDescent="0.25">
      <c r="A12" s="298" t="s">
        <v>84</v>
      </c>
      <c r="B12" s="229" t="s">
        <v>32</v>
      </c>
      <c r="C12" s="10"/>
      <c r="D12" s="11"/>
      <c r="E12" s="153"/>
      <c r="F12" s="154"/>
      <c r="G12" s="154"/>
      <c r="H12" s="153"/>
      <c r="J12" s="151"/>
      <c r="K12" s="151"/>
      <c r="L12" s="151"/>
      <c r="M12" s="151"/>
      <c r="O12" s="8"/>
    </row>
    <row r="13" spans="1:15" s="246" customFormat="1" ht="12.75" x14ac:dyDescent="0.2">
      <c r="A13" s="299"/>
      <c r="B13" s="294" t="s">
        <v>58</v>
      </c>
      <c r="C13" s="279"/>
      <c r="D13" s="178"/>
      <c r="E13" s="180">
        <f>SUMIFS(Ressources!D:D,Ressources!$C:$C,$B13,Ressources!$A:$A,$C$2)</f>
        <v>402</v>
      </c>
      <c r="F13" s="180">
        <f>SUMIFS(Ressources!E:E,Ressources!$C:$C,$B13,Ressources!$A:$A,$C$2)</f>
        <v>0</v>
      </c>
      <c r="G13" s="269">
        <f>E13+F13</f>
        <v>402</v>
      </c>
      <c r="H13" s="180"/>
      <c r="J13" s="271" t="s">
        <v>33</v>
      </c>
      <c r="K13" s="271" t="s">
        <v>266</v>
      </c>
      <c r="L13" s="271">
        <v>2027</v>
      </c>
      <c r="M13" s="271"/>
      <c r="O13" s="279"/>
    </row>
    <row r="14" spans="1:15" s="246" customFormat="1" ht="12.75" x14ac:dyDescent="0.2">
      <c r="A14" s="299"/>
      <c r="B14" s="294" t="s">
        <v>59</v>
      </c>
      <c r="C14" s="279"/>
      <c r="D14" s="178"/>
      <c r="E14" s="180">
        <f>SUMIFS(Ressources!D:D,Ressources!$C:$C,B14,Ressources!$A:$A,$C$2)</f>
        <v>0</v>
      </c>
      <c r="F14" s="180">
        <f>SUMIFS(Ressources!E:E,Ressources!$C:$C,$B14,Ressources!$A:$A,$C$2)</f>
        <v>34</v>
      </c>
      <c r="G14" s="269">
        <f t="shared" ref="G14:G26" si="0">E14+F14</f>
        <v>34</v>
      </c>
      <c r="H14" s="180"/>
      <c r="J14" s="271" t="s">
        <v>33</v>
      </c>
      <c r="K14" s="271" t="s">
        <v>266</v>
      </c>
      <c r="L14" s="271">
        <v>2027</v>
      </c>
      <c r="M14" s="271"/>
      <c r="O14" s="279"/>
    </row>
    <row r="15" spans="1:15" s="246" customFormat="1" ht="12.75" x14ac:dyDescent="0.2">
      <c r="A15" s="299"/>
      <c r="B15" s="294" t="s">
        <v>93</v>
      </c>
      <c r="C15" s="279"/>
      <c r="D15" s="178"/>
      <c r="E15" s="180">
        <f>SUMIFS(Ressources!D:D,Ressources!$C:$C,B15,Ressources!$A:$A,$C$2)</f>
        <v>0</v>
      </c>
      <c r="F15" s="180">
        <f>SUMIFS(Ressources!E:E,Ressources!$C:$C,$B15,Ressources!$A:$A,$C$2)</f>
        <v>0</v>
      </c>
      <c r="G15" s="269">
        <f t="shared" si="0"/>
        <v>0</v>
      </c>
      <c r="H15" s="180"/>
      <c r="J15" s="271" t="s">
        <v>33</v>
      </c>
      <c r="K15" s="271" t="s">
        <v>266</v>
      </c>
      <c r="L15" s="271">
        <v>2027</v>
      </c>
      <c r="M15" s="271"/>
      <c r="O15" s="279"/>
    </row>
    <row r="16" spans="1:15" s="246" customFormat="1" ht="12.75" x14ac:dyDescent="0.2">
      <c r="A16" s="299"/>
      <c r="B16" s="294" t="s">
        <v>60</v>
      </c>
      <c r="C16" s="279"/>
      <c r="D16" s="178"/>
      <c r="E16" s="180">
        <f>SUMIFS(Ressources!D:D,Ressources!$C:$C,B16,Ressources!$A:$A,$C$2)</f>
        <v>5</v>
      </c>
      <c r="F16" s="180">
        <f>SUMIFS(Ressources!E:E,Ressources!$C:$C,$B16,Ressources!$A:$A,$C$2)</f>
        <v>0</v>
      </c>
      <c r="G16" s="269">
        <f t="shared" si="0"/>
        <v>5</v>
      </c>
      <c r="H16" s="180"/>
      <c r="J16" s="271" t="s">
        <v>33</v>
      </c>
      <c r="K16" s="271" t="s">
        <v>267</v>
      </c>
      <c r="L16" s="271">
        <v>2027</v>
      </c>
      <c r="M16" s="271"/>
      <c r="O16" s="279"/>
    </row>
    <row r="17" spans="1:16" s="246" customFormat="1" ht="12.75" x14ac:dyDescent="0.2">
      <c r="A17" s="299"/>
      <c r="B17" s="294" t="s">
        <v>61</v>
      </c>
      <c r="C17" s="279"/>
      <c r="D17" s="178"/>
      <c r="E17" s="180">
        <f>SUMIFS(Ressources!D:D,Ressources!$C:$C,B17,Ressources!$A:$A,$C$2)</f>
        <v>0</v>
      </c>
      <c r="F17" s="180">
        <f>SUMIFS(Ressources!E:E,Ressources!$C:$C,$B17,Ressources!$A:$A,$C$2)</f>
        <v>0</v>
      </c>
      <c r="G17" s="269">
        <f t="shared" si="0"/>
        <v>0</v>
      </c>
      <c r="H17" s="180"/>
      <c r="J17" s="271" t="s">
        <v>33</v>
      </c>
      <c r="K17" s="271" t="s">
        <v>260</v>
      </c>
      <c r="L17" s="271">
        <v>2027</v>
      </c>
      <c r="M17" s="271"/>
      <c r="O17" s="279"/>
    </row>
    <row r="18" spans="1:16" s="246" customFormat="1" ht="12.75" x14ac:dyDescent="0.2">
      <c r="A18" s="299"/>
      <c r="B18" s="294" t="s">
        <v>62</v>
      </c>
      <c r="C18" s="279"/>
      <c r="D18" s="178"/>
      <c r="E18" s="180">
        <f>SUMIFS(Ressources!D:D,Ressources!$C:$C,B18,Ressources!$A:$A,$C$2)</f>
        <v>0</v>
      </c>
      <c r="F18" s="180">
        <f>SUMIFS(Ressources!E:E,Ressources!$C:$C,$B18,Ressources!$A:$A,$C$2)</f>
        <v>0</v>
      </c>
      <c r="G18" s="269">
        <f t="shared" si="0"/>
        <v>0</v>
      </c>
      <c r="H18" s="180"/>
      <c r="J18" s="271" t="s">
        <v>33</v>
      </c>
      <c r="K18" s="271" t="s">
        <v>268</v>
      </c>
      <c r="L18" s="271">
        <v>2027</v>
      </c>
      <c r="M18" s="271"/>
      <c r="O18" s="279"/>
    </row>
    <row r="19" spans="1:16" s="246" customFormat="1" ht="12.75" x14ac:dyDescent="0.2">
      <c r="A19" s="299"/>
      <c r="B19" s="294" t="s">
        <v>101</v>
      </c>
      <c r="C19" s="279"/>
      <c r="D19" s="178"/>
      <c r="E19" s="180">
        <f>SUMIFS(Ressources!D:D,Ressources!$C:$C,B19,Ressources!$A:$A,$C$2)</f>
        <v>0</v>
      </c>
      <c r="F19" s="180">
        <f>SUMIFS(Ressources!E:E,Ressources!$C:$C,$B19,Ressources!$A:$A,$C$2)</f>
        <v>0</v>
      </c>
      <c r="G19" s="269">
        <f t="shared" si="0"/>
        <v>0</v>
      </c>
      <c r="H19" s="180"/>
      <c r="J19" s="271" t="s">
        <v>33</v>
      </c>
      <c r="K19" s="271" t="s">
        <v>269</v>
      </c>
      <c r="L19" s="271">
        <v>2027</v>
      </c>
      <c r="M19" s="271"/>
      <c r="O19" s="279"/>
    </row>
    <row r="20" spans="1:16" s="246" customFormat="1" ht="12.75" x14ac:dyDescent="0.2">
      <c r="A20" s="299"/>
      <c r="B20" s="294" t="s">
        <v>102</v>
      </c>
      <c r="C20" s="279"/>
      <c r="D20" s="178"/>
      <c r="E20" s="180">
        <f>SUMIFS(Ressources!D:D,Ressources!$C:$C,B20,Ressources!$A:$A,$C$2)</f>
        <v>0</v>
      </c>
      <c r="F20" s="180">
        <f>SUMIFS(Ressources!E:E,Ressources!$C:$C,$B20,Ressources!$A:$A,$C$2)</f>
        <v>0</v>
      </c>
      <c r="G20" s="269">
        <f t="shared" si="0"/>
        <v>0</v>
      </c>
      <c r="H20" s="180"/>
      <c r="J20" s="271" t="s">
        <v>33</v>
      </c>
      <c r="K20" s="271" t="s">
        <v>270</v>
      </c>
      <c r="L20" s="271">
        <v>2027</v>
      </c>
      <c r="M20" s="271"/>
      <c r="O20" s="279"/>
    </row>
    <row r="21" spans="1:16" s="246" customFormat="1" ht="12.75" x14ac:dyDescent="0.2">
      <c r="A21" s="299"/>
      <c r="B21" s="294" t="s">
        <v>63</v>
      </c>
      <c r="C21" s="279"/>
      <c r="D21" s="178"/>
      <c r="E21" s="180">
        <f>SUMIFS(Ressources!D:D,Ressources!$C:$C,B21,Ressources!$A:$A,$C$2)</f>
        <v>0</v>
      </c>
      <c r="F21" s="180">
        <f>SUMIFS(Ressources!E:E,Ressources!$C:$C,$B21,Ressources!$A:$A,$C$2)</f>
        <v>0</v>
      </c>
      <c r="G21" s="269">
        <f t="shared" si="0"/>
        <v>0</v>
      </c>
      <c r="H21" s="180"/>
      <c r="J21" s="271" t="s">
        <v>33</v>
      </c>
      <c r="K21" s="271" t="s">
        <v>271</v>
      </c>
      <c r="L21" s="271">
        <v>2027</v>
      </c>
      <c r="M21" s="271"/>
      <c r="O21" s="279"/>
    </row>
    <row r="22" spans="1:16" s="246" customFormat="1" ht="12.75" x14ac:dyDescent="0.2">
      <c r="A22" s="299"/>
      <c r="B22" s="294" t="s">
        <v>91</v>
      </c>
      <c r="C22" s="279"/>
      <c r="D22" s="178"/>
      <c r="E22" s="180">
        <f>SUMIFS(Ressources!D:D,Ressources!$C:$C,B22,Ressources!$A:$A,$C$2)</f>
        <v>0</v>
      </c>
      <c r="F22" s="180">
        <f>SUMIFS(Ressources!E:E,Ressources!$C:$C,$B22,Ressources!$A:$A,$C$2)</f>
        <v>0</v>
      </c>
      <c r="G22" s="269">
        <f t="shared" si="0"/>
        <v>0</v>
      </c>
      <c r="H22" s="180"/>
      <c r="J22" s="271" t="s">
        <v>33</v>
      </c>
      <c r="K22" s="271" t="s">
        <v>266</v>
      </c>
      <c r="L22" s="271">
        <v>2027</v>
      </c>
      <c r="M22" s="271"/>
      <c r="O22" s="279"/>
    </row>
    <row r="23" spans="1:16" s="246" customFormat="1" ht="12.75" x14ac:dyDescent="0.2">
      <c r="A23" s="299"/>
      <c r="B23" s="294" t="s">
        <v>92</v>
      </c>
      <c r="C23" s="279"/>
      <c r="D23" s="178"/>
      <c r="E23" s="180">
        <f>SUMIFS(Ressources!D:D,Ressources!$C:$C,B23,Ressources!$A:$A,$C$2)</f>
        <v>0</v>
      </c>
      <c r="F23" s="180">
        <f>SUMIFS(Ressources!E:E,Ressources!$C:$C,$B23,Ressources!$A:$A,$C$2)</f>
        <v>0</v>
      </c>
      <c r="G23" s="269">
        <f t="shared" si="0"/>
        <v>0</v>
      </c>
      <c r="H23" s="180"/>
      <c r="J23" s="271" t="s">
        <v>33</v>
      </c>
      <c r="K23" s="271" t="s">
        <v>266</v>
      </c>
      <c r="L23" s="271">
        <v>2027</v>
      </c>
      <c r="M23" s="271"/>
      <c r="O23" s="279"/>
    </row>
    <row r="24" spans="1:16" s="246" customFormat="1" ht="12.75" x14ac:dyDescent="0.2">
      <c r="A24" s="299"/>
      <c r="B24" s="295" t="s">
        <v>197</v>
      </c>
      <c r="C24" s="279"/>
      <c r="D24" s="178"/>
      <c r="E24" s="180"/>
      <c r="F24" s="180"/>
      <c r="G24" s="269"/>
      <c r="H24" s="180"/>
      <c r="J24" s="271" t="s">
        <v>33</v>
      </c>
      <c r="K24" s="271" t="s">
        <v>272</v>
      </c>
      <c r="L24" s="271">
        <v>2027</v>
      </c>
      <c r="M24" s="271"/>
      <c r="O24" s="279"/>
    </row>
    <row r="25" spans="1:16" s="246" customFormat="1" ht="12.75" x14ac:dyDescent="0.2">
      <c r="A25" s="299"/>
      <c r="B25" s="294" t="s">
        <v>85</v>
      </c>
      <c r="C25" s="279"/>
      <c r="D25" s="178"/>
      <c r="E25" s="180">
        <f>SUMIFS(Ressources!D:D,Ressources!$C:$C,B25,Ressources!$A:$A,$C$2)</f>
        <v>0</v>
      </c>
      <c r="F25" s="180">
        <f>SUMIFS(Ressources!E:E,Ressources!$C:$C,$B25,Ressources!$A:$A,$C$2)</f>
        <v>0</v>
      </c>
      <c r="G25" s="269">
        <f t="shared" si="0"/>
        <v>0</v>
      </c>
      <c r="H25" s="180"/>
      <c r="J25" s="271" t="s">
        <v>33</v>
      </c>
      <c r="K25" s="271" t="s">
        <v>273</v>
      </c>
      <c r="L25" s="271">
        <v>2027</v>
      </c>
      <c r="M25" s="271"/>
      <c r="O25" s="279"/>
    </row>
    <row r="26" spans="1:16" ht="15.75" x14ac:dyDescent="0.25">
      <c r="A26" s="299"/>
      <c r="B26" s="230" t="s">
        <v>136</v>
      </c>
      <c r="C26" s="8"/>
      <c r="D26" s="13"/>
      <c r="E26" s="103"/>
      <c r="F26" s="103">
        <f>SUMIFS(Ressources!E:E,Ressources!$C:$C,$B26,Ressources!$A:$A,$C$2)</f>
        <v>0</v>
      </c>
      <c r="G26" s="104">
        <f t="shared" si="0"/>
        <v>0</v>
      </c>
      <c r="H26" s="103"/>
      <c r="J26" s="151"/>
      <c r="K26" s="151"/>
      <c r="L26" s="151"/>
      <c r="M26" s="151"/>
      <c r="O26" s="8"/>
    </row>
    <row r="27" spans="1:16" ht="29.25" customHeight="1" x14ac:dyDescent="0.25">
      <c r="A27" s="299"/>
      <c r="B27" s="326" t="s">
        <v>137</v>
      </c>
      <c r="C27" s="327"/>
      <c r="D27" s="328"/>
      <c r="E27" s="103"/>
      <c r="F27" s="103">
        <f>SUMIFS(Ressources!E:E,Ressources!$C:$C,$B27,Ressources!$A:$A,$C$2)</f>
        <v>0</v>
      </c>
      <c r="G27" s="104">
        <f>-SUMIFS(Ressources!F:F,Ressources!C:C,'BU-janv'!B27:B27,Ressources!A:A,C2)</f>
        <v>-600</v>
      </c>
      <c r="H27" s="103"/>
      <c r="J27" s="151" t="s">
        <v>33</v>
      </c>
      <c r="K27" s="151" t="s">
        <v>274</v>
      </c>
      <c r="L27" s="151"/>
      <c r="M27" s="151"/>
      <c r="O27" s="8"/>
    </row>
    <row r="28" spans="1:16" x14ac:dyDescent="0.25">
      <c r="A28" s="299"/>
      <c r="B28" s="231" t="s">
        <v>139</v>
      </c>
      <c r="C28" s="105"/>
      <c r="D28" s="106"/>
      <c r="E28" s="107">
        <f>SUM(E12:E27)</f>
        <v>407</v>
      </c>
      <c r="F28" s="107">
        <f>SUM(F12:F27)</f>
        <v>34</v>
      </c>
      <c r="G28" s="107">
        <f>SUM(G12:G27)</f>
        <v>-159</v>
      </c>
      <c r="H28" s="108">
        <f>SUM(H12:H27)</f>
        <v>0</v>
      </c>
      <c r="J28" s="151" t="s">
        <v>33</v>
      </c>
      <c r="K28" s="151" t="s">
        <v>273</v>
      </c>
      <c r="L28" s="151"/>
      <c r="M28" s="151"/>
      <c r="O28" s="8"/>
    </row>
    <row r="29" spans="1:16" ht="15.75" x14ac:dyDescent="0.25">
      <c r="A29" s="299"/>
      <c r="B29" s="229" t="s">
        <v>138</v>
      </c>
      <c r="C29" s="10"/>
      <c r="D29" s="11"/>
      <c r="E29" s="97"/>
      <c r="F29" s="98"/>
      <c r="G29" s="98"/>
      <c r="H29" s="97"/>
      <c r="J29" s="151"/>
      <c r="K29" s="151"/>
      <c r="L29" s="151"/>
      <c r="M29" s="151"/>
      <c r="N29" s="112" t="s">
        <v>157</v>
      </c>
      <c r="O29" s="113"/>
      <c r="P29" s="112"/>
    </row>
    <row r="30" spans="1:16" s="246" customFormat="1" ht="27.75" customHeight="1" thickBot="1" x14ac:dyDescent="0.25">
      <c r="A30" s="299"/>
      <c r="B30" s="329" t="s">
        <v>153</v>
      </c>
      <c r="C30" s="330"/>
      <c r="D30" s="331"/>
      <c r="E30" s="289"/>
      <c r="F30" s="291"/>
      <c r="G30" s="269">
        <f>SUMIFS(Supplément!C:C,Supplément!A:A,C2,Supplément!B:B,B30)</f>
        <v>0</v>
      </c>
      <c r="H30" s="291"/>
      <c r="J30" s="271" t="s">
        <v>33</v>
      </c>
      <c r="K30" s="271" t="s">
        <v>275</v>
      </c>
      <c r="L30" s="271"/>
      <c r="M30" s="271"/>
      <c r="O30" s="279"/>
    </row>
    <row r="31" spans="1:16" s="246" customFormat="1" ht="14.25" thickTop="1" thickBot="1" x14ac:dyDescent="0.25">
      <c r="A31" s="299"/>
      <c r="B31" s="329" t="s">
        <v>154</v>
      </c>
      <c r="C31" s="330"/>
      <c r="D31" s="331"/>
      <c r="E31" s="289"/>
      <c r="F31" s="291"/>
      <c r="G31" s="269">
        <f>SUMIFS(Supplément!C:C,Supplément!A:A,C2,Supplément!B:B,B31)</f>
        <v>500</v>
      </c>
      <c r="H31" s="289"/>
      <c r="J31" s="271" t="s">
        <v>33</v>
      </c>
      <c r="K31" s="271" t="s">
        <v>275</v>
      </c>
      <c r="L31" s="271"/>
      <c r="M31" s="271"/>
      <c r="N31" s="292" t="s">
        <v>111</v>
      </c>
      <c r="O31" s="279" t="s">
        <v>158</v>
      </c>
    </row>
    <row r="32" spans="1:16" s="246" customFormat="1" ht="28.5" customHeight="1" thickTop="1" thickBot="1" x14ac:dyDescent="0.25">
      <c r="A32" s="299"/>
      <c r="B32" s="329" t="s">
        <v>155</v>
      </c>
      <c r="C32" s="330"/>
      <c r="D32" s="331"/>
      <c r="E32" s="291"/>
      <c r="F32" s="291"/>
      <c r="G32" s="269">
        <f>SUMIFS(Supplément!C:C,Supplément!A:A,C2,Supplément!B:B,B32)</f>
        <v>0</v>
      </c>
      <c r="H32" s="289"/>
      <c r="J32" s="271" t="s">
        <v>33</v>
      </c>
      <c r="K32" s="271" t="s">
        <v>275</v>
      </c>
      <c r="L32" s="271"/>
      <c r="M32" s="271"/>
      <c r="N32" s="293">
        <v>2</v>
      </c>
      <c r="O32" s="279" t="s">
        <v>159</v>
      </c>
    </row>
    <row r="33" spans="1:15" ht="15.75" thickTop="1" x14ac:dyDescent="0.25">
      <c r="A33" s="300"/>
      <c r="B33" s="231" t="s">
        <v>140</v>
      </c>
      <c r="C33" s="105"/>
      <c r="D33" s="106"/>
      <c r="E33" s="107">
        <f t="shared" ref="E33:F33" si="1">SUM(E30:E32)</f>
        <v>0</v>
      </c>
      <c r="F33" s="107">
        <f t="shared" si="1"/>
        <v>0</v>
      </c>
      <c r="G33" s="107">
        <f>SUM(G30:G32)</f>
        <v>500</v>
      </c>
      <c r="H33" s="107">
        <f t="shared" ref="H33" si="2">SUM(H30:H32)</f>
        <v>0</v>
      </c>
      <c r="J33" s="151" t="s">
        <v>33</v>
      </c>
      <c r="K33" s="151" t="s">
        <v>275</v>
      </c>
      <c r="L33" s="151"/>
      <c r="M33" s="151"/>
      <c r="O33" s="8"/>
    </row>
    <row r="34" spans="1:15" ht="20.25" customHeight="1" x14ac:dyDescent="0.25">
      <c r="A34" s="301" t="s">
        <v>54</v>
      </c>
      <c r="B34" s="232" t="s">
        <v>50</v>
      </c>
      <c r="C34" s="10"/>
      <c r="D34" s="11"/>
      <c r="E34" s="97"/>
      <c r="F34" s="97"/>
      <c r="G34" s="177">
        <f ca="1">(SUMIFS('Les normes-données de base'!B34:B41,'Les normes-données de base'!A34:A41,D8))/D8*D9</f>
        <v>1212</v>
      </c>
      <c r="H34" s="97"/>
      <c r="J34" s="151" t="s">
        <v>31</v>
      </c>
      <c r="K34" s="151" t="s">
        <v>86</v>
      </c>
      <c r="L34" s="151"/>
      <c r="M34" s="151"/>
      <c r="O34" s="8"/>
    </row>
    <row r="35" spans="1:15" ht="72.75" customHeight="1" x14ac:dyDescent="0.25">
      <c r="A35" s="302"/>
      <c r="B35" s="332" t="s">
        <v>56</v>
      </c>
      <c r="C35" s="333"/>
      <c r="D35" s="333"/>
      <c r="E35" s="334"/>
      <c r="F35" s="334"/>
      <c r="G35" s="334"/>
      <c r="H35" s="335"/>
      <c r="J35" s="151"/>
      <c r="K35" s="151"/>
      <c r="L35" s="151"/>
      <c r="M35" s="151"/>
      <c r="O35" s="8"/>
    </row>
    <row r="36" spans="1:15" s="246" customFormat="1" ht="13.5" customHeight="1" x14ac:dyDescent="0.2">
      <c r="A36" s="302"/>
      <c r="B36" s="251" t="str">
        <f t="array" ref="B36">INDEX('Caisse maladie'!$C$2:$C$49,MATCH(1,('Caisse maladie'!$A$2:$A$49=C2)*('Caisse maladie'!$B$2:$B$49="LCA"),0))</f>
        <v>CSS</v>
      </c>
      <c r="C36" s="277"/>
      <c r="D36" s="278" t="s">
        <v>46</v>
      </c>
      <c r="E36" s="180">
        <f>SUMIFS('Caisse maladie'!D:D,'Caisse maladie'!A:A,C2,'Caisse maladie'!B:B,D36,'Caisse maladie'!E:E,"non")</f>
        <v>0</v>
      </c>
      <c r="F36" s="180">
        <f>SUMIFS('Caisse maladie'!D:D,'Caisse maladie'!A:A,C2,'Caisse maladie'!B:B,D36,'Caisse maladie'!E:E,"oui")</f>
        <v>12.4</v>
      </c>
      <c r="G36" s="180"/>
      <c r="H36" s="180"/>
      <c r="J36" s="271" t="s">
        <v>31</v>
      </c>
      <c r="K36" s="271" t="s">
        <v>46</v>
      </c>
      <c r="L36" s="271"/>
      <c r="M36" s="271"/>
      <c r="O36" s="279"/>
    </row>
    <row r="37" spans="1:15" s="246" customFormat="1" ht="13.5" customHeight="1" x14ac:dyDescent="0.2">
      <c r="A37" s="302"/>
      <c r="B37" s="290" t="str">
        <f ca="1">IF(OFFSET(OFFSET(INDEX('Paiements échelonnés'!C:C,MATCH($C$2,'Paiements échelonnés'!B:B,0)),ROW()-37,0),0,2)&lt;&gt;"",OFFSET(INDEX('Paiements échelonnés'!C:C,MATCH($C$2,'Paiements échelonnés'!B:B,0)),ROW()-37,0),"")</f>
        <v>Impôts communaux</v>
      </c>
      <c r="C37" s="280" t="str">
        <f ca="1">IF(OFFSET(OFFSET(INDEX('Paiements échelonnés'!D:D,MATCH($C$2,'Paiements échelonnés'!B:B,0)),ROW()-37,0),0,2)&lt;&gt;"",OFFSET(INDEX('Paiements échelonnés'!D:D,MATCH($C$2,'Paiements échelonnés'!B:B,0)),ROW()-37,0),"")</f>
        <v>Commune de Farvagny</v>
      </c>
      <c r="D37" s="278"/>
      <c r="E37" s="180">
        <f ca="1">SUMIFS('Paiements échelonnés'!E:E,'Paiements échelonnés'!C:C,B37,'Paiements échelonnés'!A:A,$C$2,'Paiements échelonnés'!F:F,"non")</f>
        <v>81.5</v>
      </c>
      <c r="F37" s="180">
        <f ca="1">SUMIFS('Paiements échelonnés'!E:E,'Paiements échelonnés'!C:C,B37,'Paiements échelonnés'!A:A,$C$2,'Paiements échelonnés'!F:F,"oui")</f>
        <v>0</v>
      </c>
      <c r="G37" s="180"/>
      <c r="H37" s="180"/>
      <c r="J37" s="271" t="s">
        <v>31</v>
      </c>
      <c r="K37" s="271" t="s">
        <v>86</v>
      </c>
      <c r="L37" s="271"/>
      <c r="M37" s="271"/>
      <c r="O37" s="279"/>
    </row>
    <row r="38" spans="1:15" s="246" customFormat="1" ht="13.5" customHeight="1" x14ac:dyDescent="0.2">
      <c r="A38" s="302"/>
      <c r="B38" s="290" t="str">
        <f ca="1">IF(OFFSET(OFFSET(INDEX('Paiements échelonnés'!C:C,MATCH($C$2,'Paiements échelonnés'!B:B,0)),ROW()-37,0),0,2)&lt;&gt;"",OFFSET(INDEX('Paiements échelonnés'!C:C,MATCH($C$2,'Paiements échelonnés'!B:B,0)),ROW()-37,0),"")</f>
        <v>Impôts cantonaux</v>
      </c>
      <c r="C38" s="280" t="str">
        <f ca="1">IF(OFFSET(OFFSET(INDEX('Paiements échelonnés'!D:D,MATCH($C$2,'Paiements échelonnés'!B:B,0)),ROW()-37,0),0,2)&lt;&gt;"",OFFSET(INDEX('Paiements échelonnés'!D:D,MATCH($C$2,'Paiements échelonnés'!B:B,0)),ROW()-37,0),"")</f>
        <v>SCC</v>
      </c>
      <c r="D38" s="278"/>
      <c r="E38" s="180">
        <f ca="1">SUMIFS('Paiements échelonnés'!E:E,'Paiements échelonnés'!C:C,B38,'Paiements échelonnés'!A:A,$C$2,'Paiements échelonnés'!F:F,"non")</f>
        <v>0</v>
      </c>
      <c r="F38" s="180">
        <f ca="1">SUMIFS('Paiements échelonnés'!E:E,'Paiements échelonnés'!C:C,B38,'Paiements échelonnés'!A:A,$C$2,'Paiements échelonnés'!F:F,"oui")</f>
        <v>82.3</v>
      </c>
      <c r="G38" s="180"/>
      <c r="H38" s="180"/>
      <c r="J38" s="271" t="s">
        <v>31</v>
      </c>
      <c r="K38" s="271" t="s">
        <v>86</v>
      </c>
      <c r="L38" s="271"/>
      <c r="M38" s="271"/>
      <c r="O38" s="279"/>
    </row>
    <row r="39" spans="1:15" s="246" customFormat="1" ht="13.5" customHeight="1" x14ac:dyDescent="0.2">
      <c r="A39" s="302"/>
      <c r="B39" s="290" t="str">
        <f ca="1">IF(OFFSET(OFFSET(INDEX('Paiements échelonnés'!C:C,MATCH($C$2,'Paiements échelonnés'!B:B,0)),ROW()-37,0),0,2)&lt;&gt;"",OFFSET(INDEX('Paiements échelonnés'!C:C,MATCH($C$2,'Paiements échelonnés'!B:B,0)),ROW()-37,0),"")</f>
        <v/>
      </c>
      <c r="C39" s="280" t="str">
        <f ca="1">IF(OFFSET(OFFSET(INDEX('Paiements échelonnés'!D:D,MATCH($C$2,'Paiements échelonnés'!B:B,0)),ROW()-37,0),0,2)&lt;&gt;"",OFFSET(INDEX('Paiements échelonnés'!D:D,MATCH($C$2,'Paiements échelonnés'!B:B,0)),ROW()-37,0),"")</f>
        <v/>
      </c>
      <c r="D39" s="278"/>
      <c r="E39" s="180">
        <f ca="1">SUMIFS('Paiements échelonnés'!E:E,'Paiements échelonnés'!C:C,B39,'Paiements échelonnés'!A:A,$C$2,'Paiements échelonnés'!F:F,"non")</f>
        <v>0</v>
      </c>
      <c r="F39" s="180">
        <f ca="1">SUMIFS('Paiements échelonnés'!E:E,'Paiements échelonnés'!C:C,B39,'Paiements échelonnés'!A:A,$C$2,'Paiements échelonnés'!F:F,"oui")</f>
        <v>0</v>
      </c>
      <c r="G39" s="180"/>
      <c r="H39" s="180"/>
      <c r="J39" s="271" t="s">
        <v>31</v>
      </c>
      <c r="K39" s="271" t="s">
        <v>86</v>
      </c>
      <c r="L39" s="271"/>
      <c r="M39" s="271"/>
      <c r="O39" s="279"/>
    </row>
    <row r="40" spans="1:15" s="246" customFormat="1" ht="13.5" customHeight="1" x14ac:dyDescent="0.2">
      <c r="A40" s="302"/>
      <c r="B40" s="290" t="str">
        <f ca="1">IF(OFFSET(OFFSET(INDEX('Paiements échelonnés'!C:C,MATCH($C$2,'Paiements échelonnés'!B:B,0)),ROW()-37,0),0,2)&lt;&gt;"",OFFSET(INDEX('Paiements échelonnés'!C:C,MATCH($C$2,'Paiements échelonnés'!B:B,0)),ROW()-37,0),"")</f>
        <v/>
      </c>
      <c r="C40" s="280" t="str">
        <f ca="1">IF(OFFSET(OFFSET(INDEX('Paiements échelonnés'!D:D,MATCH($C$2,'Paiements échelonnés'!B:B,0)),ROW()-37,0),0,2)&lt;&gt;"",OFFSET(INDEX('Paiements échelonnés'!D:D,MATCH($C$2,'Paiements échelonnés'!B:B,0)),ROW()-37,0),"")</f>
        <v/>
      </c>
      <c r="D40" s="281"/>
      <c r="E40" s="180">
        <f ca="1">SUMIFS('Paiements échelonnés'!E:E,'Paiements échelonnés'!C:C,B40,'Paiements échelonnés'!A:A,$C$2,'Paiements échelonnés'!F:F,"non")</f>
        <v>0</v>
      </c>
      <c r="F40" s="180">
        <f ca="1">SUMIFS('Paiements échelonnés'!E:E,'Paiements échelonnés'!C:C,B40,'Paiements échelonnés'!A:A,$C$2,'Paiements échelonnés'!F:F,"oui")</f>
        <v>0</v>
      </c>
      <c r="G40" s="180"/>
      <c r="H40" s="180"/>
      <c r="J40" s="271" t="s">
        <v>31</v>
      </c>
      <c r="K40" s="271" t="s">
        <v>86</v>
      </c>
      <c r="L40" s="271"/>
      <c r="M40" s="271"/>
      <c r="O40" s="279"/>
    </row>
    <row r="41" spans="1:15" s="246" customFormat="1" ht="13.5" customHeight="1" x14ac:dyDescent="0.2">
      <c r="A41" s="302"/>
      <c r="B41" s="290" t="str">
        <f ca="1">IF(OFFSET(OFFSET(INDEX('Paiements échelonnés'!C:C,MATCH($C$2,'Paiements échelonnés'!B:B,0)),ROW()-37,0),0,2)&lt;&gt;"",OFFSET(INDEX('Paiements échelonnés'!C:C,MATCH($C$2,'Paiements échelonnés'!B:B,0)),ROW()-37,0),"")</f>
        <v/>
      </c>
      <c r="C41" s="280" t="str">
        <f ca="1">IF(OFFSET(OFFSET(INDEX('Paiements échelonnés'!D:D,MATCH($C$2,'Paiements échelonnés'!B:B,0)),ROW()-37,0),0,2)&lt;&gt;"",OFFSET(INDEX('Paiements échelonnés'!D:D,MATCH($C$2,'Paiements échelonnés'!B:B,0)),ROW()-37,0),"")</f>
        <v/>
      </c>
      <c r="D41" s="281"/>
      <c r="E41" s="180">
        <f ca="1">SUMIFS('Paiements échelonnés'!E:E,'Paiements échelonnés'!C:C,B41,'Paiements échelonnés'!A:A,$C$2,'Paiements échelonnés'!F:F,"non")</f>
        <v>0</v>
      </c>
      <c r="F41" s="180">
        <f ca="1">SUMIFS('Paiements échelonnés'!E:E,'Paiements échelonnés'!C:C,B41,'Paiements échelonnés'!A:A,$C$2,'Paiements échelonnés'!F:F,"oui")</f>
        <v>0</v>
      </c>
      <c r="G41" s="180"/>
      <c r="H41" s="180"/>
      <c r="J41" s="271" t="s">
        <v>31</v>
      </c>
      <c r="K41" s="271" t="s">
        <v>86</v>
      </c>
      <c r="L41" s="271"/>
      <c r="M41" s="271"/>
      <c r="O41" s="279"/>
    </row>
    <row r="42" spans="1:15" s="246" customFormat="1" ht="13.5" customHeight="1" x14ac:dyDescent="0.2">
      <c r="A42" s="302"/>
      <c r="B42" s="290" t="str">
        <f ca="1">IF(OFFSET(OFFSET(INDEX('Paiements échelonnés'!C:C,MATCH($C$2,'Paiements échelonnés'!B:B,0)),ROW()-37,0),0,2)&lt;&gt;"",OFFSET(INDEX('Paiements échelonnés'!C:C,MATCH($C$2,'Paiements échelonnés'!B:B,0)),ROW()-37,0),"")</f>
        <v/>
      </c>
      <c r="C42" s="280" t="str">
        <f ca="1">IF(OFFSET(OFFSET(INDEX('Paiements échelonnés'!D:D,MATCH($C$2,'Paiements échelonnés'!B:B,0)),ROW()-37,0),0,2)&lt;&gt;"",OFFSET(INDEX('Paiements échelonnés'!D:D,MATCH($C$2,'Paiements échelonnés'!B:B,0)),ROW()-37,0),"")</f>
        <v/>
      </c>
      <c r="D42" s="281"/>
      <c r="E42" s="180">
        <f ca="1">SUMIFS('Paiements échelonnés'!E:E,'Paiements échelonnés'!C:C,B42,'Paiements échelonnés'!A:A,$C$2,'Paiements échelonnés'!F:F,"non")</f>
        <v>0</v>
      </c>
      <c r="F42" s="180">
        <f ca="1">SUMIFS('Paiements échelonnés'!E:E,'Paiements échelonnés'!C:C,B42,'Paiements échelonnés'!A:A,$C$2,'Paiements échelonnés'!F:F,"oui")</f>
        <v>0</v>
      </c>
      <c r="G42" s="180"/>
      <c r="H42" s="180"/>
      <c r="J42" s="271" t="s">
        <v>31</v>
      </c>
      <c r="K42" s="271" t="s">
        <v>86</v>
      </c>
      <c r="L42" s="271"/>
      <c r="M42" s="271"/>
      <c r="O42" s="279"/>
    </row>
    <row r="43" spans="1:15" s="246" customFormat="1" ht="13.5" customHeight="1" x14ac:dyDescent="0.2">
      <c r="A43" s="302"/>
      <c r="B43" s="290" t="str">
        <f ca="1">IF(OFFSET(OFFSET(INDEX('Paiements échelonnés'!C:C,MATCH($C$2,'Paiements échelonnés'!B:B,0)),ROW()-37,0),0,2)&lt;&gt;"",OFFSET(INDEX('Paiements échelonnés'!C:C,MATCH($C$2,'Paiements échelonnés'!B:B,0)),ROW()-37,0),"")</f>
        <v>tutu</v>
      </c>
      <c r="C43" s="280">
        <f ca="1">IF(OFFSET(OFFSET(INDEX('Paiements échelonnés'!D:D,MATCH($C$2,'Paiements échelonnés'!B:B,0)),ROW()-37,0),0,2)&lt;&gt;"",OFFSET(INDEX('Paiements échelonnés'!D:D,MATCH($C$2,'Paiements échelonnés'!B:B,0)),ROW()-37,0),"")</f>
        <v>0</v>
      </c>
      <c r="D43" s="281"/>
      <c r="E43" s="180">
        <f ca="1">SUMIFS('Paiements échelonnés'!E:E,'Paiements échelonnés'!C:C,B43,'Paiements échelonnés'!A:A,$C$2,'Paiements échelonnés'!F:F,"non")</f>
        <v>0</v>
      </c>
      <c r="F43" s="180">
        <f ca="1">SUMIFS('Paiements échelonnés'!E:E,'Paiements échelonnés'!C:C,B43,'Paiements échelonnés'!A:A,$C$2,'Paiements échelonnés'!F:F,"oui")</f>
        <v>12</v>
      </c>
      <c r="G43" s="180"/>
      <c r="H43" s="180"/>
      <c r="J43" s="271" t="s">
        <v>31</v>
      </c>
      <c r="K43" s="271" t="s">
        <v>86</v>
      </c>
      <c r="L43" s="271"/>
      <c r="M43" s="271"/>
      <c r="O43" s="279"/>
    </row>
    <row r="44" spans="1:15" s="246" customFormat="1" ht="13.5" customHeight="1" x14ac:dyDescent="0.2">
      <c r="A44" s="302"/>
      <c r="B44" s="290" t="str">
        <f ca="1">IF(OFFSET(OFFSET(INDEX('Paiements échelonnés'!C:C,MATCH($C$2,'Paiements échelonnés'!B:B,0)),ROW()-37,0),0,2)&lt;&gt;"",OFFSET(INDEX('Paiements échelonnés'!C:C,MATCH($C$2,'Paiements échelonnés'!B:B,0)),ROW()-37,0),"")</f>
        <v/>
      </c>
      <c r="C44" s="280" t="str">
        <f ca="1">IF(OFFSET(OFFSET(INDEX('Paiements échelonnés'!D:D,MATCH($C$2,'Paiements échelonnés'!B:B,0)),ROW()-37,0),0,2)&lt;&gt;"",OFFSET(INDEX('Paiements échelonnés'!D:D,MATCH($C$2,'Paiements échelonnés'!B:B,0)),ROW()-37,0),"")</f>
        <v/>
      </c>
      <c r="D44" s="281"/>
      <c r="E44" s="180">
        <f ca="1">SUMIFS('Paiements échelonnés'!E:E,'Paiements échelonnés'!C:C,B44,'Paiements échelonnés'!A:A,$C$2,'Paiements échelonnés'!F:F,"non")</f>
        <v>0</v>
      </c>
      <c r="F44" s="180">
        <f ca="1">SUMIFS('Paiements échelonnés'!E:E,'Paiements échelonnés'!C:C,B44,'Paiements échelonnés'!A:A,$C$2,'Paiements échelonnés'!F:F,"oui")</f>
        <v>0</v>
      </c>
      <c r="G44" s="180"/>
      <c r="H44" s="180"/>
      <c r="J44" s="271" t="s">
        <v>31</v>
      </c>
      <c r="K44" s="271" t="s">
        <v>86</v>
      </c>
      <c r="L44" s="271"/>
      <c r="M44" s="271"/>
      <c r="O44" s="279"/>
    </row>
    <row r="45" spans="1:15" s="246" customFormat="1" ht="13.5" customHeight="1" x14ac:dyDescent="0.2">
      <c r="A45" s="302"/>
      <c r="B45" s="290" t="str">
        <f ca="1">IF(OFFSET(OFFSET(INDEX('Paiements échelonnés'!C:C,MATCH($C$2,'Paiements échelonnés'!B:B,0)),ROW()-37,0),0,2)&lt;&gt;"",OFFSET(INDEX('Paiements échelonnés'!C:C,MATCH($C$2,'Paiements échelonnés'!B:B,0)),ROW()-37,0),"")</f>
        <v/>
      </c>
      <c r="C45" s="280" t="str">
        <f ca="1">IF(OFFSET(OFFSET(INDEX('Paiements échelonnés'!D:D,MATCH($C$2,'Paiements échelonnés'!B:B,0)),ROW()-37,0),0,2)&lt;&gt;"",OFFSET(INDEX('Paiements échelonnés'!D:D,MATCH($C$2,'Paiements échelonnés'!B:B,0)),ROW()-37,0),"")</f>
        <v/>
      </c>
      <c r="D45" s="281"/>
      <c r="E45" s="180">
        <f ca="1">SUMIFS('Paiements échelonnés'!E:E,'Paiements échelonnés'!C:C,B45,'Paiements échelonnés'!A:A,$C$2,'Paiements échelonnés'!F:F,"non")</f>
        <v>0</v>
      </c>
      <c r="F45" s="180">
        <f ca="1">SUMIFS('Paiements échelonnés'!E:E,'Paiements échelonnés'!C:C,B45,'Paiements échelonnés'!A:A,$C$2,'Paiements échelonnés'!F:F,"oui")</f>
        <v>0</v>
      </c>
      <c r="G45" s="180"/>
      <c r="H45" s="180"/>
      <c r="J45" s="271" t="s">
        <v>31</v>
      </c>
      <c r="K45" s="271" t="s">
        <v>86</v>
      </c>
      <c r="L45" s="271"/>
      <c r="M45" s="271"/>
      <c r="O45" s="279"/>
    </row>
    <row r="46" spans="1:15" s="246" customFormat="1" ht="13.5" customHeight="1" x14ac:dyDescent="0.2">
      <c r="A46" s="302"/>
      <c r="B46" s="290" t="str">
        <f ca="1">IF(OFFSET(OFFSET(INDEX('Paiements échelonnés'!C:C,MATCH($C$2,'Paiements échelonnés'!B:B,0)),ROW()-37,0),0,2)&lt;&gt;"",OFFSET(INDEX('Paiements échelonnés'!C:C,MATCH($C$2,'Paiements échelonnés'!B:B,0)),ROW()-37,0),"")</f>
        <v/>
      </c>
      <c r="C46" s="280" t="str">
        <f ca="1">IF(OFFSET(OFFSET(INDEX('Paiements échelonnés'!D:D,MATCH($C$2,'Paiements échelonnés'!B:B,0)),ROW()-37,0),0,2)&lt;&gt;"",OFFSET(INDEX('Paiements échelonnés'!D:D,MATCH($C$2,'Paiements échelonnés'!B:B,0)),ROW()-37,0),"")</f>
        <v/>
      </c>
      <c r="D46" s="281"/>
      <c r="E46" s="180">
        <f ca="1">SUMIFS('Paiements échelonnés'!E:E,'Paiements échelonnés'!C:C,B46,'Paiements échelonnés'!A:A,$C$2,'Paiements échelonnés'!F:F,"non")</f>
        <v>0</v>
      </c>
      <c r="F46" s="180">
        <f ca="1">SUMIFS('Paiements échelonnés'!E:E,'Paiements échelonnés'!C:C,B46,'Paiements échelonnés'!A:A,$C$2,'Paiements échelonnés'!F:F,"oui")</f>
        <v>0</v>
      </c>
      <c r="G46" s="180"/>
      <c r="H46" s="180"/>
      <c r="J46" s="271" t="s">
        <v>31</v>
      </c>
      <c r="K46" s="271" t="s">
        <v>86</v>
      </c>
      <c r="L46" s="271"/>
      <c r="M46" s="271"/>
      <c r="O46" s="279"/>
    </row>
    <row r="47" spans="1:15" s="246" customFormat="1" ht="13.5" customHeight="1" x14ac:dyDescent="0.2">
      <c r="A47" s="302"/>
      <c r="B47" s="290" t="str">
        <f ca="1">IF(OFFSET(OFFSET(INDEX('Paiements échelonnés'!C:C,MATCH($C$2,'Paiements échelonnés'!B:B,0)),ROW()-37,0),0,2)&lt;&gt;"",OFFSET(INDEX('Paiements échelonnés'!C:C,MATCH($C$2,'Paiements échelonnés'!B:B,0)),ROW()-37,0),"")</f>
        <v/>
      </c>
      <c r="C47" s="280" t="str">
        <f ca="1">IF(OFFSET(OFFSET(INDEX('Paiements échelonnés'!D:D,MATCH($C$2,'Paiements échelonnés'!B:B,0)),ROW()-37,0),0,2)&lt;&gt;"",OFFSET(INDEX('Paiements échelonnés'!D:D,MATCH($C$2,'Paiements échelonnés'!B:B,0)),ROW()-37,0),"")</f>
        <v/>
      </c>
      <c r="D47" s="281"/>
      <c r="E47" s="180">
        <f ca="1">SUMIFS('Paiements échelonnés'!E:E,'Paiements échelonnés'!C:C,B47,'Paiements échelonnés'!A:A,$C$2,'Paiements échelonnés'!F:F,"non")</f>
        <v>0</v>
      </c>
      <c r="F47" s="180">
        <f ca="1">SUMIFS('Paiements échelonnés'!E:E,'Paiements échelonnés'!C:C,B47,'Paiements échelonnés'!A:A,$C$2,'Paiements échelonnés'!F:F,"oui")</f>
        <v>0</v>
      </c>
      <c r="G47" s="180"/>
      <c r="H47" s="180"/>
      <c r="J47" s="271" t="s">
        <v>31</v>
      </c>
      <c r="K47" s="271" t="s">
        <v>86</v>
      </c>
      <c r="L47" s="271"/>
      <c r="M47" s="271"/>
      <c r="O47" s="279"/>
    </row>
    <row r="48" spans="1:15" s="246" customFormat="1" ht="13.5" customHeight="1" x14ac:dyDescent="0.2">
      <c r="A48" s="302"/>
      <c r="B48" s="290" t="str">
        <f ca="1">IF(OFFSET(OFFSET(INDEX('Paiements échelonnés'!C:C,MATCH($C$2,'Paiements échelonnés'!B:B,0)),ROW()-37,0),0,2)&lt;&gt;"",OFFSET(INDEX('Paiements échelonnés'!C:C,MATCH($C$2,'Paiements échelonnés'!B:B,0)),ROW()-37,0),"")</f>
        <v/>
      </c>
      <c r="C48" s="280" t="str">
        <f ca="1">IF(OFFSET(OFFSET(INDEX('Paiements échelonnés'!D:D,MATCH($C$2,'Paiements échelonnés'!B:B,0)),ROW()-37,0),0,2)&lt;&gt;"",OFFSET(INDEX('Paiements échelonnés'!D:D,MATCH($C$2,'Paiements échelonnés'!B:B,0)),ROW()-37,0),"")</f>
        <v/>
      </c>
      <c r="D48" s="281"/>
      <c r="E48" s="180">
        <f ca="1">SUMIFS('Paiements échelonnés'!E:E,'Paiements échelonnés'!C:C,B48,'Paiements échelonnés'!A:A,$C$2,'Paiements échelonnés'!F:F,"non")</f>
        <v>0</v>
      </c>
      <c r="F48" s="180">
        <f ca="1">SUMIFS('Paiements échelonnés'!E:E,'Paiements échelonnés'!C:C,B48,'Paiements échelonnés'!A:A,$C$2,'Paiements échelonnés'!F:F,"oui")</f>
        <v>0</v>
      </c>
      <c r="G48" s="180"/>
      <c r="H48" s="180"/>
      <c r="J48" s="271" t="s">
        <v>31</v>
      </c>
      <c r="K48" s="271" t="s">
        <v>86</v>
      </c>
      <c r="L48" s="271"/>
      <c r="M48" s="271"/>
      <c r="O48" s="279"/>
    </row>
    <row r="49" spans="1:15" s="246" customFormat="1" ht="13.5" customHeight="1" x14ac:dyDescent="0.2">
      <c r="A49" s="302"/>
      <c r="B49" s="290" t="str">
        <f ca="1">IF(OFFSET(OFFSET(INDEX('Paiements échelonnés'!C:C,MATCH($C$2,'Paiements échelonnés'!B:B,0)),ROW()-37,0),0,2)&lt;&gt;"",OFFSET(INDEX('Paiements échelonnés'!C:C,MATCH($C$2,'Paiements échelonnés'!B:B,0)),ROW()-37,0),"")</f>
        <v/>
      </c>
      <c r="C49" s="280" t="str">
        <f ca="1">IF(OFFSET(OFFSET(INDEX('Paiements échelonnés'!D:D,MATCH($C$2,'Paiements échelonnés'!B:B,0)),ROW()-37,0),0,2)&lt;&gt;"",OFFSET(INDEX('Paiements échelonnés'!D:D,MATCH($C$2,'Paiements échelonnés'!B:B,0)),ROW()-37,0),"")</f>
        <v/>
      </c>
      <c r="D49" s="281"/>
      <c r="E49" s="180">
        <f ca="1">SUMIFS('Paiements échelonnés'!E:E,'Paiements échelonnés'!C:C,B49,'Paiements échelonnés'!A:A,$C$2,'Paiements échelonnés'!F:F,"non")</f>
        <v>0</v>
      </c>
      <c r="F49" s="180">
        <f ca="1">SUMIFS('Paiements échelonnés'!E:E,'Paiements échelonnés'!C:C,B49,'Paiements échelonnés'!A:A,$C$2,'Paiements échelonnés'!F:F,"oui")</f>
        <v>0</v>
      </c>
      <c r="G49" s="180"/>
      <c r="H49" s="180"/>
      <c r="J49" s="271" t="s">
        <v>31</v>
      </c>
      <c r="K49" s="271" t="s">
        <v>86</v>
      </c>
      <c r="L49" s="271"/>
      <c r="M49" s="271"/>
      <c r="O49" s="279"/>
    </row>
    <row r="50" spans="1:15" s="246" customFormat="1" ht="13.5" customHeight="1" x14ac:dyDescent="0.2">
      <c r="A50" s="302"/>
      <c r="B50" s="290" t="str">
        <f ca="1">IF(OFFSET(OFFSET(INDEX('Paiements échelonnés'!C:C,MATCH($C$2,'Paiements échelonnés'!B:B,0)),ROW()-37,0),0,2)&lt;&gt;"",OFFSET(INDEX('Paiements échelonnés'!C:C,MATCH($C$2,'Paiements échelonnés'!B:B,0)),ROW()-37,0),"")</f>
        <v/>
      </c>
      <c r="C50" s="280" t="str">
        <f ca="1">IF(OFFSET(OFFSET(INDEX('Paiements échelonnés'!D:D,MATCH($C$2,'Paiements échelonnés'!B:B,0)),ROW()-37,0),0,2)&lt;&gt;"",OFFSET(INDEX('Paiements échelonnés'!D:D,MATCH($C$2,'Paiements échelonnés'!B:B,0)),ROW()-37,0),"")</f>
        <v/>
      </c>
      <c r="D50" s="281"/>
      <c r="E50" s="180">
        <f ca="1">SUMIFS('Paiements échelonnés'!E:E,'Paiements échelonnés'!C:C,B50,'Paiements échelonnés'!A:A,$C$2,'Paiements échelonnés'!F:F,"non")</f>
        <v>0</v>
      </c>
      <c r="F50" s="180">
        <f ca="1">SUMIFS('Paiements échelonnés'!E:E,'Paiements échelonnés'!C:C,B50,'Paiements échelonnés'!A:A,$C$2,'Paiements échelonnés'!F:F,"oui")</f>
        <v>0</v>
      </c>
      <c r="G50" s="180"/>
      <c r="H50" s="180"/>
      <c r="J50" s="271" t="s">
        <v>31</v>
      </c>
      <c r="K50" s="271" t="s">
        <v>86</v>
      </c>
      <c r="L50" s="271"/>
      <c r="M50" s="271"/>
      <c r="O50" s="279"/>
    </row>
    <row r="51" spans="1:15" s="246" customFormat="1" ht="13.5" customHeight="1" x14ac:dyDescent="0.2">
      <c r="A51" s="302"/>
      <c r="B51" s="290" t="str">
        <f ca="1">IF(OFFSET(OFFSET(INDEX('Paiements échelonnés'!H:H,MATCH($C$2,'Paiements échelonnés'!B:B,0)),ROW()-51,0),0,2)&lt;&gt;"",OFFSET(INDEX('Paiements échelonnés'!H:H,MATCH($C$2,'Paiements échelonnés'!B:B,0)),ROW()-51,0),"")</f>
        <v>Assurance ménage</v>
      </c>
      <c r="C51" s="181" t="str">
        <f ca="1">IF(OFFSET(OFFSET(INDEX('Paiements échelonnés'!I:I,MATCH($C$2,'Paiements échelonnés'!B:B,0)),ROW()-51,0),0,1)&lt;&gt;"",OFFSET(INDEX('Paiements échelonnés'!I:I,MATCH($C$2,'Paiements échelonnés'!B:B,0)),ROW()-51,0),"")</f>
        <v>Générali</v>
      </c>
      <c r="D51" s="281"/>
      <c r="E51" s="180">
        <f ca="1">SUMIFS('Paiements échelonnés'!J:J,'Paiements échelonnés'!H:H,B51,'Paiements échelonnés'!A:A,$C$2,'Paiements échelonnés'!K:K,"non")</f>
        <v>0</v>
      </c>
      <c r="F51" s="180">
        <f ca="1">SUMIFS('Paiements échelonnés'!J:J,'Paiements échelonnés'!H:H,B51,'Paiements échelonnés'!A:A,$C$2,'Paiements échelonnés'!K:K,"oui")</f>
        <v>12</v>
      </c>
      <c r="G51" s="180"/>
      <c r="H51" s="180">
        <f ca="1">-F51</f>
        <v>-12</v>
      </c>
      <c r="J51" s="271" t="s">
        <v>31</v>
      </c>
      <c r="K51" s="271" t="s">
        <v>86</v>
      </c>
      <c r="L51" s="271" t="s">
        <v>202</v>
      </c>
      <c r="M51" s="271" t="s">
        <v>264</v>
      </c>
      <c r="O51" s="279"/>
    </row>
    <row r="52" spans="1:15" s="246" customFormat="1" ht="13.5" customHeight="1" x14ac:dyDescent="0.2">
      <c r="A52" s="302"/>
      <c r="B52" s="290" t="str">
        <f ca="1">IF(OFFSET(OFFSET(INDEX('Paiements échelonnés'!H:H,MATCH($C$2,'Paiements échelonnés'!B:B,0)),ROW()-51,0),0,2)&lt;&gt;"",OFFSET(INDEX('Paiements échelonnés'!H:H,MATCH($C$2,'Paiements échelonnés'!B:B,0)),ROW()-51,0),"")</f>
        <v/>
      </c>
      <c r="C52" s="181" t="str">
        <f ca="1">IF(OFFSET(OFFSET(INDEX('Paiements échelonnés'!I:I,MATCH($C$2,'Paiements échelonnés'!B:B,0)),ROW()-51,0),0,1)&lt;&gt;"",OFFSET(INDEX('Paiements échelonnés'!I:I,MATCH($C$2,'Paiements échelonnés'!B:B,0)),ROW()-51,0),"")</f>
        <v/>
      </c>
      <c r="D52" s="281"/>
      <c r="E52" s="180">
        <f ca="1">SUMIFS('Paiements échelonnés'!J:J,'Paiements échelonnés'!H:H,B52,'Paiements échelonnés'!A:A,$C$2,'Paiements échelonnés'!K:K,"non")</f>
        <v>0</v>
      </c>
      <c r="F52" s="180">
        <f ca="1">SUMIFS('Paiements échelonnés'!J:J,'Paiements échelonnés'!H:H,B52,'Paiements échelonnés'!A:A,$C$2,'Paiements échelonnés'!K:K,"oui")</f>
        <v>0</v>
      </c>
      <c r="G52" s="180"/>
      <c r="H52" s="180">
        <f t="shared" ref="H52:H64" ca="1" si="3">-F52</f>
        <v>0</v>
      </c>
      <c r="J52" s="271" t="s">
        <v>31</v>
      </c>
      <c r="K52" s="271" t="s">
        <v>86</v>
      </c>
      <c r="L52" s="271" t="s">
        <v>202</v>
      </c>
      <c r="M52" s="271" t="s">
        <v>264</v>
      </c>
      <c r="O52" s="279"/>
    </row>
    <row r="53" spans="1:15" s="246" customFormat="1" ht="13.5" customHeight="1" x14ac:dyDescent="0.2">
      <c r="A53" s="302"/>
      <c r="B53" s="290" t="str">
        <f ca="1">IF(OFFSET(OFFSET(INDEX('Paiements échelonnés'!H:H,MATCH($C$2,'Paiements échelonnés'!B:B,0)),ROW()-51,0),0,2)&lt;&gt;"",OFFSET(INDEX('Paiements échelonnés'!H:H,MATCH($C$2,'Paiements échelonnés'!B:B,0)),ROW()-51,0),"")</f>
        <v>Impôt véhicule</v>
      </c>
      <c r="C53" s="181" t="str">
        <f ca="1">IF(OFFSET(OFFSET(INDEX('Paiements échelonnés'!I:I,MATCH($C$2,'Paiements échelonnés'!B:B,0)),ROW()-51,0),0,1)&lt;&gt;"",OFFSET(INDEX('Paiements échelonnés'!I:I,MATCH($C$2,'Paiements échelonnés'!B:B,0)),ROW()-51,0),"")</f>
        <v>OCN</v>
      </c>
      <c r="D53" s="281"/>
      <c r="E53" s="180">
        <f ca="1">SUMIFS('Paiements échelonnés'!J:J,'Paiements échelonnés'!H:H,B53,'Paiements échelonnés'!A:A,$C$2,'Paiements échelonnés'!K:K,"non")</f>
        <v>0</v>
      </c>
      <c r="F53" s="180">
        <f ca="1">SUMIFS('Paiements échelonnés'!J:J,'Paiements échelonnés'!H:H,B53,'Paiements échelonnés'!A:A,$C$2,'Paiements échelonnés'!K:K,"oui")</f>
        <v>28</v>
      </c>
      <c r="G53" s="180"/>
      <c r="H53" s="180">
        <f t="shared" ca="1" si="3"/>
        <v>-28</v>
      </c>
      <c r="J53" s="271" t="s">
        <v>31</v>
      </c>
      <c r="K53" s="271" t="s">
        <v>86</v>
      </c>
      <c r="L53" s="271" t="s">
        <v>202</v>
      </c>
      <c r="M53" s="271" t="s">
        <v>264</v>
      </c>
      <c r="O53" s="279"/>
    </row>
    <row r="54" spans="1:15" s="246" customFormat="1" ht="13.5" customHeight="1" x14ac:dyDescent="0.2">
      <c r="A54" s="302"/>
      <c r="B54" s="290" t="str">
        <f ca="1">IF(OFFSET(OFFSET(INDEX('Paiements échelonnés'!H:H,MATCH($C$2,'Paiements échelonnés'!B:B,0)),ROW()-51,0),0,2)&lt;&gt;"",OFFSET(INDEX('Paiements échelonnés'!H:H,MATCH($C$2,'Paiements échelonnés'!B:B,0)),ROW()-51,0),"")</f>
        <v/>
      </c>
      <c r="C54" s="181" t="str">
        <f ca="1">IF(OFFSET(OFFSET(INDEX('Paiements échelonnés'!I:I,MATCH($C$2,'Paiements échelonnés'!B:B,0)),ROW()-51,0),0,1)&lt;&gt;"",OFFSET(INDEX('Paiements échelonnés'!I:I,MATCH($C$2,'Paiements échelonnés'!B:B,0)),ROW()-51,0),"")</f>
        <v/>
      </c>
      <c r="D54" s="281"/>
      <c r="E54" s="180">
        <f ca="1">SUMIFS('Paiements échelonnés'!J:J,'Paiements échelonnés'!H:H,B54,'Paiements échelonnés'!A:A,$C$2,'Paiements échelonnés'!K:K,"non")</f>
        <v>0</v>
      </c>
      <c r="F54" s="180">
        <f ca="1">SUMIFS('Paiements échelonnés'!J:J,'Paiements échelonnés'!H:H,B54,'Paiements échelonnés'!A:A,$C$2,'Paiements échelonnés'!K:K,"oui")</f>
        <v>0</v>
      </c>
      <c r="G54" s="180"/>
      <c r="H54" s="180">
        <f t="shared" ca="1" si="3"/>
        <v>0</v>
      </c>
      <c r="J54" s="271" t="s">
        <v>31</v>
      </c>
      <c r="K54" s="271" t="s">
        <v>86</v>
      </c>
      <c r="L54" s="271" t="s">
        <v>202</v>
      </c>
      <c r="M54" s="271" t="s">
        <v>264</v>
      </c>
      <c r="O54" s="279"/>
    </row>
    <row r="55" spans="1:15" s="246" customFormat="1" ht="13.5" customHeight="1" x14ac:dyDescent="0.2">
      <c r="A55" s="302"/>
      <c r="B55" s="290" t="str">
        <f ca="1">IF(OFFSET(OFFSET(INDEX('Paiements échelonnés'!H:H,MATCH($C$2,'Paiements échelonnés'!B:B,0)),ROW()-51,0),0,2)&lt;&gt;"",OFFSET(INDEX('Paiements échelonnés'!H:H,MATCH($C$2,'Paiements échelonnés'!B:B,0)),ROW()-51,0),"")</f>
        <v>Billag</v>
      </c>
      <c r="C55" s="181">
        <f ca="1">IF(OFFSET(OFFSET(INDEX('Paiements échelonnés'!I:I,MATCH($C$2,'Paiements échelonnés'!B:B,0)),ROW()-51,0),0,1)&lt;&gt;"",OFFSET(INDEX('Paiements échelonnés'!I:I,MATCH($C$2,'Paiements échelonnés'!B:B,0)),ROW()-51,0),"")</f>
        <v>0</v>
      </c>
      <c r="D55" s="281"/>
      <c r="E55" s="180">
        <f ca="1">SUMIFS('Paiements échelonnés'!J:J,'Paiements échelonnés'!H:H,B55,'Paiements échelonnés'!A:A,$C$2,'Paiements échelonnés'!K:K,"non")</f>
        <v>0</v>
      </c>
      <c r="F55" s="180">
        <f ca="1">SUMIFS('Paiements échelonnés'!J:J,'Paiements échelonnés'!H:H,B55,'Paiements échelonnés'!A:A,$C$2,'Paiements échelonnés'!K:K,"oui")</f>
        <v>15</v>
      </c>
      <c r="G55" s="180"/>
      <c r="H55" s="180">
        <f t="shared" ca="1" si="3"/>
        <v>-15</v>
      </c>
      <c r="J55" s="271" t="s">
        <v>31</v>
      </c>
      <c r="K55" s="271" t="s">
        <v>86</v>
      </c>
      <c r="L55" s="271" t="s">
        <v>202</v>
      </c>
      <c r="M55" s="271" t="s">
        <v>264</v>
      </c>
      <c r="O55" s="279"/>
    </row>
    <row r="56" spans="1:15" s="246" customFormat="1" ht="13.5" customHeight="1" x14ac:dyDescent="0.2">
      <c r="A56" s="302"/>
      <c r="B56" s="290" t="str">
        <f ca="1">IF(OFFSET(OFFSET(INDEX('Paiements échelonnés'!H:H,MATCH($C$2,'Paiements échelonnés'!B:B,0)),ROW()-51,0),0,2)&lt;&gt;"",OFFSET(INDEX('Paiements échelonnés'!H:H,MATCH($C$2,'Paiements échelonnés'!B:B,0)),ROW()-51,0),"")</f>
        <v/>
      </c>
      <c r="C56" s="181" t="str">
        <f ca="1">IF(OFFSET(OFFSET(INDEX('Paiements échelonnés'!I:I,MATCH($C$2,'Paiements échelonnés'!B:B,0)),ROW()-51,0),0,1)&lt;&gt;"",OFFSET(INDEX('Paiements échelonnés'!I:I,MATCH($C$2,'Paiements échelonnés'!B:B,0)),ROW()-51,0),"")</f>
        <v/>
      </c>
      <c r="D56" s="281"/>
      <c r="E56" s="180">
        <f ca="1">SUMIFS('Paiements échelonnés'!J:J,'Paiements échelonnés'!H:H,B56,'Paiements échelonnés'!A:A,$C$2,'Paiements échelonnés'!K:K,"non")</f>
        <v>0</v>
      </c>
      <c r="F56" s="180">
        <f ca="1">SUMIFS('Paiements échelonnés'!J:J,'Paiements échelonnés'!H:H,B56,'Paiements échelonnés'!A:A,$C$2,'Paiements échelonnés'!K:K,"oui")</f>
        <v>0</v>
      </c>
      <c r="G56" s="180"/>
      <c r="H56" s="180">
        <f t="shared" ca="1" si="3"/>
        <v>0</v>
      </c>
      <c r="J56" s="271" t="s">
        <v>31</v>
      </c>
      <c r="K56" s="271" t="s">
        <v>86</v>
      </c>
      <c r="L56" s="271" t="s">
        <v>202</v>
      </c>
      <c r="M56" s="271" t="s">
        <v>264</v>
      </c>
      <c r="O56" s="279"/>
    </row>
    <row r="57" spans="1:15" s="246" customFormat="1" ht="13.5" customHeight="1" x14ac:dyDescent="0.2">
      <c r="A57" s="302"/>
      <c r="B57" s="290" t="str">
        <f ca="1">IF(OFFSET(OFFSET(INDEX('Paiements échelonnés'!H:H,MATCH($C$2,'Paiements échelonnés'!B:B,0)),ROW()-51,0),0,2)&lt;&gt;"",OFFSET(INDEX('Paiements échelonnés'!H:H,MATCH($C$2,'Paiements échelonnés'!B:B,0)),ROW()-51,0),"")</f>
        <v/>
      </c>
      <c r="C57" s="280" t="str">
        <f ca="1">IF(OFFSET(OFFSET(INDEX('Paiements échelonnés'!I:I,MATCH($C$2,'Paiements échelonnés'!B:B,0)),ROW()-51,0),0,1)&lt;&gt;"",OFFSET(INDEX('Paiements échelonnés'!I:I,MATCH($C$2,'Paiements échelonnés'!B:B,0)),ROW()-51,0),"")</f>
        <v/>
      </c>
      <c r="D57" s="281"/>
      <c r="E57" s="180">
        <f ca="1">SUMIFS('Paiements échelonnés'!J:J,'Paiements échelonnés'!H:H,B57,'Paiements échelonnés'!A:A,$C$2,'Paiements échelonnés'!K:K,"non")</f>
        <v>0</v>
      </c>
      <c r="F57" s="180">
        <f ca="1">SUMIFS('Paiements échelonnés'!J:J,'Paiements échelonnés'!H:H,B57,'Paiements échelonnés'!A:A,$C$2,'Paiements échelonnés'!K:K,"oui")</f>
        <v>0</v>
      </c>
      <c r="G57" s="180"/>
      <c r="H57" s="180">
        <f t="shared" ca="1" si="3"/>
        <v>0</v>
      </c>
      <c r="J57" s="271" t="s">
        <v>31</v>
      </c>
      <c r="K57" s="271" t="s">
        <v>86</v>
      </c>
      <c r="L57" s="271" t="s">
        <v>202</v>
      </c>
      <c r="M57" s="271" t="s">
        <v>264</v>
      </c>
      <c r="O57" s="279"/>
    </row>
    <row r="58" spans="1:15" s="246" customFormat="1" ht="13.5" customHeight="1" x14ac:dyDescent="0.2">
      <c r="A58" s="302"/>
      <c r="B58" s="290" t="str">
        <f ca="1">IF(OFFSET(OFFSET(INDEX('Paiements échelonnés'!H:H,MATCH($C$2,'Paiements échelonnés'!B:B,0)),ROW()-51,0),0,2)&lt;&gt;"",OFFSET(INDEX('Paiements échelonnés'!H:H,MATCH($C$2,'Paiements échelonnés'!B:B,0)),ROW()-51,0),"")</f>
        <v/>
      </c>
      <c r="C58" s="280" t="str">
        <f ca="1">IF(OFFSET(OFFSET(INDEX('Paiements échelonnés'!I:I,MATCH($C$2,'Paiements échelonnés'!B:B,0)),ROW()-51,0),0,1)&lt;&gt;"",OFFSET(INDEX('Paiements échelonnés'!I:I,MATCH($C$2,'Paiements échelonnés'!B:B,0)),ROW()-51,0),"")</f>
        <v/>
      </c>
      <c r="D58" s="281"/>
      <c r="E58" s="180">
        <f ca="1">SUMIFS('Paiements échelonnés'!J:J,'Paiements échelonnés'!H:H,B58,'Paiements échelonnés'!A:A,$C$2,'Paiements échelonnés'!K:K,"non")</f>
        <v>0</v>
      </c>
      <c r="F58" s="180">
        <f ca="1">SUMIFS('Paiements échelonnés'!J:J,'Paiements échelonnés'!H:H,B58,'Paiements échelonnés'!A:A,$C$2,'Paiements échelonnés'!K:K,"oui")</f>
        <v>0</v>
      </c>
      <c r="G58" s="180"/>
      <c r="H58" s="180">
        <f t="shared" ca="1" si="3"/>
        <v>0</v>
      </c>
      <c r="J58" s="271" t="s">
        <v>31</v>
      </c>
      <c r="K58" s="271" t="s">
        <v>86</v>
      </c>
      <c r="L58" s="271" t="s">
        <v>202</v>
      </c>
      <c r="M58" s="271" t="s">
        <v>264</v>
      </c>
      <c r="O58" s="279"/>
    </row>
    <row r="59" spans="1:15" s="246" customFormat="1" ht="13.5" customHeight="1" x14ac:dyDescent="0.2">
      <c r="A59" s="302"/>
      <c r="B59" s="290" t="str">
        <f ca="1">IF(OFFSET(OFFSET(INDEX('Paiements échelonnés'!H:H,MATCH($C$2,'Paiements échelonnés'!B:B,0)),ROW()-51,0),0,2)&lt;&gt;"",OFFSET(INDEX('Paiements échelonnés'!H:H,MATCH($C$2,'Paiements échelonnés'!B:B,0)),ROW()-51,0),"")</f>
        <v/>
      </c>
      <c r="C59" s="280" t="str">
        <f ca="1">IF(OFFSET(OFFSET(INDEX('Paiements échelonnés'!I:I,MATCH($C$2,'Paiements échelonnés'!B:B,0)),ROW()-51,0),0,1)&lt;&gt;"",OFFSET(INDEX('Paiements échelonnés'!I:I,MATCH($C$2,'Paiements échelonnés'!B:B,0)),ROW()-51,0),"")</f>
        <v/>
      </c>
      <c r="D59" s="281"/>
      <c r="E59" s="180">
        <f ca="1">SUMIFS('Paiements échelonnés'!J:J,'Paiements échelonnés'!H:H,B59,'Paiements échelonnés'!A:A,$C$2,'Paiements échelonnés'!K:K,"non")</f>
        <v>0</v>
      </c>
      <c r="F59" s="180">
        <f ca="1">SUMIFS('Paiements échelonnés'!J:J,'Paiements échelonnés'!H:H,B59,'Paiements échelonnés'!A:A,$C$2,'Paiements échelonnés'!K:K,"oui")</f>
        <v>0</v>
      </c>
      <c r="G59" s="180"/>
      <c r="H59" s="180">
        <f t="shared" ca="1" si="3"/>
        <v>0</v>
      </c>
      <c r="J59" s="271" t="s">
        <v>31</v>
      </c>
      <c r="K59" s="271" t="s">
        <v>86</v>
      </c>
      <c r="L59" s="271" t="s">
        <v>202</v>
      </c>
      <c r="M59" s="271" t="s">
        <v>264</v>
      </c>
      <c r="O59" s="279"/>
    </row>
    <row r="60" spans="1:15" s="246" customFormat="1" ht="13.5" customHeight="1" x14ac:dyDescent="0.2">
      <c r="A60" s="302"/>
      <c r="B60" s="290" t="str">
        <f ca="1">IF(OFFSET(OFFSET(INDEX('Paiements échelonnés'!H:H,MATCH($C$2,'Paiements échelonnés'!B:B,0)),ROW()-51,0),0,2)&lt;&gt;"",OFFSET(INDEX('Paiements échelonnés'!H:H,MATCH($C$2,'Paiements échelonnés'!B:B,0)),ROW()-51,0),"")</f>
        <v/>
      </c>
      <c r="C60" s="280" t="str">
        <f ca="1">IF(OFFSET(OFFSET(INDEX('Paiements échelonnés'!I:I,MATCH($C$2,'Paiements échelonnés'!B:B,0)),ROW()-51,0),0,1)&lt;&gt;"",OFFSET(INDEX('Paiements échelonnés'!I:I,MATCH($C$2,'Paiements échelonnés'!B:B,0)),ROW()-51,0),"")</f>
        <v/>
      </c>
      <c r="D60" s="281"/>
      <c r="E60" s="180">
        <f ca="1">SUMIFS('Paiements échelonnés'!J:J,'Paiements échelonnés'!H:H,B60,'Paiements échelonnés'!A:A,$C$2,'Paiements échelonnés'!K:K,"non")</f>
        <v>0</v>
      </c>
      <c r="F60" s="180">
        <f ca="1">SUMIFS('Paiements échelonnés'!J:J,'Paiements échelonnés'!H:H,B60,'Paiements échelonnés'!A:A,$C$2,'Paiements échelonnés'!K:K,"oui")</f>
        <v>0</v>
      </c>
      <c r="G60" s="180"/>
      <c r="H60" s="180">
        <f t="shared" ca="1" si="3"/>
        <v>0</v>
      </c>
      <c r="J60" s="271" t="s">
        <v>31</v>
      </c>
      <c r="K60" s="271" t="s">
        <v>86</v>
      </c>
      <c r="L60" s="271" t="s">
        <v>202</v>
      </c>
      <c r="M60" s="271" t="s">
        <v>264</v>
      </c>
      <c r="O60" s="279"/>
    </row>
    <row r="61" spans="1:15" s="246" customFormat="1" ht="13.5" customHeight="1" x14ac:dyDescent="0.2">
      <c r="A61" s="302"/>
      <c r="B61" s="290" t="str">
        <f ca="1">IF(OFFSET(OFFSET(INDEX('Paiements échelonnés'!H:H,MATCH($C$2,'Paiements échelonnés'!B:B,0)),ROW()-51,0),0,2)&lt;&gt;"",OFFSET(INDEX('Paiements échelonnés'!H:H,MATCH($C$2,'Paiements échelonnés'!B:B,0)),ROW()-51,0),"")</f>
        <v/>
      </c>
      <c r="C61" s="280" t="str">
        <f ca="1">IF(OFFSET(OFFSET(INDEX('Paiements échelonnés'!I:I,MATCH($C$2,'Paiements échelonnés'!B:B,0)),ROW()-51,0),0,1)&lt;&gt;"",OFFSET(INDEX('Paiements échelonnés'!I:I,MATCH($C$2,'Paiements échelonnés'!B:B,0)),ROW()-51,0),"")</f>
        <v/>
      </c>
      <c r="D61" s="281"/>
      <c r="E61" s="180">
        <f ca="1">SUMIFS('Paiements échelonnés'!J:J,'Paiements échelonnés'!H:H,B61,'Paiements échelonnés'!A:A,$C$2,'Paiements échelonnés'!K:K,"non")</f>
        <v>0</v>
      </c>
      <c r="F61" s="180">
        <f ca="1">SUMIFS('Paiements échelonnés'!J:J,'Paiements échelonnés'!H:H,B61,'Paiements échelonnés'!A:A,$C$2,'Paiements échelonnés'!K:K,"oui")</f>
        <v>0</v>
      </c>
      <c r="G61" s="180"/>
      <c r="H61" s="180">
        <f t="shared" ca="1" si="3"/>
        <v>0</v>
      </c>
      <c r="J61" s="271" t="s">
        <v>31</v>
      </c>
      <c r="K61" s="271" t="s">
        <v>86</v>
      </c>
      <c r="L61" s="271" t="s">
        <v>202</v>
      </c>
      <c r="M61" s="271" t="s">
        <v>264</v>
      </c>
      <c r="O61" s="279"/>
    </row>
    <row r="62" spans="1:15" s="246" customFormat="1" ht="13.5" customHeight="1" x14ac:dyDescent="0.2">
      <c r="A62" s="302"/>
      <c r="B62" s="290" t="str">
        <f ca="1">IF(OFFSET(OFFSET(INDEX('Paiements échelonnés'!H:H,MATCH($C$2,'Paiements échelonnés'!B:B,0)),ROW()-51,0),0,2)&lt;&gt;"",OFFSET(INDEX('Paiements échelonnés'!H:H,MATCH($C$2,'Paiements échelonnés'!B:B,0)),ROW()-51,0),"")</f>
        <v/>
      </c>
      <c r="C62" s="280" t="str">
        <f ca="1">IF(OFFSET(OFFSET(INDEX('Paiements échelonnés'!I:I,MATCH($C$2,'Paiements échelonnés'!B:B,0)),ROW()-51,0),0,1)&lt;&gt;"",OFFSET(INDEX('Paiements échelonnés'!I:I,MATCH($C$2,'Paiements échelonnés'!B:B,0)),ROW()-51,0),"")</f>
        <v/>
      </c>
      <c r="D62" s="281"/>
      <c r="E62" s="180">
        <f ca="1">SUMIFS('Paiements échelonnés'!J:J,'Paiements échelonnés'!H:H,B62,'Paiements échelonnés'!A:A,$C$2,'Paiements échelonnés'!K:K,"non")</f>
        <v>0</v>
      </c>
      <c r="F62" s="180">
        <f ca="1">SUMIFS('Paiements échelonnés'!J:J,'Paiements échelonnés'!H:H,B62,'Paiements échelonnés'!A:A,$C$2,'Paiements échelonnés'!K:K,"oui")</f>
        <v>0</v>
      </c>
      <c r="G62" s="180"/>
      <c r="H62" s="180">
        <f t="shared" ca="1" si="3"/>
        <v>0</v>
      </c>
      <c r="J62" s="271" t="s">
        <v>31</v>
      </c>
      <c r="K62" s="271" t="s">
        <v>86</v>
      </c>
      <c r="L62" s="271" t="s">
        <v>202</v>
      </c>
      <c r="M62" s="271" t="s">
        <v>264</v>
      </c>
      <c r="O62" s="279"/>
    </row>
    <row r="63" spans="1:15" s="246" customFormat="1" ht="13.5" customHeight="1" x14ac:dyDescent="0.2">
      <c r="A63" s="302"/>
      <c r="B63" s="290" t="str">
        <f ca="1">IF(OFFSET(OFFSET(INDEX('Paiements échelonnés'!H:H,MATCH($C$2,'Paiements échelonnés'!B:B,0)),ROW()-51,0),0,2)&lt;&gt;"",OFFSET(INDEX('Paiements échelonnés'!H:H,MATCH($C$2,'Paiements échelonnés'!B:B,0)),ROW()-51,0),"")</f>
        <v/>
      </c>
      <c r="C63" s="280" t="str">
        <f ca="1">IF(OFFSET(OFFSET(INDEX('Paiements échelonnés'!I:I,MATCH($C$2,'Paiements échelonnés'!B:B,0)),ROW()-51,0),0,1)&lt;&gt;"",OFFSET(INDEX('Paiements échelonnés'!I:I,MATCH($C$2,'Paiements échelonnés'!B:B,0)),ROW()-51,0),"")</f>
        <v/>
      </c>
      <c r="D63" s="281"/>
      <c r="E63" s="180">
        <f ca="1">SUMIFS('Paiements échelonnés'!J:J,'Paiements échelonnés'!H:H,B63,'Paiements échelonnés'!A:A,$C$2,'Paiements échelonnés'!K:K,"non")</f>
        <v>0</v>
      </c>
      <c r="F63" s="180">
        <f ca="1">SUMIFS('Paiements échelonnés'!J:J,'Paiements échelonnés'!H:H,B63,'Paiements échelonnés'!A:A,$C$2,'Paiements échelonnés'!K:K,"oui")</f>
        <v>0</v>
      </c>
      <c r="G63" s="180"/>
      <c r="H63" s="180">
        <f t="shared" ca="1" si="3"/>
        <v>0</v>
      </c>
      <c r="J63" s="271" t="s">
        <v>31</v>
      </c>
      <c r="K63" s="271" t="s">
        <v>86</v>
      </c>
      <c r="L63" s="271" t="s">
        <v>202</v>
      </c>
      <c r="M63" s="271" t="s">
        <v>264</v>
      </c>
      <c r="O63" s="279"/>
    </row>
    <row r="64" spans="1:15" s="246" customFormat="1" ht="13.5" customHeight="1" x14ac:dyDescent="0.2">
      <c r="A64" s="302"/>
      <c r="B64" s="290" t="str">
        <f ca="1">IF(OFFSET(OFFSET(INDEX('Paiements échelonnés'!H:H,MATCH($C$2,'Paiements échelonnés'!B:B,0)),ROW()-51,0),0,2)&lt;&gt;"",OFFSET(INDEX('Paiements échelonnés'!H:H,MATCH($C$2,'Paiements échelonnés'!B:B,0)),ROW()-51,0),"")</f>
        <v/>
      </c>
      <c r="C64" s="280" t="str">
        <f ca="1">IF(OFFSET(OFFSET(INDEX('Paiements échelonnés'!I:I,MATCH($C$2,'Paiements échelonnés'!B:B,0)),ROW()-51,0),0,1)&lt;&gt;"",OFFSET(INDEX('Paiements échelonnés'!I:I,MATCH($C$2,'Paiements échelonnés'!B:B,0)),ROW()-51,0),"")</f>
        <v/>
      </c>
      <c r="D64" s="281"/>
      <c r="E64" s="180">
        <f ca="1">SUMIFS('Paiements échelonnés'!J:J,'Paiements échelonnés'!H:H,B64,'Paiements échelonnés'!A:A,$C$2,'Paiements échelonnés'!K:K,"non")</f>
        <v>0</v>
      </c>
      <c r="F64" s="180">
        <f ca="1">SUMIFS('Paiements échelonnés'!J:J,'Paiements échelonnés'!H:H,B64,'Paiements échelonnés'!A:A,$C$2,'Paiements échelonnés'!K:K,"oui")</f>
        <v>0</v>
      </c>
      <c r="G64" s="180"/>
      <c r="H64" s="180">
        <f t="shared" ca="1" si="3"/>
        <v>0</v>
      </c>
      <c r="J64" s="271" t="s">
        <v>31</v>
      </c>
      <c r="K64" s="271" t="s">
        <v>86</v>
      </c>
      <c r="L64" s="271" t="s">
        <v>202</v>
      </c>
      <c r="M64" s="271" t="s">
        <v>264</v>
      </c>
      <c r="O64" s="279"/>
    </row>
    <row r="65" spans="1:15" s="246" customFormat="1" ht="13.5" customHeight="1" x14ac:dyDescent="0.2">
      <c r="A65" s="302"/>
      <c r="B65" s="276"/>
      <c r="C65" s="282"/>
      <c r="D65" s="283"/>
      <c r="E65" s="284"/>
      <c r="F65" s="284"/>
      <c r="G65" s="284"/>
      <c r="H65" s="284"/>
      <c r="J65" s="271" t="s">
        <v>31</v>
      </c>
      <c r="K65" s="271" t="s">
        <v>86</v>
      </c>
      <c r="L65" s="271"/>
      <c r="M65" s="271">
        <v>2027</v>
      </c>
      <c r="O65" s="279"/>
    </row>
    <row r="66" spans="1:15" s="246" customFormat="1" ht="13.5" customHeight="1" x14ac:dyDescent="0.2">
      <c r="A66" s="302"/>
      <c r="B66" s="276" t="s">
        <v>245</v>
      </c>
      <c r="C66" s="282"/>
      <c r="D66" s="283"/>
      <c r="E66" s="284"/>
      <c r="F66" s="284">
        <v>412</v>
      </c>
      <c r="G66" s="284"/>
      <c r="H66" s="284"/>
      <c r="J66" s="271" t="s">
        <v>31</v>
      </c>
      <c r="K66" s="271" t="s">
        <v>86</v>
      </c>
      <c r="L66" s="271"/>
      <c r="M66" s="271">
        <v>2027</v>
      </c>
      <c r="O66" s="279"/>
    </row>
    <row r="67" spans="1:15" s="246" customFormat="1" ht="13.5" customHeight="1" x14ac:dyDescent="0.2">
      <c r="A67" s="302"/>
      <c r="B67" s="276"/>
      <c r="C67" s="282"/>
      <c r="D67" s="283"/>
      <c r="E67" s="284"/>
      <c r="F67" s="284"/>
      <c r="G67" s="284"/>
      <c r="H67" s="284"/>
      <c r="J67" s="271" t="s">
        <v>31</v>
      </c>
      <c r="K67" s="271" t="s">
        <v>86</v>
      </c>
      <c r="L67" s="271"/>
      <c r="M67" s="271">
        <v>2027</v>
      </c>
      <c r="O67" s="279"/>
    </row>
    <row r="68" spans="1:15" s="246" customFormat="1" ht="13.5" customHeight="1" x14ac:dyDescent="0.2">
      <c r="A68" s="302"/>
      <c r="B68" s="276"/>
      <c r="C68" s="282"/>
      <c r="D68" s="283"/>
      <c r="E68" s="284"/>
      <c r="F68" s="284"/>
      <c r="G68" s="284"/>
      <c r="H68" s="284"/>
      <c r="J68" s="271" t="s">
        <v>31</v>
      </c>
      <c r="K68" s="271" t="s">
        <v>86</v>
      </c>
      <c r="L68" s="271"/>
      <c r="M68" s="271">
        <v>2027</v>
      </c>
      <c r="O68" s="279"/>
    </row>
    <row r="69" spans="1:15" s="246" customFormat="1" ht="13.5" customHeight="1" x14ac:dyDescent="0.2">
      <c r="A69" s="302"/>
      <c r="B69" s="276"/>
      <c r="C69" s="282"/>
      <c r="D69" s="283"/>
      <c r="E69" s="284"/>
      <c r="F69" s="284"/>
      <c r="G69" s="284"/>
      <c r="H69" s="284"/>
      <c r="J69" s="271" t="s">
        <v>31</v>
      </c>
      <c r="K69" s="271" t="s">
        <v>86</v>
      </c>
      <c r="L69" s="271"/>
      <c r="M69" s="271">
        <v>2027</v>
      </c>
      <c r="O69" s="279"/>
    </row>
    <row r="70" spans="1:15" s="246" customFormat="1" ht="13.5" customHeight="1" x14ac:dyDescent="0.2">
      <c r="A70" s="302"/>
      <c r="B70" s="285" t="s">
        <v>239</v>
      </c>
      <c r="C70" s="286"/>
      <c r="D70" s="287"/>
      <c r="E70" s="284"/>
      <c r="F70" s="284">
        <f ca="1">IF(G72-SUM(F36:F69)&lt;=0,0,G72-SUM(F36:F69))</f>
        <v>638.29999999999995</v>
      </c>
      <c r="G70" s="284"/>
      <c r="H70" s="284"/>
      <c r="J70" s="271" t="s">
        <v>31</v>
      </c>
      <c r="K70" s="271" t="s">
        <v>86</v>
      </c>
      <c r="L70" s="271"/>
      <c r="M70" s="271"/>
      <c r="O70" s="279"/>
    </row>
    <row r="71" spans="1:15" s="246" customFormat="1" ht="13.5" customHeight="1" x14ac:dyDescent="0.2">
      <c r="A71" s="302"/>
      <c r="B71" s="288" t="s">
        <v>53</v>
      </c>
      <c r="C71" s="279"/>
      <c r="D71" s="178"/>
      <c r="E71" s="289"/>
      <c r="F71" s="289"/>
      <c r="G71" s="289"/>
      <c r="H71" s="289"/>
      <c r="J71" s="271" t="s">
        <v>31</v>
      </c>
      <c r="K71" s="271" t="s">
        <v>86</v>
      </c>
      <c r="L71" s="271"/>
      <c r="M71" s="271"/>
      <c r="O71" s="279"/>
    </row>
    <row r="72" spans="1:15" s="1" customFormat="1" x14ac:dyDescent="0.25">
      <c r="A72" s="302"/>
      <c r="B72" s="231" t="s">
        <v>52</v>
      </c>
      <c r="C72" s="105"/>
      <c r="D72" s="106"/>
      <c r="E72" s="107">
        <f ca="1">SUM(E34:E71)</f>
        <v>81.5</v>
      </c>
      <c r="F72" s="107">
        <f ca="1">SUM(F34:F71)</f>
        <v>1212</v>
      </c>
      <c r="G72" s="107">
        <f ca="1">SUM(G34:G71)</f>
        <v>1212</v>
      </c>
      <c r="H72" s="107">
        <f ca="1">SUM(H34:H71)</f>
        <v>-55</v>
      </c>
      <c r="J72" s="151"/>
      <c r="K72" s="151"/>
      <c r="L72" s="151"/>
      <c r="M72" s="151"/>
      <c r="O72" s="18"/>
    </row>
    <row r="73" spans="1:15" ht="15.75" x14ac:dyDescent="0.25">
      <c r="A73" s="302"/>
      <c r="B73" s="232" t="s">
        <v>38</v>
      </c>
      <c r="C73" s="10"/>
      <c r="D73" s="11"/>
      <c r="E73" s="98"/>
      <c r="F73" s="98"/>
      <c r="G73" s="98"/>
      <c r="H73" s="97"/>
      <c r="J73" s="151"/>
      <c r="K73" s="151"/>
      <c r="L73" s="151"/>
      <c r="M73" s="151"/>
    </row>
    <row r="74" spans="1:15" s="246" customFormat="1" ht="12.75" x14ac:dyDescent="0.2">
      <c r="A74" s="302"/>
      <c r="B74" s="288" t="s">
        <v>51</v>
      </c>
      <c r="C74" s="279"/>
      <c r="D74" s="178"/>
      <c r="E74" s="291"/>
      <c r="F74" s="289">
        <f>SUMIFS('Frais de logement'!F:F,'Frais de logement'!A:A,C2,'Frais de logement'!B:B,B74)</f>
        <v>2400</v>
      </c>
      <c r="G74" s="289">
        <f ca="1">SUMIFS('Frais de logement'!G:G,'Frais de logement'!A:A,C2,'Frais de logement'!B:B,B74)</f>
        <v>1150</v>
      </c>
      <c r="H74" s="289"/>
      <c r="J74" s="271" t="s">
        <v>39</v>
      </c>
      <c r="K74" s="271" t="s">
        <v>82</v>
      </c>
      <c r="L74" s="271">
        <v>4010</v>
      </c>
      <c r="M74" s="271">
        <v>2027</v>
      </c>
    </row>
    <row r="75" spans="1:15" s="246" customFormat="1" ht="12.75" x14ac:dyDescent="0.2">
      <c r="A75" s="302"/>
      <c r="B75" s="288" t="s">
        <v>43</v>
      </c>
      <c r="C75" s="279"/>
      <c r="D75" s="178"/>
      <c r="E75" s="291">
        <f>SUMIFS('Frais de logement'!E:E,'Frais de logement'!A:A,C2,'Frais de logement'!B:B,B75)</f>
        <v>0</v>
      </c>
      <c r="F75" s="289">
        <f>SUMIFS('Frais de logement'!F:F,'Frais de logement'!A:A,C2,'Frais de logement'!B:B,B75)</f>
        <v>270</v>
      </c>
      <c r="G75" s="289">
        <f>SUMIFS('Frais de logement'!G:G,'Frais de logement'!A:A,C2,'Frais de logement'!B:B,B75)</f>
        <v>270</v>
      </c>
      <c r="H75" s="289">
        <f>IF(F75+E75&lt;G75,0,F75-G75)</f>
        <v>0</v>
      </c>
      <c r="J75" s="271" t="s">
        <v>39</v>
      </c>
      <c r="K75" s="271" t="s">
        <v>83</v>
      </c>
      <c r="L75" s="271">
        <v>4010</v>
      </c>
      <c r="M75" s="271">
        <v>2027</v>
      </c>
      <c r="N75" s="246">
        <f>IF(C2='Caisse maladie'!A:A,"SI(D49=''Caisse maladie'!:C)",0)</f>
        <v>0</v>
      </c>
    </row>
    <row r="76" spans="1:15" s="1" customFormat="1" x14ac:dyDescent="0.25">
      <c r="A76" s="303"/>
      <c r="B76" s="231" t="s">
        <v>44</v>
      </c>
      <c r="C76" s="105"/>
      <c r="D76" s="106"/>
      <c r="E76" s="107">
        <f>SUM(E74:E75)</f>
        <v>0</v>
      </c>
      <c r="F76" s="107">
        <f>SUM(F74:F75)</f>
        <v>2670</v>
      </c>
      <c r="G76" s="107">
        <f ca="1">SUM(G74:G75)</f>
        <v>1420</v>
      </c>
      <c r="H76" s="108">
        <f>SUM(H74:H75)</f>
        <v>0</v>
      </c>
      <c r="J76" s="151"/>
      <c r="K76" s="151"/>
      <c r="L76" s="151"/>
      <c r="M76" s="151"/>
    </row>
    <row r="77" spans="1:15" ht="18.75" customHeight="1" x14ac:dyDescent="0.25">
      <c r="A77" s="304" t="s">
        <v>34</v>
      </c>
      <c r="B77" s="232" t="s">
        <v>34</v>
      </c>
      <c r="C77" s="19" t="s">
        <v>55</v>
      </c>
      <c r="D77" s="10"/>
      <c r="E77" s="99"/>
      <c r="F77" s="99"/>
      <c r="G77" s="99"/>
      <c r="H77" s="97"/>
      <c r="J77" s="151"/>
      <c r="K77" s="151"/>
      <c r="L77" s="151"/>
      <c r="M77" s="151"/>
    </row>
    <row r="78" spans="1:15" s="246" customFormat="1" ht="12.75" x14ac:dyDescent="0.2">
      <c r="A78" s="305"/>
      <c r="B78" s="234" t="str">
        <f t="array" ref="B78">INDEX('Caisse maladie'!$C$2:$C$49,MATCH(1,('Caisse maladie'!$A$2:$A$49=C2)*('Caisse maladie'!$B$2:$B$49="LAMAL"),0))</f>
        <v>CSS</v>
      </c>
      <c r="C78" s="279"/>
      <c r="D78" s="178" t="s">
        <v>45</v>
      </c>
      <c r="E78" s="269">
        <f>SUMIFS('Caisse maladie'!D:D,'Caisse maladie'!A:A,C2,'Caisse maladie'!B:B,D78,'Caisse maladie'!E:E,"non")</f>
        <v>0</v>
      </c>
      <c r="F78" s="269">
        <f>SUMIFS('Caisse maladie'!D:D,'Caisse maladie'!A:A,C2,'Caisse maladie'!B:B,D78,'Caisse maladie'!E:E,"oui")</f>
        <v>352.8</v>
      </c>
      <c r="G78" s="269">
        <f>F78+E78</f>
        <v>352.8</v>
      </c>
      <c r="H78" s="180">
        <f>G78-F78-E78</f>
        <v>0</v>
      </c>
      <c r="J78" s="271" t="s">
        <v>35</v>
      </c>
      <c r="K78" s="272" t="s">
        <v>41</v>
      </c>
      <c r="L78" s="272">
        <v>4024</v>
      </c>
      <c r="M78" s="271">
        <v>2027</v>
      </c>
    </row>
    <row r="79" spans="1:15" s="246" customFormat="1" ht="12.75" x14ac:dyDescent="0.2">
      <c r="A79" s="305"/>
      <c r="B79" s="288" t="s">
        <v>89</v>
      </c>
      <c r="C79" s="279"/>
      <c r="D79" s="178" t="s">
        <v>45</v>
      </c>
      <c r="E79" s="269">
        <f>-SUMIFS('Caisse maladie'!F:F,'Caisse maladie'!A:A,C2,'Caisse maladie'!B:B,D79,'Caisse maladie'!E:E,"non")</f>
        <v>0</v>
      </c>
      <c r="F79" s="269">
        <f>-SUMIFS('Caisse maladie'!F:F,'Caisse maladie'!A:A,C2,'Caisse maladie'!B:B,D79,'Caisse maladie'!E:E,"oui")</f>
        <v>-12.8</v>
      </c>
      <c r="G79" s="269">
        <f t="shared" ref="G79:G87" si="4">F79+E79</f>
        <v>-12.8</v>
      </c>
      <c r="H79" s="180">
        <f t="shared" ref="H79:H87" si="5">G79-F79-E79</f>
        <v>0</v>
      </c>
      <c r="J79" s="271" t="s">
        <v>35</v>
      </c>
      <c r="K79" s="272" t="s">
        <v>41</v>
      </c>
      <c r="L79" s="272">
        <v>4024</v>
      </c>
      <c r="M79" s="271">
        <v>2027</v>
      </c>
    </row>
    <row r="80" spans="1:15" s="246" customFormat="1" ht="12.75" x14ac:dyDescent="0.2">
      <c r="A80" s="305"/>
      <c r="B80" s="234" t="str">
        <f>B78</f>
        <v>CSS</v>
      </c>
      <c r="C80" s="279"/>
      <c r="D80" s="178" t="s">
        <v>47</v>
      </c>
      <c r="E80" s="291"/>
      <c r="F80" s="291"/>
      <c r="G80" s="269">
        <f t="shared" si="4"/>
        <v>0</v>
      </c>
      <c r="H80" s="180">
        <f t="shared" si="5"/>
        <v>0</v>
      </c>
      <c r="J80" s="271" t="s">
        <v>35</v>
      </c>
      <c r="K80" s="272" t="s">
        <v>276</v>
      </c>
      <c r="L80" s="272">
        <v>4023</v>
      </c>
      <c r="M80" s="271">
        <v>2027</v>
      </c>
    </row>
    <row r="81" spans="1:20" s="246" customFormat="1" ht="12.75" x14ac:dyDescent="0.2">
      <c r="A81" s="305"/>
      <c r="B81" s="234" t="str">
        <f>B78</f>
        <v>CSS</v>
      </c>
      <c r="C81" s="279"/>
      <c r="D81" s="178" t="s">
        <v>47</v>
      </c>
      <c r="E81" s="291"/>
      <c r="F81" s="291"/>
      <c r="G81" s="269">
        <f t="shared" si="4"/>
        <v>0</v>
      </c>
      <c r="H81" s="180">
        <f t="shared" si="5"/>
        <v>0</v>
      </c>
      <c r="J81" s="271" t="s">
        <v>35</v>
      </c>
      <c r="K81" s="272" t="s">
        <v>276</v>
      </c>
      <c r="L81" s="272">
        <v>4023</v>
      </c>
      <c r="M81" s="271">
        <v>2027</v>
      </c>
    </row>
    <row r="82" spans="1:20" s="246" customFormat="1" ht="12.75" x14ac:dyDescent="0.2">
      <c r="A82" s="305"/>
      <c r="B82" s="234" t="str">
        <f>B78</f>
        <v>CSS</v>
      </c>
      <c r="C82" s="279"/>
      <c r="D82" s="178" t="s">
        <v>47</v>
      </c>
      <c r="E82" s="291"/>
      <c r="F82" s="291">
        <v>26.8</v>
      </c>
      <c r="G82" s="269">
        <f t="shared" si="4"/>
        <v>26.8</v>
      </c>
      <c r="H82" s="180">
        <f t="shared" si="5"/>
        <v>0</v>
      </c>
      <c r="J82" s="271" t="s">
        <v>35</v>
      </c>
      <c r="K82" s="272" t="s">
        <v>276</v>
      </c>
      <c r="L82" s="272">
        <v>4023</v>
      </c>
      <c r="M82" s="271">
        <v>2027</v>
      </c>
    </row>
    <row r="83" spans="1:20" s="246" customFormat="1" ht="12.75" x14ac:dyDescent="0.2">
      <c r="A83" s="305"/>
      <c r="B83" s="234" t="str">
        <f>B78</f>
        <v>CSS</v>
      </c>
      <c r="C83" s="279"/>
      <c r="D83" s="178" t="s">
        <v>47</v>
      </c>
      <c r="E83" s="291"/>
      <c r="F83" s="291"/>
      <c r="G83" s="269">
        <f t="shared" si="4"/>
        <v>0</v>
      </c>
      <c r="H83" s="180">
        <f t="shared" si="5"/>
        <v>0</v>
      </c>
      <c r="J83" s="271" t="s">
        <v>35</v>
      </c>
      <c r="K83" s="272" t="s">
        <v>276</v>
      </c>
      <c r="L83" s="272">
        <v>4023</v>
      </c>
      <c r="M83" s="271">
        <v>2027</v>
      </c>
    </row>
    <row r="84" spans="1:20" s="246" customFormat="1" ht="12.75" x14ac:dyDescent="0.2">
      <c r="A84" s="305"/>
      <c r="B84" s="234" t="str">
        <f>B78</f>
        <v>CSS</v>
      </c>
      <c r="C84" s="279"/>
      <c r="D84" s="178" t="s">
        <v>47</v>
      </c>
      <c r="E84" s="291"/>
      <c r="F84" s="291"/>
      <c r="G84" s="269">
        <f t="shared" si="4"/>
        <v>0</v>
      </c>
      <c r="H84" s="180">
        <f t="shared" si="5"/>
        <v>0</v>
      </c>
      <c r="J84" s="271" t="s">
        <v>35</v>
      </c>
      <c r="K84" s="272" t="s">
        <v>276</v>
      </c>
      <c r="L84" s="272">
        <v>4023</v>
      </c>
      <c r="M84" s="271">
        <v>2027</v>
      </c>
    </row>
    <row r="85" spans="1:20" s="246" customFormat="1" ht="12.75" x14ac:dyDescent="0.2">
      <c r="A85" s="305"/>
      <c r="B85" s="234" t="s">
        <v>213</v>
      </c>
      <c r="C85" s="279"/>
      <c r="D85" s="178" t="s">
        <v>212</v>
      </c>
      <c r="E85" s="291"/>
      <c r="F85" s="291"/>
      <c r="G85" s="269">
        <f t="shared" si="4"/>
        <v>0</v>
      </c>
      <c r="H85" s="180">
        <f t="shared" si="5"/>
        <v>0</v>
      </c>
      <c r="J85" s="271" t="s">
        <v>35</v>
      </c>
      <c r="K85" s="272" t="s">
        <v>276</v>
      </c>
      <c r="L85" s="272">
        <v>4023</v>
      </c>
      <c r="M85" s="271">
        <v>2027</v>
      </c>
    </row>
    <row r="86" spans="1:20" s="246" customFormat="1" ht="12.75" x14ac:dyDescent="0.2">
      <c r="A86" s="305"/>
      <c r="B86" s="234"/>
      <c r="C86" s="279"/>
      <c r="D86" s="178" t="s">
        <v>175</v>
      </c>
      <c r="E86" s="291"/>
      <c r="F86" s="291"/>
      <c r="G86" s="269">
        <f t="shared" si="4"/>
        <v>0</v>
      </c>
      <c r="H86" s="180">
        <f t="shared" si="5"/>
        <v>0</v>
      </c>
      <c r="J86" s="271" t="s">
        <v>35</v>
      </c>
      <c r="K86" s="272" t="s">
        <v>276</v>
      </c>
      <c r="L86" s="272">
        <v>4023</v>
      </c>
      <c r="M86" s="271">
        <v>2027</v>
      </c>
    </row>
    <row r="87" spans="1:20" s="246" customFormat="1" ht="12.75" x14ac:dyDescent="0.2">
      <c r="A87" s="305"/>
      <c r="B87" s="234"/>
      <c r="C87" s="279"/>
      <c r="D87" s="268" t="s">
        <v>181</v>
      </c>
      <c r="E87" s="291"/>
      <c r="F87" s="291"/>
      <c r="G87" s="269">
        <f t="shared" si="4"/>
        <v>0</v>
      </c>
      <c r="H87" s="180">
        <f t="shared" si="5"/>
        <v>0</v>
      </c>
      <c r="J87" s="271" t="s">
        <v>35</v>
      </c>
      <c r="K87" s="272" t="s">
        <v>276</v>
      </c>
      <c r="L87" s="272">
        <v>4023</v>
      </c>
      <c r="M87" s="271">
        <v>2027</v>
      </c>
    </row>
    <row r="88" spans="1:20" s="1" customFormat="1" x14ac:dyDescent="0.25">
      <c r="A88" s="306"/>
      <c r="B88" s="231" t="s">
        <v>48</v>
      </c>
      <c r="C88" s="105"/>
      <c r="D88" s="106"/>
      <c r="E88" s="107">
        <f>SUM(E78:E87)</f>
        <v>0</v>
      </c>
      <c r="F88" s="107">
        <f>SUM(F78:F87)</f>
        <v>366.8</v>
      </c>
      <c r="G88" s="107">
        <f>SUM(G78:G87)</f>
        <v>366.8</v>
      </c>
      <c r="H88" s="108">
        <f>SUM(H78:H87)</f>
        <v>0</v>
      </c>
      <c r="J88" s="151"/>
      <c r="K88" s="151"/>
      <c r="L88" s="151"/>
      <c r="M88" s="151"/>
    </row>
    <row r="89" spans="1:20" ht="16.5" customHeight="1" x14ac:dyDescent="0.25">
      <c r="A89" s="307" t="s">
        <v>85</v>
      </c>
      <c r="B89" s="232" t="s">
        <v>36</v>
      </c>
      <c r="C89" s="19"/>
      <c r="D89" s="11"/>
      <c r="E89" s="98"/>
      <c r="F89" s="98"/>
      <c r="G89" s="98"/>
      <c r="H89" s="97"/>
      <c r="J89" s="151"/>
      <c r="K89" s="152"/>
      <c r="L89" s="152"/>
      <c r="M89" s="152"/>
    </row>
    <row r="90" spans="1:20" s="246" customFormat="1" ht="12.75" x14ac:dyDescent="0.2">
      <c r="A90" s="308"/>
      <c r="B90" s="234" t="s">
        <v>214</v>
      </c>
      <c r="C90" s="160"/>
      <c r="D90" s="268"/>
      <c r="E90" s="269"/>
      <c r="F90" s="269"/>
      <c r="G90" s="270">
        <f>SUMIFS('Frais de transport'!G:G,'Frais de transport'!A:A,C2)</f>
        <v>6058.8</v>
      </c>
      <c r="H90" s="180"/>
      <c r="J90" s="271" t="s">
        <v>37</v>
      </c>
      <c r="K90" s="272" t="s">
        <v>277</v>
      </c>
      <c r="L90" s="272">
        <v>4010</v>
      </c>
      <c r="M90" s="272">
        <v>2027</v>
      </c>
      <c r="O90" s="273" t="s">
        <v>242</v>
      </c>
      <c r="P90" s="274"/>
      <c r="Q90" s="274"/>
      <c r="R90" s="274"/>
      <c r="S90" s="274"/>
      <c r="T90" s="274"/>
    </row>
    <row r="91" spans="1:20" s="246" customFormat="1" ht="12.75" x14ac:dyDescent="0.2">
      <c r="A91" s="308"/>
      <c r="B91" s="234" t="s">
        <v>215</v>
      </c>
      <c r="C91" s="160"/>
      <c r="D91" s="268">
        <v>12</v>
      </c>
      <c r="E91" s="269"/>
      <c r="F91" s="269"/>
      <c r="G91" s="269">
        <f>IF(D91*10&gt;200,200,D91*10)</f>
        <v>120</v>
      </c>
      <c r="H91" s="180"/>
      <c r="J91" s="271" t="s">
        <v>37</v>
      </c>
      <c r="K91" s="272" t="s">
        <v>277</v>
      </c>
      <c r="L91" s="272">
        <v>4010</v>
      </c>
      <c r="M91" s="272">
        <v>2027</v>
      </c>
    </row>
    <row r="92" spans="1:20" s="246" customFormat="1" ht="12.75" x14ac:dyDescent="0.2">
      <c r="A92" s="308"/>
      <c r="B92" s="276"/>
      <c r="C92" s="160"/>
      <c r="D92" s="268"/>
      <c r="E92" s="269"/>
      <c r="F92" s="269"/>
      <c r="G92" s="269">
        <f>E92+F92</f>
        <v>0</v>
      </c>
      <c r="H92" s="180"/>
      <c r="J92" s="271" t="s">
        <v>37</v>
      </c>
      <c r="K92" s="272" t="s">
        <v>277</v>
      </c>
      <c r="L92" s="272">
        <v>4010</v>
      </c>
      <c r="M92" s="272">
        <v>2027</v>
      </c>
    </row>
    <row r="93" spans="1:20" s="246" customFormat="1" ht="12.75" x14ac:dyDescent="0.2">
      <c r="A93" s="308"/>
      <c r="B93" s="276" t="s">
        <v>246</v>
      </c>
      <c r="C93" s="160"/>
      <c r="D93" s="268"/>
      <c r="E93" s="269"/>
      <c r="F93" s="269">
        <v>282</v>
      </c>
      <c r="G93" s="269">
        <f t="shared" ref="G93:G94" si="6">E93+F93</f>
        <v>282</v>
      </c>
      <c r="H93" s="180"/>
      <c r="J93" s="271" t="s">
        <v>37</v>
      </c>
      <c r="K93" s="272" t="s">
        <v>277</v>
      </c>
      <c r="L93" s="272">
        <v>4010</v>
      </c>
      <c r="M93" s="272">
        <v>2027</v>
      </c>
    </row>
    <row r="94" spans="1:20" s="246" customFormat="1" ht="12.75" x14ac:dyDescent="0.2">
      <c r="A94" s="308"/>
      <c r="B94" s="276"/>
      <c r="C94" s="275"/>
      <c r="D94" s="268"/>
      <c r="E94" s="269"/>
      <c r="F94" s="269"/>
      <c r="G94" s="269">
        <f t="shared" si="6"/>
        <v>0</v>
      </c>
      <c r="H94" s="180"/>
      <c r="J94" s="271"/>
      <c r="K94" s="272"/>
      <c r="L94" s="272">
        <v>4010</v>
      </c>
      <c r="M94" s="272">
        <v>2027</v>
      </c>
    </row>
    <row r="95" spans="1:20" s="246" customFormat="1" ht="12.75" x14ac:dyDescent="0.2">
      <c r="A95" s="308"/>
      <c r="B95" s="276"/>
      <c r="C95" s="160"/>
      <c r="D95" s="268"/>
      <c r="E95" s="269"/>
      <c r="F95" s="269"/>
      <c r="G95" s="269">
        <f>E95+F95</f>
        <v>0</v>
      </c>
      <c r="H95" s="180"/>
      <c r="J95" s="271"/>
      <c r="K95" s="272"/>
      <c r="L95" s="272">
        <v>4010</v>
      </c>
      <c r="M95" s="272">
        <v>2027</v>
      </c>
    </row>
    <row r="96" spans="1:20" s="1" customFormat="1" x14ac:dyDescent="0.25">
      <c r="A96" s="309"/>
      <c r="B96" s="231" t="s">
        <v>141</v>
      </c>
      <c r="C96" s="105"/>
      <c r="D96" s="106"/>
      <c r="E96" s="107">
        <f t="shared" ref="E96:F96" si="7">SUM(E90:E95)</f>
        <v>0</v>
      </c>
      <c r="F96" s="107">
        <f t="shared" si="7"/>
        <v>282</v>
      </c>
      <c r="G96" s="107">
        <f>SUM(G90:G95)</f>
        <v>6460.8</v>
      </c>
      <c r="H96" s="107">
        <f>SUM(H90:H95)</f>
        <v>0</v>
      </c>
      <c r="J96" s="151" t="s">
        <v>37</v>
      </c>
      <c r="K96" s="151" t="s">
        <v>277</v>
      </c>
      <c r="L96" s="151"/>
      <c r="M96" s="151"/>
    </row>
    <row r="97" spans="1:19" s="1" customFormat="1" ht="6.75" customHeight="1" x14ac:dyDescent="0.25">
      <c r="A97" s="310"/>
      <c r="B97" s="235"/>
      <c r="C97" s="139"/>
      <c r="D97" s="139"/>
      <c r="E97" s="140"/>
      <c r="F97" s="141"/>
      <c r="G97" s="141"/>
      <c r="H97" s="149"/>
      <c r="I97" s="18"/>
    </row>
    <row r="98" spans="1:19" x14ac:dyDescent="0.25">
      <c r="A98" s="311"/>
      <c r="B98" s="236" t="s">
        <v>22</v>
      </c>
      <c r="C98" s="142"/>
      <c r="D98" s="144"/>
      <c r="E98" s="146">
        <f>E28</f>
        <v>407</v>
      </c>
      <c r="F98" s="146">
        <f>F28</f>
        <v>34</v>
      </c>
      <c r="G98" s="146">
        <f>G28</f>
        <v>-159</v>
      </c>
      <c r="H98" s="146">
        <f>H28</f>
        <v>0</v>
      </c>
      <c r="I98" s="8"/>
      <c r="J98"/>
      <c r="K98"/>
      <c r="L98"/>
      <c r="M98"/>
    </row>
    <row r="99" spans="1:19" x14ac:dyDescent="0.25">
      <c r="A99" s="312"/>
      <c r="B99" s="237" t="s">
        <v>240</v>
      </c>
      <c r="C99" s="137"/>
      <c r="D99" s="145"/>
      <c r="E99" s="147">
        <f ca="1">E33+E72+E76+E88+E96</f>
        <v>81.5</v>
      </c>
      <c r="F99" s="147">
        <f ca="1">F33+F72+F76+F88+F96</f>
        <v>4530.8</v>
      </c>
      <c r="G99" s="147">
        <f ca="1">G33+G72+G76+G88+G96</f>
        <v>9959.6</v>
      </c>
      <c r="H99" s="147">
        <f ca="1">H33+H72+H76+H88+H96</f>
        <v>-55</v>
      </c>
      <c r="J99"/>
      <c r="K99"/>
      <c r="L99"/>
      <c r="M99"/>
      <c r="N99" s="27"/>
      <c r="O99" s="27"/>
    </row>
    <row r="100" spans="1:19" x14ac:dyDescent="0.25">
      <c r="A100" s="313"/>
      <c r="B100" s="237"/>
      <c r="C100" s="137"/>
      <c r="D100" s="145"/>
      <c r="E100" s="147"/>
      <c r="F100" s="147"/>
      <c r="G100" s="147"/>
      <c r="H100" s="138"/>
    </row>
    <row r="101" spans="1:19" ht="15.75" thickBot="1" x14ac:dyDescent="0.3">
      <c r="A101" s="312"/>
      <c r="B101" s="238" t="s">
        <v>183</v>
      </c>
      <c r="C101" s="105"/>
      <c r="D101" s="106"/>
      <c r="E101" s="148">
        <f ca="1">E98-E99</f>
        <v>325.5</v>
      </c>
      <c r="F101" s="148">
        <f t="shared" ref="F101:H101" ca="1" si="8">F98-F99</f>
        <v>-4496.8</v>
      </c>
      <c r="G101" s="148">
        <f t="shared" ca="1" si="8"/>
        <v>-10118.6</v>
      </c>
      <c r="H101" s="143">
        <f t="shared" ca="1" si="8"/>
        <v>55</v>
      </c>
      <c r="J101"/>
      <c r="K101"/>
      <c r="L101"/>
      <c r="M101"/>
      <c r="N101" s="27"/>
      <c r="O101" s="27"/>
    </row>
    <row r="102" spans="1:19" s="40" customFormat="1" ht="18" customHeight="1" thickTop="1" x14ac:dyDescent="0.25">
      <c r="A102" s="314"/>
      <c r="B102" s="233"/>
      <c r="C102" s="102"/>
      <c r="D102" s="102"/>
      <c r="E102" s="86"/>
      <c r="F102" s="86"/>
      <c r="G102" s="86"/>
      <c r="H102" s="103"/>
      <c r="J102" s="155"/>
      <c r="K102" s="155"/>
      <c r="L102" s="155"/>
      <c r="M102" s="155"/>
      <c r="N102" s="80"/>
    </row>
    <row r="103" spans="1:19" s="181" customFormat="1" ht="12.75" x14ac:dyDescent="0.2">
      <c r="A103" s="314"/>
      <c r="B103" s="234" t="s">
        <v>259</v>
      </c>
      <c r="C103" s="160"/>
      <c r="D103" s="160"/>
      <c r="E103" s="179"/>
      <c r="F103" s="179"/>
      <c r="G103" s="179">
        <f ca="1">G101-F101</f>
        <v>-5621.8</v>
      </c>
      <c r="H103" s="180"/>
      <c r="J103" s="265"/>
      <c r="K103" s="265"/>
      <c r="L103" s="265"/>
      <c r="M103" s="265"/>
      <c r="N103" s="219"/>
    </row>
    <row r="104" spans="1:19" s="181" customFormat="1" ht="12.75" x14ac:dyDescent="0.2">
      <c r="A104" s="314"/>
      <c r="B104" s="234" t="s">
        <v>184</v>
      </c>
      <c r="C104" s="160"/>
      <c r="D104" s="160"/>
      <c r="E104" s="179"/>
      <c r="F104" s="179"/>
      <c r="G104" s="179"/>
      <c r="H104" s="180"/>
      <c r="J104" s="265"/>
      <c r="K104" s="265"/>
      <c r="L104" s="265"/>
      <c r="M104" s="265"/>
    </row>
    <row r="105" spans="1:19" s="181" customFormat="1" ht="12.75" x14ac:dyDescent="0.2">
      <c r="A105" s="314"/>
      <c r="B105" s="234" t="s">
        <v>185</v>
      </c>
      <c r="C105" s="160"/>
      <c r="D105" s="160"/>
      <c r="E105" s="179"/>
      <c r="F105" s="179"/>
      <c r="G105" s="179">
        <v>612</v>
      </c>
      <c r="H105" s="180"/>
      <c r="J105" s="266" t="s">
        <v>241</v>
      </c>
      <c r="K105" s="266"/>
      <c r="L105" s="266"/>
      <c r="M105" s="266"/>
      <c r="N105" s="266"/>
      <c r="O105" s="266"/>
      <c r="P105" s="266"/>
      <c r="Q105" s="265"/>
      <c r="R105" s="265"/>
      <c r="S105" s="265"/>
    </row>
    <row r="106" spans="1:19" s="181" customFormat="1" ht="12.75" x14ac:dyDescent="0.2">
      <c r="A106" s="314"/>
      <c r="B106" s="234" t="s">
        <v>243</v>
      </c>
      <c r="C106" s="160"/>
      <c r="D106" s="160"/>
      <c r="E106" s="179"/>
      <c r="F106" s="267"/>
      <c r="G106" s="179">
        <v>401</v>
      </c>
      <c r="H106" s="180"/>
      <c r="J106" s="265"/>
      <c r="K106" s="265"/>
      <c r="L106" s="265"/>
      <c r="M106" s="265"/>
      <c r="N106" s="265"/>
      <c r="O106" s="265"/>
      <c r="P106" s="265"/>
      <c r="Q106" s="265"/>
      <c r="R106" s="265"/>
      <c r="S106" s="265"/>
    </row>
    <row r="107" spans="1:19" s="181" customFormat="1" ht="12.75" x14ac:dyDescent="0.2">
      <c r="A107" s="314"/>
      <c r="B107" s="234" t="s">
        <v>249</v>
      </c>
      <c r="C107" s="160"/>
      <c r="D107" s="160"/>
      <c r="E107" s="179"/>
      <c r="F107" s="179"/>
      <c r="G107" s="179">
        <f ca="1">G108+G105-G106</f>
        <v>5832.8</v>
      </c>
      <c r="H107" s="180">
        <f ca="1">G107</f>
        <v>5832.8</v>
      </c>
      <c r="J107" s="265"/>
      <c r="K107" s="265"/>
      <c r="L107" s="265"/>
      <c r="M107" s="265"/>
    </row>
    <row r="108" spans="1:19" s="155" customFormat="1" ht="15.75" thickBot="1" x14ac:dyDescent="0.3">
      <c r="A108" s="314"/>
      <c r="B108" s="239" t="s">
        <v>229</v>
      </c>
      <c r="C108" s="139"/>
      <c r="D108" s="139"/>
      <c r="E108" s="140"/>
      <c r="F108" s="140"/>
      <c r="G108" s="216">
        <f ca="1">-G103</f>
        <v>5621.8</v>
      </c>
      <c r="H108" s="156">
        <f ca="1">SUM(H101:H107)</f>
        <v>5887.8</v>
      </c>
    </row>
    <row r="109" spans="1:19" s="40" customFormat="1" ht="16.5" customHeight="1" thickTop="1" x14ac:dyDescent="0.25">
      <c r="A109" s="314"/>
      <c r="B109" s="233"/>
      <c r="C109" s="102"/>
      <c r="D109" s="102"/>
      <c r="E109" s="86"/>
      <c r="F109" s="86"/>
      <c r="G109" s="86"/>
      <c r="H109" s="136"/>
      <c r="J109" s="155"/>
      <c r="K109" s="155"/>
      <c r="L109" s="155"/>
      <c r="M109" s="155"/>
    </row>
    <row r="110" spans="1:19" s="40" customFormat="1" x14ac:dyDescent="0.25">
      <c r="A110" s="314"/>
      <c r="B110" s="239" t="s">
        <v>186</v>
      </c>
      <c r="C110" s="102"/>
      <c r="D110" s="102"/>
      <c r="E110" s="86"/>
      <c r="F110" s="86"/>
      <c r="G110" s="86"/>
      <c r="H110" s="103"/>
      <c r="J110" s="155"/>
      <c r="K110" s="155"/>
      <c r="L110" s="155"/>
      <c r="M110" s="155"/>
      <c r="N110" s="80"/>
    </row>
    <row r="111" spans="1:19" s="181" customFormat="1" ht="12.75" x14ac:dyDescent="0.2">
      <c r="A111" s="315"/>
      <c r="B111" s="234" t="s">
        <v>8</v>
      </c>
      <c r="C111" s="160"/>
      <c r="D111" s="160"/>
      <c r="E111" s="179"/>
      <c r="F111" s="179" t="s">
        <v>174</v>
      </c>
      <c r="G111" s="179"/>
      <c r="H111" s="180">
        <f>'Les normes-données de base'!B6</f>
        <v>-402.85</v>
      </c>
    </row>
    <row r="112" spans="1:19" s="181" customFormat="1" ht="12.75" x14ac:dyDescent="0.2">
      <c r="A112" s="315"/>
      <c r="B112" s="234" t="s">
        <v>8</v>
      </c>
      <c r="C112" s="160"/>
      <c r="D112" s="160"/>
      <c r="E112" s="179"/>
      <c r="F112" s="179" t="str">
        <f>C2</f>
        <v>janvier</v>
      </c>
      <c r="G112" s="179"/>
      <c r="H112" s="180">
        <f ca="1">H111+G101</f>
        <v>-10521.45</v>
      </c>
      <c r="N112" s="219"/>
      <c r="O112" s="219"/>
    </row>
    <row r="113" spans="1:14" s="181" customFormat="1" ht="5.25" customHeight="1" x14ac:dyDescent="0.2">
      <c r="A113" s="315"/>
      <c r="B113" s="234"/>
      <c r="C113" s="160"/>
      <c r="D113" s="160"/>
      <c r="E113" s="179"/>
      <c r="F113" s="179"/>
      <c r="G113" s="179"/>
      <c r="H113" s="180"/>
    </row>
    <row r="114" spans="1:14" s="181" customFormat="1" ht="12.75" x14ac:dyDescent="0.2">
      <c r="A114" s="315"/>
      <c r="B114" s="234" t="s">
        <v>9</v>
      </c>
      <c r="C114" s="160"/>
      <c r="D114" s="160"/>
      <c r="E114" s="179"/>
      <c r="F114" s="179" t="s">
        <v>174</v>
      </c>
      <c r="G114" s="179"/>
      <c r="H114" s="180">
        <f>'Les normes-données de base'!B7</f>
        <v>-11213.4</v>
      </c>
      <c r="N114" s="219"/>
    </row>
    <row r="115" spans="1:14" s="181" customFormat="1" ht="12.75" x14ac:dyDescent="0.2">
      <c r="A115" s="315"/>
      <c r="B115" s="234" t="s">
        <v>9</v>
      </c>
      <c r="C115" s="160"/>
      <c r="D115" s="160"/>
      <c r="E115" s="179"/>
      <c r="F115" s="179" t="str">
        <f>C2</f>
        <v>janvier</v>
      </c>
      <c r="G115" s="179"/>
      <c r="H115" s="180">
        <f ca="1">H114+H108</f>
        <v>-5325.5999999999995</v>
      </c>
    </row>
    <row r="116" spans="1:14" s="40" customFormat="1" ht="5.25" customHeight="1" x14ac:dyDescent="0.25">
      <c r="A116" s="315"/>
      <c r="B116" s="233"/>
      <c r="C116" s="102"/>
      <c r="D116" s="102"/>
      <c r="E116" s="86"/>
      <c r="F116" s="86"/>
      <c r="G116" s="86"/>
      <c r="H116" s="103">
        <f t="shared" ref="H116" si="9">SUM(F116:G116)</f>
        <v>0</v>
      </c>
    </row>
    <row r="117" spans="1:14" s="155" customFormat="1" ht="15.75" thickBot="1" x14ac:dyDescent="0.3">
      <c r="A117" s="314"/>
      <c r="B117" s="239" t="s">
        <v>187</v>
      </c>
      <c r="C117" s="140" t="str">
        <f>F115</f>
        <v>janvier</v>
      </c>
      <c r="D117" s="160" t="s">
        <v>188</v>
      </c>
      <c r="E117" s="140"/>
      <c r="F117" s="140"/>
      <c r="G117" s="140"/>
      <c r="H117" s="156">
        <f ca="1">H112+H115</f>
        <v>-15847.05</v>
      </c>
      <c r="N117" s="218"/>
    </row>
    <row r="118" spans="1:14" s="40" customFormat="1" ht="15.75" thickTop="1" x14ac:dyDescent="0.25">
      <c r="A118" s="316"/>
      <c r="B118" s="240"/>
      <c r="C118" s="157"/>
      <c r="D118" s="157"/>
      <c r="E118" s="158"/>
      <c r="F118" s="158"/>
      <c r="G118" s="158"/>
      <c r="H118" s="159"/>
      <c r="I118" s="135"/>
      <c r="J118" s="102"/>
    </row>
    <row r="119" spans="1:14" ht="21" x14ac:dyDescent="0.25">
      <c r="A119" s="296"/>
      <c r="B119" s="324" t="s">
        <v>27</v>
      </c>
      <c r="C119" s="324"/>
      <c r="D119" s="324"/>
      <c r="E119" s="324"/>
      <c r="F119" s="324"/>
      <c r="G119" s="324"/>
      <c r="H119" s="324"/>
      <c r="I119" s="8"/>
      <c r="J119"/>
      <c r="K119"/>
      <c r="L119"/>
      <c r="M119"/>
    </row>
    <row r="120" spans="1:14" ht="21" x14ac:dyDescent="0.25">
      <c r="B120" s="324" t="str">
        <f>C2</f>
        <v>janvier</v>
      </c>
      <c r="C120" s="325"/>
      <c r="D120" s="325"/>
      <c r="E120" s="324">
        <f>E2</f>
        <v>2015</v>
      </c>
      <c r="F120" s="325"/>
      <c r="G120" s="325"/>
      <c r="H120" s="325"/>
    </row>
    <row r="121" spans="1:14" s="1" customFormat="1" x14ac:dyDescent="0.25">
      <c r="A121" s="317"/>
      <c r="B121" s="241" t="s">
        <v>64</v>
      </c>
      <c r="C121" s="1" t="s">
        <v>65</v>
      </c>
      <c r="D121" s="1" t="s">
        <v>28</v>
      </c>
      <c r="E121" s="1" t="s">
        <v>66</v>
      </c>
      <c r="F121" s="1" t="s">
        <v>49</v>
      </c>
      <c r="G121" s="1" t="s">
        <v>49</v>
      </c>
      <c r="H121" s="1" t="s">
        <v>224</v>
      </c>
    </row>
    <row r="122" spans="1:14" s="1" customFormat="1" x14ac:dyDescent="0.25">
      <c r="A122" s="317"/>
      <c r="B122" s="243">
        <f ca="1">TODAY()</f>
        <v>41987</v>
      </c>
      <c r="C122" s="181" t="str">
        <f>B13</f>
        <v>Revenu de M.</v>
      </c>
      <c r="D122" s="244" t="str">
        <f>J13</f>
        <v>A</v>
      </c>
      <c r="E122" s="244" t="str">
        <f>K13</f>
        <v>SAL</v>
      </c>
      <c r="F122" s="244">
        <f>L13</f>
        <v>2027</v>
      </c>
      <c r="G122" s="244"/>
      <c r="H122" s="219">
        <f>F13</f>
        <v>0</v>
      </c>
      <c r="I122" s="245"/>
      <c r="N122" s="220"/>
    </row>
    <row r="123" spans="1:14" s="1" customFormat="1" x14ac:dyDescent="0.25">
      <c r="A123" s="317"/>
      <c r="B123" s="243">
        <f t="shared" ref="B123:B134" ca="1" si="10">TODAY()</f>
        <v>41987</v>
      </c>
      <c r="C123" s="181" t="str">
        <f t="shared" ref="C123:C134" si="11">B14</f>
        <v>Revenu de Mme</v>
      </c>
      <c r="D123" s="244" t="str">
        <f t="shared" ref="D123:D134" si="12">J14</f>
        <v>A</v>
      </c>
      <c r="E123" s="244" t="str">
        <f t="shared" ref="E123:E134" si="13">K14</f>
        <v>SAL</v>
      </c>
      <c r="F123" s="244">
        <f t="shared" ref="F123:F134" si="14">L14</f>
        <v>2027</v>
      </c>
      <c r="G123" s="244"/>
      <c r="H123" s="219">
        <f t="shared" ref="H123:H134" si="15">-F14</f>
        <v>-34</v>
      </c>
      <c r="I123" s="245"/>
    </row>
    <row r="124" spans="1:14" s="1" customFormat="1" x14ac:dyDescent="0.25">
      <c r="A124" s="317"/>
      <c r="B124" s="243">
        <f t="shared" ca="1" si="10"/>
        <v>41987</v>
      </c>
      <c r="C124" s="181" t="str">
        <f t="shared" si="11"/>
        <v>Renevu autre membre de la famille</v>
      </c>
      <c r="D124" s="244" t="str">
        <f t="shared" si="12"/>
        <v>A</v>
      </c>
      <c r="E124" s="244" t="str">
        <f t="shared" si="13"/>
        <v>SAL</v>
      </c>
      <c r="F124" s="244">
        <f t="shared" si="14"/>
        <v>2027</v>
      </c>
      <c r="G124" s="244"/>
      <c r="H124" s="219">
        <f t="shared" si="15"/>
        <v>0</v>
      </c>
      <c r="I124" s="245"/>
    </row>
    <row r="125" spans="1:14" s="1" customFormat="1" x14ac:dyDescent="0.25">
      <c r="A125" s="317"/>
      <c r="B125" s="243">
        <f t="shared" ca="1" si="10"/>
        <v>41987</v>
      </c>
      <c r="C125" s="181" t="str">
        <f t="shared" si="11"/>
        <v>Rente AI</v>
      </c>
      <c r="D125" s="244" t="str">
        <f t="shared" si="12"/>
        <v>A</v>
      </c>
      <c r="E125" s="244" t="str">
        <f t="shared" si="13"/>
        <v>AI</v>
      </c>
      <c r="F125" s="244">
        <f t="shared" si="14"/>
        <v>2027</v>
      </c>
      <c r="G125" s="244"/>
      <c r="H125" s="219">
        <f t="shared" si="15"/>
        <v>0</v>
      </c>
      <c r="I125" s="245"/>
    </row>
    <row r="126" spans="1:14" s="1" customFormat="1" x14ac:dyDescent="0.25">
      <c r="A126" s="317"/>
      <c r="B126" s="243">
        <f t="shared" ca="1" si="10"/>
        <v>41987</v>
      </c>
      <c r="C126" s="181" t="str">
        <f t="shared" si="11"/>
        <v>Prestations complémentaires</v>
      </c>
      <c r="D126" s="244" t="str">
        <f t="shared" si="12"/>
        <v>A</v>
      </c>
      <c r="E126" s="244" t="str">
        <f t="shared" si="13"/>
        <v>PC</v>
      </c>
      <c r="F126" s="244">
        <f t="shared" si="14"/>
        <v>2027</v>
      </c>
      <c r="G126" s="244"/>
      <c r="H126" s="219">
        <f t="shared" si="15"/>
        <v>0</v>
      </c>
      <c r="I126" s="245"/>
    </row>
    <row r="127" spans="1:14" s="1" customFormat="1" x14ac:dyDescent="0.25">
      <c r="A127" s="317"/>
      <c r="B127" s="243">
        <f t="shared" ca="1" si="10"/>
        <v>41987</v>
      </c>
      <c r="C127" s="181" t="str">
        <f t="shared" si="11"/>
        <v>Rente AVS</v>
      </c>
      <c r="D127" s="244" t="str">
        <f t="shared" si="12"/>
        <v>A</v>
      </c>
      <c r="E127" s="244" t="str">
        <f t="shared" si="13"/>
        <v>AVS</v>
      </c>
      <c r="F127" s="244">
        <f t="shared" si="14"/>
        <v>2027</v>
      </c>
      <c r="G127" s="244"/>
      <c r="H127" s="219">
        <f t="shared" si="15"/>
        <v>0</v>
      </c>
      <c r="I127" s="245"/>
    </row>
    <row r="128" spans="1:14" s="1" customFormat="1" x14ac:dyDescent="0.25">
      <c r="A128" s="317"/>
      <c r="B128" s="243">
        <f t="shared" ca="1" si="10"/>
        <v>41987</v>
      </c>
      <c r="C128" s="181" t="str">
        <f t="shared" si="11"/>
        <v>Indemnité chômage</v>
      </c>
      <c r="D128" s="244" t="str">
        <f t="shared" si="12"/>
        <v>A</v>
      </c>
      <c r="E128" s="244" t="str">
        <f t="shared" si="13"/>
        <v>IC</v>
      </c>
      <c r="F128" s="244">
        <f t="shared" si="14"/>
        <v>2027</v>
      </c>
      <c r="G128" s="244"/>
      <c r="H128" s="219">
        <f t="shared" si="15"/>
        <v>0</v>
      </c>
      <c r="I128" s="245"/>
    </row>
    <row r="129" spans="1:9" s="1" customFormat="1" x14ac:dyDescent="0.25">
      <c r="A129" s="317"/>
      <c r="B129" s="243">
        <f t="shared" ca="1" si="10"/>
        <v>41987</v>
      </c>
      <c r="C129" s="181" t="str">
        <f t="shared" si="11"/>
        <v>Indemnité journalière mal/acc</v>
      </c>
      <c r="D129" s="244" t="str">
        <f t="shared" si="12"/>
        <v>A</v>
      </c>
      <c r="E129" s="244" t="str">
        <f t="shared" si="13"/>
        <v>IJ</v>
      </c>
      <c r="F129" s="244">
        <f t="shared" si="14"/>
        <v>2027</v>
      </c>
      <c r="G129" s="244"/>
      <c r="H129" s="219">
        <f t="shared" si="15"/>
        <v>0</v>
      </c>
      <c r="I129" s="245"/>
    </row>
    <row r="130" spans="1:9" s="1" customFormat="1" x14ac:dyDescent="0.25">
      <c r="A130" s="317"/>
      <c r="B130" s="243">
        <f t="shared" ca="1" si="10"/>
        <v>41987</v>
      </c>
      <c r="C130" s="181" t="str">
        <f t="shared" si="11"/>
        <v>Allocations familiales</v>
      </c>
      <c r="D130" s="244" t="str">
        <f t="shared" si="12"/>
        <v>A</v>
      </c>
      <c r="E130" s="244" t="str">
        <f t="shared" si="13"/>
        <v>AF</v>
      </c>
      <c r="F130" s="244">
        <f t="shared" si="14"/>
        <v>2027</v>
      </c>
      <c r="G130" s="244"/>
      <c r="H130" s="219">
        <f t="shared" si="15"/>
        <v>0</v>
      </c>
      <c r="I130" s="245"/>
    </row>
    <row r="131" spans="1:9" s="1" customFormat="1" x14ac:dyDescent="0.25">
      <c r="A131" s="317"/>
      <c r="B131" s="243">
        <f t="shared" ca="1" si="10"/>
        <v>41987</v>
      </c>
      <c r="C131" s="181" t="str">
        <f t="shared" si="11"/>
        <v>Treizième salaire de M.</v>
      </c>
      <c r="D131" s="244" t="str">
        <f t="shared" si="12"/>
        <v>A</v>
      </c>
      <c r="E131" s="244" t="str">
        <f t="shared" si="13"/>
        <v>SAL</v>
      </c>
      <c r="F131" s="244">
        <f t="shared" si="14"/>
        <v>2027</v>
      </c>
      <c r="G131" s="244"/>
      <c r="H131" s="219">
        <f t="shared" si="15"/>
        <v>0</v>
      </c>
      <c r="I131" s="245"/>
    </row>
    <row r="132" spans="1:9" s="1" customFormat="1" x14ac:dyDescent="0.25">
      <c r="A132" s="317"/>
      <c r="B132" s="243">
        <f t="shared" ca="1" si="10"/>
        <v>41987</v>
      </c>
      <c r="C132" s="181" t="str">
        <f t="shared" si="11"/>
        <v>Treizième salaire de Mme</v>
      </c>
      <c r="D132" s="244" t="str">
        <f t="shared" si="12"/>
        <v>A</v>
      </c>
      <c r="E132" s="244" t="str">
        <f t="shared" si="13"/>
        <v>SAL</v>
      </c>
      <c r="F132" s="244">
        <f t="shared" si="14"/>
        <v>2027</v>
      </c>
      <c r="G132" s="244"/>
      <c r="H132" s="219">
        <f t="shared" si="15"/>
        <v>0</v>
      </c>
      <c r="I132" s="245"/>
    </row>
    <row r="133" spans="1:9" s="1" customFormat="1" x14ac:dyDescent="0.25">
      <c r="A133" s="317"/>
      <c r="B133" s="243">
        <f t="shared" ca="1" si="10"/>
        <v>41987</v>
      </c>
      <c r="C133" s="181" t="str">
        <f t="shared" si="11"/>
        <v>Bourse (étude ou autres)</v>
      </c>
      <c r="D133" s="244" t="str">
        <f t="shared" si="12"/>
        <v>A</v>
      </c>
      <c r="E133" s="244" t="str">
        <f t="shared" si="13"/>
        <v>BOU</v>
      </c>
      <c r="F133" s="244">
        <f t="shared" si="14"/>
        <v>2027</v>
      </c>
      <c r="G133" s="244"/>
      <c r="H133" s="219">
        <f t="shared" si="15"/>
        <v>0</v>
      </c>
      <c r="I133" s="245"/>
    </row>
    <row r="134" spans="1:9" s="1" customFormat="1" x14ac:dyDescent="0.25">
      <c r="A134" s="317"/>
      <c r="B134" s="243">
        <f t="shared" ca="1" si="10"/>
        <v>41987</v>
      </c>
      <c r="C134" s="181" t="str">
        <f t="shared" si="11"/>
        <v>Autres</v>
      </c>
      <c r="D134" s="244" t="str">
        <f t="shared" si="12"/>
        <v>A</v>
      </c>
      <c r="E134" s="244" t="str">
        <f t="shared" si="13"/>
        <v>DIV</v>
      </c>
      <c r="F134" s="244">
        <f t="shared" si="14"/>
        <v>2027</v>
      </c>
      <c r="G134" s="244"/>
      <c r="H134" s="219">
        <f t="shared" si="15"/>
        <v>0</v>
      </c>
      <c r="I134" s="245"/>
    </row>
    <row r="135" spans="1:9" s="1" customFormat="1" x14ac:dyDescent="0.25">
      <c r="A135" s="317"/>
      <c r="B135" s="243">
        <f ca="1">TODAY()</f>
        <v>41987</v>
      </c>
      <c r="C135" s="246" t="str">
        <f ca="1">B51</f>
        <v>Assurance ménage</v>
      </c>
      <c r="D135" s="244" t="str">
        <f>J51</f>
        <v>E</v>
      </c>
      <c r="E135" s="244" t="str">
        <f>K51</f>
        <v>ENT</v>
      </c>
      <c r="F135" s="244" t="str">
        <f>L51</f>
        <v>SCC</v>
      </c>
      <c r="G135" s="244" t="str">
        <f>M51</f>
        <v>SG</v>
      </c>
      <c r="H135" s="247">
        <f t="shared" ref="H135:H148" ca="1" si="16">-H51</f>
        <v>12</v>
      </c>
      <c r="I135" s="245" t="s">
        <v>261</v>
      </c>
    </row>
    <row r="136" spans="1:9" s="1" customFormat="1" x14ac:dyDescent="0.25">
      <c r="A136" s="317"/>
      <c r="B136" s="243">
        <f t="shared" ref="B136:B160" ca="1" si="17">TODAY()</f>
        <v>41987</v>
      </c>
      <c r="C136" s="246" t="str">
        <f t="shared" ref="C136:C148" ca="1" si="18">B52</f>
        <v/>
      </c>
      <c r="D136" s="244" t="str">
        <f t="shared" ref="D136:D148" si="19">J52</f>
        <v>E</v>
      </c>
      <c r="E136" s="244" t="str">
        <f t="shared" ref="E136:E148" si="20">K52</f>
        <v>ENT</v>
      </c>
      <c r="F136" s="244" t="str">
        <f t="shared" ref="F136:G136" si="21">L52</f>
        <v>SCC</v>
      </c>
      <c r="G136" s="244" t="str">
        <f t="shared" si="21"/>
        <v>SG</v>
      </c>
      <c r="H136" s="247">
        <f t="shared" ca="1" si="16"/>
        <v>0</v>
      </c>
      <c r="I136" s="245" t="s">
        <v>261</v>
      </c>
    </row>
    <row r="137" spans="1:9" s="1" customFormat="1" x14ac:dyDescent="0.25">
      <c r="A137" s="317"/>
      <c r="B137" s="243">
        <f t="shared" ca="1" si="17"/>
        <v>41987</v>
      </c>
      <c r="C137" s="246" t="str">
        <f t="shared" ca="1" si="18"/>
        <v>Impôt véhicule</v>
      </c>
      <c r="D137" s="244" t="str">
        <f t="shared" si="19"/>
        <v>E</v>
      </c>
      <c r="E137" s="244" t="str">
        <f t="shared" si="20"/>
        <v>ENT</v>
      </c>
      <c r="F137" s="244" t="str">
        <f t="shared" ref="F137:G137" si="22">L53</f>
        <v>SCC</v>
      </c>
      <c r="G137" s="244" t="str">
        <f t="shared" si="22"/>
        <v>SG</v>
      </c>
      <c r="H137" s="247">
        <f t="shared" ca="1" si="16"/>
        <v>28</v>
      </c>
      <c r="I137" s="245" t="s">
        <v>261</v>
      </c>
    </row>
    <row r="138" spans="1:9" s="1" customFormat="1" x14ac:dyDescent="0.25">
      <c r="A138" s="317"/>
      <c r="B138" s="243">
        <f t="shared" ca="1" si="17"/>
        <v>41987</v>
      </c>
      <c r="C138" s="246" t="str">
        <f t="shared" ca="1" si="18"/>
        <v/>
      </c>
      <c r="D138" s="244" t="str">
        <f t="shared" si="19"/>
        <v>E</v>
      </c>
      <c r="E138" s="244" t="str">
        <f t="shared" si="20"/>
        <v>ENT</v>
      </c>
      <c r="F138" s="244" t="str">
        <f t="shared" ref="F138:G138" si="23">L54</f>
        <v>SCC</v>
      </c>
      <c r="G138" s="244" t="str">
        <f t="shared" si="23"/>
        <v>SG</v>
      </c>
      <c r="H138" s="247">
        <f t="shared" ca="1" si="16"/>
        <v>0</v>
      </c>
      <c r="I138" s="245" t="s">
        <v>261</v>
      </c>
    </row>
    <row r="139" spans="1:9" s="1" customFormat="1" x14ac:dyDescent="0.25">
      <c r="A139" s="317"/>
      <c r="B139" s="243">
        <f t="shared" ca="1" si="17"/>
        <v>41987</v>
      </c>
      <c r="C139" s="246" t="str">
        <f t="shared" ca="1" si="18"/>
        <v>Billag</v>
      </c>
      <c r="D139" s="244" t="str">
        <f t="shared" si="19"/>
        <v>E</v>
      </c>
      <c r="E139" s="244" t="str">
        <f t="shared" si="20"/>
        <v>ENT</v>
      </c>
      <c r="F139" s="244" t="str">
        <f t="shared" ref="F139:G139" si="24">L55</f>
        <v>SCC</v>
      </c>
      <c r="G139" s="244" t="str">
        <f t="shared" si="24"/>
        <v>SG</v>
      </c>
      <c r="H139" s="247">
        <f t="shared" ca="1" si="16"/>
        <v>15</v>
      </c>
      <c r="I139" s="245" t="s">
        <v>261</v>
      </c>
    </row>
    <row r="140" spans="1:9" s="1" customFormat="1" x14ac:dyDescent="0.25">
      <c r="A140" s="317"/>
      <c r="B140" s="243">
        <f t="shared" ca="1" si="17"/>
        <v>41987</v>
      </c>
      <c r="C140" s="246" t="str">
        <f t="shared" ca="1" si="18"/>
        <v/>
      </c>
      <c r="D140" s="244" t="str">
        <f t="shared" si="19"/>
        <v>E</v>
      </c>
      <c r="E140" s="244" t="str">
        <f t="shared" si="20"/>
        <v>ENT</v>
      </c>
      <c r="F140" s="244" t="str">
        <f t="shared" ref="F140:G140" si="25">L56</f>
        <v>SCC</v>
      </c>
      <c r="G140" s="244" t="str">
        <f t="shared" si="25"/>
        <v>SG</v>
      </c>
      <c r="H140" s="247">
        <f t="shared" ca="1" si="16"/>
        <v>0</v>
      </c>
      <c r="I140" s="245" t="s">
        <v>261</v>
      </c>
    </row>
    <row r="141" spans="1:9" s="1" customFormat="1" x14ac:dyDescent="0.25">
      <c r="A141" s="317"/>
      <c r="B141" s="243">
        <f t="shared" ca="1" si="17"/>
        <v>41987</v>
      </c>
      <c r="C141" s="246" t="str">
        <f t="shared" ca="1" si="18"/>
        <v/>
      </c>
      <c r="D141" s="244" t="str">
        <f t="shared" si="19"/>
        <v>E</v>
      </c>
      <c r="E141" s="244" t="str">
        <f t="shared" si="20"/>
        <v>ENT</v>
      </c>
      <c r="F141" s="244" t="str">
        <f t="shared" ref="F141:G141" si="26">L57</f>
        <v>SCC</v>
      </c>
      <c r="G141" s="244" t="str">
        <f t="shared" si="26"/>
        <v>SG</v>
      </c>
      <c r="H141" s="247">
        <f t="shared" ca="1" si="16"/>
        <v>0</v>
      </c>
      <c r="I141" s="245" t="s">
        <v>261</v>
      </c>
    </row>
    <row r="142" spans="1:9" s="1" customFormat="1" x14ac:dyDescent="0.25">
      <c r="A142" s="317"/>
      <c r="B142" s="243">
        <f t="shared" ca="1" si="17"/>
        <v>41987</v>
      </c>
      <c r="C142" s="246" t="str">
        <f t="shared" ca="1" si="18"/>
        <v/>
      </c>
      <c r="D142" s="244" t="str">
        <f t="shared" si="19"/>
        <v>E</v>
      </c>
      <c r="E142" s="244" t="str">
        <f t="shared" si="20"/>
        <v>ENT</v>
      </c>
      <c r="F142" s="244" t="str">
        <f t="shared" ref="F142:G142" si="27">L58</f>
        <v>SCC</v>
      </c>
      <c r="G142" s="244" t="str">
        <f t="shared" si="27"/>
        <v>SG</v>
      </c>
      <c r="H142" s="247">
        <f t="shared" ca="1" si="16"/>
        <v>0</v>
      </c>
      <c r="I142" s="245" t="s">
        <v>261</v>
      </c>
    </row>
    <row r="143" spans="1:9" s="1" customFormat="1" x14ac:dyDescent="0.25">
      <c r="A143" s="317"/>
      <c r="B143" s="243">
        <f t="shared" ca="1" si="17"/>
        <v>41987</v>
      </c>
      <c r="C143" s="246" t="str">
        <f t="shared" ca="1" si="18"/>
        <v/>
      </c>
      <c r="D143" s="244" t="str">
        <f t="shared" si="19"/>
        <v>E</v>
      </c>
      <c r="E143" s="244" t="str">
        <f t="shared" si="20"/>
        <v>ENT</v>
      </c>
      <c r="F143" s="244" t="str">
        <f t="shared" ref="F143:G143" si="28">L59</f>
        <v>SCC</v>
      </c>
      <c r="G143" s="244" t="str">
        <f t="shared" si="28"/>
        <v>SG</v>
      </c>
      <c r="H143" s="247">
        <f t="shared" ca="1" si="16"/>
        <v>0</v>
      </c>
      <c r="I143" s="245" t="s">
        <v>261</v>
      </c>
    </row>
    <row r="144" spans="1:9" s="1" customFormat="1" x14ac:dyDescent="0.25">
      <c r="A144" s="317"/>
      <c r="B144" s="243">
        <f t="shared" ca="1" si="17"/>
        <v>41987</v>
      </c>
      <c r="C144" s="246" t="str">
        <f t="shared" ca="1" si="18"/>
        <v/>
      </c>
      <c r="D144" s="244" t="str">
        <f t="shared" si="19"/>
        <v>E</v>
      </c>
      <c r="E144" s="244" t="str">
        <f t="shared" si="20"/>
        <v>ENT</v>
      </c>
      <c r="F144" s="244" t="str">
        <f t="shared" ref="F144:G144" si="29">L60</f>
        <v>SCC</v>
      </c>
      <c r="G144" s="244" t="str">
        <f t="shared" si="29"/>
        <v>SG</v>
      </c>
      <c r="H144" s="247">
        <f t="shared" ca="1" si="16"/>
        <v>0</v>
      </c>
      <c r="I144" s="245" t="s">
        <v>261</v>
      </c>
    </row>
    <row r="145" spans="1:9" s="1" customFormat="1" x14ac:dyDescent="0.25">
      <c r="A145" s="317"/>
      <c r="B145" s="243">
        <f t="shared" ca="1" si="17"/>
        <v>41987</v>
      </c>
      <c r="C145" s="246" t="str">
        <f t="shared" ca="1" si="18"/>
        <v/>
      </c>
      <c r="D145" s="244" t="str">
        <f t="shared" si="19"/>
        <v>E</v>
      </c>
      <c r="E145" s="244" t="str">
        <f t="shared" si="20"/>
        <v>ENT</v>
      </c>
      <c r="F145" s="244" t="str">
        <f t="shared" ref="F145:G145" si="30">L61</f>
        <v>SCC</v>
      </c>
      <c r="G145" s="244" t="str">
        <f t="shared" si="30"/>
        <v>SG</v>
      </c>
      <c r="H145" s="247">
        <f t="shared" ca="1" si="16"/>
        <v>0</v>
      </c>
      <c r="I145" s="245" t="s">
        <v>261</v>
      </c>
    </row>
    <row r="146" spans="1:9" s="1" customFormat="1" x14ac:dyDescent="0.25">
      <c r="A146" s="317"/>
      <c r="B146" s="243">
        <f t="shared" ca="1" si="17"/>
        <v>41987</v>
      </c>
      <c r="C146" s="246" t="str">
        <f t="shared" ca="1" si="18"/>
        <v/>
      </c>
      <c r="D146" s="244" t="str">
        <f t="shared" si="19"/>
        <v>E</v>
      </c>
      <c r="E146" s="244" t="str">
        <f t="shared" si="20"/>
        <v>ENT</v>
      </c>
      <c r="F146" s="244" t="str">
        <f t="shared" ref="F146:G146" si="31">L62</f>
        <v>SCC</v>
      </c>
      <c r="G146" s="244" t="str">
        <f t="shared" si="31"/>
        <v>SG</v>
      </c>
      <c r="H146" s="247">
        <f t="shared" ca="1" si="16"/>
        <v>0</v>
      </c>
      <c r="I146" s="245" t="s">
        <v>261</v>
      </c>
    </row>
    <row r="147" spans="1:9" s="1" customFormat="1" x14ac:dyDescent="0.25">
      <c r="A147" s="317"/>
      <c r="B147" s="243">
        <f t="shared" ca="1" si="17"/>
        <v>41987</v>
      </c>
      <c r="C147" s="246" t="str">
        <f t="shared" ca="1" si="18"/>
        <v/>
      </c>
      <c r="D147" s="244" t="str">
        <f t="shared" si="19"/>
        <v>E</v>
      </c>
      <c r="E147" s="244" t="str">
        <f t="shared" si="20"/>
        <v>ENT</v>
      </c>
      <c r="F147" s="244" t="str">
        <f t="shared" ref="F147:G147" si="32">L63</f>
        <v>SCC</v>
      </c>
      <c r="G147" s="244" t="str">
        <f t="shared" si="32"/>
        <v>SG</v>
      </c>
      <c r="H147" s="247">
        <f t="shared" ca="1" si="16"/>
        <v>0</v>
      </c>
      <c r="I147" s="245" t="s">
        <v>261</v>
      </c>
    </row>
    <row r="148" spans="1:9" s="1" customFormat="1" x14ac:dyDescent="0.25">
      <c r="A148" s="317"/>
      <c r="B148" s="248">
        <f t="shared" ca="1" si="17"/>
        <v>41987</v>
      </c>
      <c r="C148" s="181" t="str">
        <f t="shared" ca="1" si="18"/>
        <v/>
      </c>
      <c r="D148" s="244" t="str">
        <f t="shared" si="19"/>
        <v>E</v>
      </c>
      <c r="E148" s="244" t="str">
        <f t="shared" si="20"/>
        <v>ENT</v>
      </c>
      <c r="F148" s="244" t="str">
        <f t="shared" ref="F148:G148" si="33">L64</f>
        <v>SCC</v>
      </c>
      <c r="G148" s="244" t="str">
        <f t="shared" si="33"/>
        <v>SG</v>
      </c>
      <c r="H148" s="247">
        <f t="shared" ca="1" si="16"/>
        <v>0</v>
      </c>
      <c r="I148" s="245" t="s">
        <v>261</v>
      </c>
    </row>
    <row r="149" spans="1:9" s="1" customFormat="1" x14ac:dyDescent="0.25">
      <c r="A149" s="317"/>
      <c r="B149" s="248">
        <f t="shared" ca="1" si="17"/>
        <v>41987</v>
      </c>
      <c r="C149" s="181" t="str">
        <f>B70</f>
        <v>Solde nourriture et boissons</v>
      </c>
      <c r="D149" s="244" t="str">
        <f>J70</f>
        <v>E</v>
      </c>
      <c r="E149" s="244" t="str">
        <f>K70</f>
        <v>ENT</v>
      </c>
      <c r="F149" s="244"/>
      <c r="G149" s="244">
        <f>L70</f>
        <v>0</v>
      </c>
      <c r="H149" s="247">
        <f ca="1">F70</f>
        <v>638.29999999999995</v>
      </c>
      <c r="I149" s="245"/>
    </row>
    <row r="150" spans="1:9" s="1" customFormat="1" x14ac:dyDescent="0.25">
      <c r="A150" s="317"/>
      <c r="B150" s="243">
        <f t="shared" ca="1" si="17"/>
        <v>41987</v>
      </c>
      <c r="C150" s="246" t="str">
        <f>B74</f>
        <v>Frais de location ou int. Hyp. Sans amortissement</v>
      </c>
      <c r="D150" s="244" t="str">
        <f t="shared" ref="D150:E151" si="34">J74</f>
        <v>L</v>
      </c>
      <c r="E150" s="244" t="str">
        <f t="shared" si="34"/>
        <v>LOY</v>
      </c>
      <c r="F150" s="244">
        <f>L74</f>
        <v>4010</v>
      </c>
      <c r="G150" s="244" t="s">
        <v>264</v>
      </c>
      <c r="H150" s="247">
        <f ca="1">G74-F74</f>
        <v>-1250</v>
      </c>
      <c r="I150" s="245" t="s">
        <v>261</v>
      </c>
    </row>
    <row r="151" spans="1:9" s="1" customFormat="1" x14ac:dyDescent="0.25">
      <c r="A151" s="317"/>
      <c r="B151" s="243">
        <f t="shared" ca="1" si="17"/>
        <v>41987</v>
      </c>
      <c r="C151" s="246" t="str">
        <f>B75</f>
        <v>Charges locatives</v>
      </c>
      <c r="D151" s="244" t="str">
        <f t="shared" si="34"/>
        <v>L</v>
      </c>
      <c r="E151" s="244" t="str">
        <f t="shared" si="34"/>
        <v>CHA</v>
      </c>
      <c r="F151" s="244">
        <f>L75</f>
        <v>4010</v>
      </c>
      <c r="G151" s="244" t="s">
        <v>264</v>
      </c>
      <c r="H151" s="247">
        <f>G75-F75</f>
        <v>0</v>
      </c>
      <c r="I151" s="245" t="s">
        <v>261</v>
      </c>
    </row>
    <row r="152" spans="1:9" x14ac:dyDescent="0.25">
      <c r="B152" s="243">
        <f t="shared" ca="1" si="17"/>
        <v>41987</v>
      </c>
      <c r="C152" s="246" t="str">
        <f>B28</f>
        <v>Total des revenus</v>
      </c>
      <c r="D152" s="249" t="s">
        <v>33</v>
      </c>
      <c r="E152" s="249" t="str">
        <f>K28</f>
        <v>DIV</v>
      </c>
      <c r="F152" s="249"/>
      <c r="G152" s="249"/>
      <c r="H152" s="247">
        <f>-G28+F28</f>
        <v>193</v>
      </c>
      <c r="I152" s="245" t="s">
        <v>261</v>
      </c>
    </row>
    <row r="153" spans="1:9" x14ac:dyDescent="0.25">
      <c r="B153" s="243">
        <f t="shared" ca="1" si="17"/>
        <v>41987</v>
      </c>
      <c r="C153" s="246" t="str">
        <f>B33</f>
        <v>Total des suppléments d'intégration</v>
      </c>
      <c r="D153" s="249" t="s">
        <v>33</v>
      </c>
      <c r="E153" s="249" t="str">
        <f>K33</f>
        <v>SUP</v>
      </c>
      <c r="F153" s="249"/>
      <c r="G153" s="249"/>
      <c r="H153" s="247">
        <f>G33-F33</f>
        <v>500</v>
      </c>
      <c r="I153" s="245" t="s">
        <v>261</v>
      </c>
    </row>
    <row r="154" spans="1:9" x14ac:dyDescent="0.25">
      <c r="B154" s="243">
        <f t="shared" ca="1" si="17"/>
        <v>41987</v>
      </c>
      <c r="C154" s="246" t="str">
        <f>B96</f>
        <v>Total des prestations circonstancielles</v>
      </c>
      <c r="D154" s="249" t="s">
        <v>37</v>
      </c>
      <c r="E154" s="249" t="str">
        <f>K96</f>
        <v>CIR</v>
      </c>
      <c r="F154" s="249"/>
      <c r="G154" s="249"/>
      <c r="H154" s="247">
        <f>G96-F96</f>
        <v>6178.8</v>
      </c>
      <c r="I154" s="245" t="s">
        <v>261</v>
      </c>
    </row>
    <row r="155" spans="1:9" x14ac:dyDescent="0.25">
      <c r="B155" s="243">
        <f t="shared" ca="1" si="17"/>
        <v>41987</v>
      </c>
      <c r="C155" s="246" t="str">
        <f t="array" aca="1" ref="C155" ca="1">IF(ROW(A20)&gt;COUNTIF(bdlibel4,"&gt;&lt;"),"",INDEX(bdlibel4,SMALL(IF(bdlibel4&lt;&gt;"",ROW(bdlibel4)-51,""),ROW(A20))))</f>
        <v/>
      </c>
      <c r="D155" s="249" t="str">
        <f t="shared" ref="D155:D158" ca="1" si="35">VLOOKUP($C155,bdlibell4,2,0)</f>
        <v/>
      </c>
      <c r="E155" s="249"/>
      <c r="F155" s="249"/>
      <c r="G155" s="249"/>
      <c r="H155" s="247">
        <f ca="1">SUMIFS(F:F,B:B,C155)</f>
        <v>0</v>
      </c>
      <c r="I155" s="245" t="s">
        <v>261</v>
      </c>
    </row>
    <row r="156" spans="1:9" x14ac:dyDescent="0.25">
      <c r="B156" s="243">
        <f t="shared" ca="1" si="17"/>
        <v>41987</v>
      </c>
      <c r="C156" s="246" t="str">
        <f t="array" aca="1" ref="C156" ca="1">IF(ROW(A21)&gt;COUNTIF(bdlibel4,"&gt;&lt;"),"",INDEX(bdlibel4,SMALL(IF(bdlibel4&lt;&gt;"",ROW(bdlibel4)-51,""),ROW(A21))))</f>
        <v/>
      </c>
      <c r="D156" s="249" t="str">
        <f t="shared" ca="1" si="35"/>
        <v/>
      </c>
      <c r="E156" s="249"/>
      <c r="F156" s="249"/>
      <c r="G156" s="249"/>
      <c r="H156" s="247">
        <f ca="1">SUMIFS(F:F,B:B,C156)</f>
        <v>0</v>
      </c>
      <c r="I156" s="245" t="s">
        <v>261</v>
      </c>
    </row>
    <row r="157" spans="1:9" x14ac:dyDescent="0.25">
      <c r="B157" s="243">
        <f t="shared" ca="1" si="17"/>
        <v>41987</v>
      </c>
      <c r="C157" s="246" t="str">
        <f t="array" aca="1" ref="C157" ca="1">IF(ROW(A22)&gt;COUNTIF(bdlibel4,"&gt;&lt;"),"",INDEX(bdlibel4,SMALL(IF(bdlibel4&lt;&gt;"",ROW(bdlibel4)-51,""),ROW(A22))))</f>
        <v/>
      </c>
      <c r="D157" s="249" t="str">
        <f t="shared" ca="1" si="35"/>
        <v/>
      </c>
      <c r="E157" s="249"/>
      <c r="F157" s="249"/>
      <c r="G157" s="249"/>
      <c r="H157" s="247">
        <f ca="1">SUMIFS(F:F,B:B,C157)</f>
        <v>0</v>
      </c>
      <c r="I157" s="245" t="s">
        <v>261</v>
      </c>
    </row>
    <row r="158" spans="1:9" x14ac:dyDescent="0.25">
      <c r="B158" s="243">
        <f t="shared" ca="1" si="17"/>
        <v>41987</v>
      </c>
      <c r="C158" s="246" t="str">
        <f t="array" aca="1" ref="C158" ca="1">IF(ROW(A23)&gt;COUNTIF(bdlibel4,"&gt;&lt;"),"",INDEX(bdlibel4,SMALL(IF(bdlibel4&lt;&gt;"",ROW(bdlibel4)-51,""),ROW(A23))))</f>
        <v/>
      </c>
      <c r="D158" s="249" t="str">
        <f t="shared" ca="1" si="35"/>
        <v/>
      </c>
      <c r="E158" s="249"/>
      <c r="F158" s="249"/>
      <c r="G158" s="249"/>
      <c r="H158" s="247">
        <f ca="1">SUMIFS(F:F,B:B,C158)</f>
        <v>0</v>
      </c>
      <c r="I158" s="246"/>
    </row>
    <row r="159" spans="1:9" x14ac:dyDescent="0.25">
      <c r="B159" s="243">
        <f t="shared" ca="1" si="17"/>
        <v>41987</v>
      </c>
      <c r="C159" s="246" t="str">
        <f>B107</f>
        <v>Versé/Prélevé en compte de gestion</v>
      </c>
      <c r="D159" s="244"/>
      <c r="E159" s="244"/>
      <c r="F159" s="244" t="s">
        <v>279</v>
      </c>
      <c r="G159" s="244" t="s">
        <v>278</v>
      </c>
      <c r="H159" s="247">
        <f ca="1">H107</f>
        <v>5832.8</v>
      </c>
      <c r="I159" s="245"/>
    </row>
    <row r="160" spans="1:9" x14ac:dyDescent="0.25">
      <c r="B160" s="243">
        <f t="shared" ca="1" si="17"/>
        <v>41987</v>
      </c>
      <c r="C160" s="246" t="s">
        <v>243</v>
      </c>
      <c r="D160" s="246"/>
      <c r="E160" s="246"/>
      <c r="F160" s="246">
        <v>1000</v>
      </c>
      <c r="G160" s="181">
        <v>4010</v>
      </c>
      <c r="H160" s="247">
        <f>G106</f>
        <v>401</v>
      </c>
      <c r="I160" s="246"/>
    </row>
    <row r="161" spans="1:14" x14ac:dyDescent="0.25">
      <c r="B161" s="243"/>
      <c r="C161" s="246"/>
      <c r="D161" s="246"/>
      <c r="E161" s="246"/>
      <c r="F161" s="246"/>
      <c r="G161" s="246"/>
      <c r="H161" s="247"/>
      <c r="I161" s="246"/>
      <c r="N161" s="27"/>
    </row>
    <row r="162" spans="1:14" ht="15.75" thickBot="1" x14ac:dyDescent="0.3">
      <c r="B162" s="243"/>
      <c r="C162" s="245" t="s">
        <v>248</v>
      </c>
      <c r="D162" s="245" t="str">
        <f>C2</f>
        <v>janvier</v>
      </c>
      <c r="E162" s="245"/>
      <c r="F162" s="245"/>
      <c r="G162" s="245"/>
      <c r="H162" s="250">
        <f ca="1">SUM(H122:H161)</f>
        <v>12514.900000000001</v>
      </c>
      <c r="I162" s="246"/>
      <c r="N162" s="27"/>
    </row>
    <row r="163" spans="1:14" ht="15.75" thickTop="1" x14ac:dyDescent="0.25">
      <c r="B163" s="242"/>
      <c r="C163" s="110"/>
      <c r="E163" s="110"/>
      <c r="H163" s="27"/>
    </row>
    <row r="164" spans="1:14" ht="21" x14ac:dyDescent="0.25">
      <c r="B164" s="324" t="s">
        <v>67</v>
      </c>
      <c r="C164" s="324"/>
      <c r="D164" s="324"/>
      <c r="E164" s="324"/>
      <c r="F164" s="324"/>
      <c r="G164" s="324"/>
      <c r="H164" s="324"/>
    </row>
    <row r="165" spans="1:14" ht="21" x14ac:dyDescent="0.25">
      <c r="B165" s="324" t="str">
        <f>C2</f>
        <v>janvier</v>
      </c>
      <c r="C165" s="325"/>
      <c r="D165" s="325"/>
      <c r="E165" s="324">
        <f>E2</f>
        <v>2015</v>
      </c>
      <c r="F165" s="325"/>
      <c r="G165" s="325"/>
      <c r="H165" s="325"/>
    </row>
    <row r="166" spans="1:14" s="1" customFormat="1" x14ac:dyDescent="0.25">
      <c r="A166" s="317"/>
      <c r="B166" s="241" t="s">
        <v>64</v>
      </c>
      <c r="C166" s="1" t="s">
        <v>65</v>
      </c>
      <c r="D166" s="1" t="s">
        <v>28</v>
      </c>
      <c r="E166" s="1" t="s">
        <v>66</v>
      </c>
      <c r="F166" s="1" t="s">
        <v>49</v>
      </c>
      <c r="G166" s="1" t="s">
        <v>49</v>
      </c>
      <c r="H166" s="1" t="s">
        <v>224</v>
      </c>
    </row>
    <row r="167" spans="1:14" s="246" customFormat="1" ht="12.75" x14ac:dyDescent="0.2">
      <c r="A167" s="317"/>
      <c r="B167" s="248">
        <f t="shared" ref="B167:B205" ca="1" si="36">TODAY()</f>
        <v>41987</v>
      </c>
      <c r="C167" s="181" t="str">
        <f>B36</f>
        <v>CSS</v>
      </c>
      <c r="D167" s="244" t="str">
        <f>J36</f>
        <v>E</v>
      </c>
      <c r="E167" s="244" t="str">
        <f t="shared" ref="E167" si="37">K36</f>
        <v>LCA</v>
      </c>
      <c r="F167" s="244"/>
      <c r="G167" s="244">
        <f>L36</f>
        <v>0</v>
      </c>
      <c r="H167" s="219">
        <f>F36</f>
        <v>12.4</v>
      </c>
      <c r="J167" s="245"/>
      <c r="K167" s="245"/>
      <c r="L167" s="245"/>
      <c r="M167" s="245"/>
    </row>
    <row r="168" spans="1:14" s="246" customFormat="1" ht="12.75" x14ac:dyDescent="0.2">
      <c r="A168" s="317"/>
      <c r="B168" s="248">
        <f t="shared" ca="1" si="36"/>
        <v>41987</v>
      </c>
      <c r="C168" s="181" t="str">
        <f t="shared" ref="C168:C181" ca="1" si="38">B37</f>
        <v>Impôts communaux</v>
      </c>
      <c r="D168" s="244" t="str">
        <f t="shared" ref="D168:D181" si="39">J37</f>
        <v>E</v>
      </c>
      <c r="E168" s="244" t="str">
        <f t="shared" ref="E168:E181" si="40">K37</f>
        <v>ENT</v>
      </c>
      <c r="F168" s="244"/>
      <c r="G168" s="244">
        <f t="shared" ref="G168:G181" si="41">L37</f>
        <v>0</v>
      </c>
      <c r="H168" s="219">
        <f t="shared" ref="H168:H181" ca="1" si="42">F37</f>
        <v>0</v>
      </c>
      <c r="J168" s="245"/>
      <c r="K168" s="245"/>
      <c r="L168" s="245"/>
      <c r="M168" s="245"/>
    </row>
    <row r="169" spans="1:14" s="246" customFormat="1" ht="12.75" x14ac:dyDescent="0.2">
      <c r="A169" s="317"/>
      <c r="B169" s="248">
        <f t="shared" ca="1" si="36"/>
        <v>41987</v>
      </c>
      <c r="C169" s="181" t="str">
        <f t="shared" ca="1" si="38"/>
        <v>Impôts cantonaux</v>
      </c>
      <c r="D169" s="244" t="str">
        <f t="shared" si="39"/>
        <v>E</v>
      </c>
      <c r="E169" s="244" t="str">
        <f t="shared" si="40"/>
        <v>ENT</v>
      </c>
      <c r="F169" s="244"/>
      <c r="G169" s="244">
        <f t="shared" si="41"/>
        <v>0</v>
      </c>
      <c r="H169" s="219">
        <f t="shared" ca="1" si="42"/>
        <v>82.3</v>
      </c>
      <c r="J169" s="245"/>
      <c r="K169" s="245"/>
      <c r="L169" s="245"/>
      <c r="M169" s="245"/>
    </row>
    <row r="170" spans="1:14" s="246" customFormat="1" ht="12.75" x14ac:dyDescent="0.2">
      <c r="A170" s="317"/>
      <c r="B170" s="248">
        <f t="shared" ca="1" si="36"/>
        <v>41987</v>
      </c>
      <c r="C170" s="181" t="str">
        <f t="shared" ca="1" si="38"/>
        <v/>
      </c>
      <c r="D170" s="244" t="str">
        <f t="shared" si="39"/>
        <v>E</v>
      </c>
      <c r="E170" s="244" t="str">
        <f t="shared" si="40"/>
        <v>ENT</v>
      </c>
      <c r="F170" s="244"/>
      <c r="G170" s="244">
        <f t="shared" si="41"/>
        <v>0</v>
      </c>
      <c r="H170" s="219">
        <f t="shared" ca="1" si="42"/>
        <v>0</v>
      </c>
      <c r="J170" s="245"/>
      <c r="K170" s="245"/>
      <c r="L170" s="245"/>
      <c r="M170" s="245"/>
    </row>
    <row r="171" spans="1:14" s="246" customFormat="1" ht="12.75" x14ac:dyDescent="0.2">
      <c r="A171" s="317"/>
      <c r="B171" s="248">
        <f t="shared" ca="1" si="36"/>
        <v>41987</v>
      </c>
      <c r="C171" s="181" t="str">
        <f t="shared" ca="1" si="38"/>
        <v/>
      </c>
      <c r="D171" s="244" t="str">
        <f t="shared" si="39"/>
        <v>E</v>
      </c>
      <c r="E171" s="244" t="str">
        <f t="shared" si="40"/>
        <v>ENT</v>
      </c>
      <c r="F171" s="244"/>
      <c r="G171" s="244">
        <f t="shared" si="41"/>
        <v>0</v>
      </c>
      <c r="H171" s="219">
        <f t="shared" ca="1" si="42"/>
        <v>0</v>
      </c>
      <c r="J171" s="245"/>
      <c r="K171" s="245"/>
      <c r="L171" s="245"/>
      <c r="M171" s="245"/>
    </row>
    <row r="172" spans="1:14" s="246" customFormat="1" ht="12.75" x14ac:dyDescent="0.2">
      <c r="A172" s="317"/>
      <c r="B172" s="248">
        <f t="shared" ca="1" si="36"/>
        <v>41987</v>
      </c>
      <c r="C172" s="181" t="str">
        <f t="shared" ca="1" si="38"/>
        <v/>
      </c>
      <c r="D172" s="244" t="str">
        <f t="shared" si="39"/>
        <v>E</v>
      </c>
      <c r="E172" s="244" t="str">
        <f t="shared" si="40"/>
        <v>ENT</v>
      </c>
      <c r="F172" s="244"/>
      <c r="G172" s="244">
        <f t="shared" si="41"/>
        <v>0</v>
      </c>
      <c r="H172" s="219">
        <f t="shared" ca="1" si="42"/>
        <v>0</v>
      </c>
      <c r="J172" s="245"/>
      <c r="K172" s="245"/>
      <c r="L172" s="245"/>
      <c r="M172" s="245"/>
    </row>
    <row r="173" spans="1:14" s="246" customFormat="1" ht="12.75" x14ac:dyDescent="0.2">
      <c r="A173" s="317"/>
      <c r="B173" s="248">
        <f t="shared" ca="1" si="36"/>
        <v>41987</v>
      </c>
      <c r="C173" s="181" t="str">
        <f t="shared" ca="1" si="38"/>
        <v/>
      </c>
      <c r="D173" s="244" t="str">
        <f t="shared" si="39"/>
        <v>E</v>
      </c>
      <c r="E173" s="244" t="str">
        <f t="shared" si="40"/>
        <v>ENT</v>
      </c>
      <c r="F173" s="244"/>
      <c r="G173" s="244">
        <f t="shared" si="41"/>
        <v>0</v>
      </c>
      <c r="H173" s="219">
        <f t="shared" ca="1" si="42"/>
        <v>0</v>
      </c>
      <c r="J173" s="245"/>
      <c r="K173" s="245"/>
      <c r="L173" s="245"/>
      <c r="M173" s="245"/>
    </row>
    <row r="174" spans="1:14" s="246" customFormat="1" ht="12.75" x14ac:dyDescent="0.2">
      <c r="A174" s="317"/>
      <c r="B174" s="248">
        <f t="shared" ca="1" si="36"/>
        <v>41987</v>
      </c>
      <c r="C174" s="181" t="str">
        <f t="shared" ca="1" si="38"/>
        <v>tutu</v>
      </c>
      <c r="D174" s="244" t="str">
        <f t="shared" si="39"/>
        <v>E</v>
      </c>
      <c r="E174" s="244" t="str">
        <f t="shared" si="40"/>
        <v>ENT</v>
      </c>
      <c r="F174" s="244"/>
      <c r="G174" s="244">
        <f t="shared" si="41"/>
        <v>0</v>
      </c>
      <c r="H174" s="219">
        <f t="shared" ca="1" si="42"/>
        <v>12</v>
      </c>
      <c r="J174" s="245"/>
      <c r="K174" s="245"/>
      <c r="L174" s="245"/>
      <c r="M174" s="245"/>
    </row>
    <row r="175" spans="1:14" s="246" customFormat="1" ht="12.75" x14ac:dyDescent="0.2">
      <c r="A175" s="317"/>
      <c r="B175" s="248">
        <f t="shared" ca="1" si="36"/>
        <v>41987</v>
      </c>
      <c r="C175" s="181" t="str">
        <f t="shared" ca="1" si="38"/>
        <v/>
      </c>
      <c r="D175" s="244" t="str">
        <f t="shared" si="39"/>
        <v>E</v>
      </c>
      <c r="E175" s="244" t="str">
        <f t="shared" si="40"/>
        <v>ENT</v>
      </c>
      <c r="F175" s="244"/>
      <c r="G175" s="244">
        <f t="shared" si="41"/>
        <v>0</v>
      </c>
      <c r="H175" s="219">
        <f t="shared" ca="1" si="42"/>
        <v>0</v>
      </c>
      <c r="J175" s="245"/>
      <c r="K175" s="245"/>
      <c r="L175" s="245"/>
      <c r="M175" s="245"/>
    </row>
    <row r="176" spans="1:14" s="246" customFormat="1" ht="12.75" x14ac:dyDescent="0.2">
      <c r="A176" s="317"/>
      <c r="B176" s="248">
        <f t="shared" ca="1" si="36"/>
        <v>41987</v>
      </c>
      <c r="C176" s="181" t="str">
        <f t="shared" ca="1" si="38"/>
        <v/>
      </c>
      <c r="D176" s="244" t="str">
        <f t="shared" si="39"/>
        <v>E</v>
      </c>
      <c r="E176" s="244" t="str">
        <f t="shared" si="40"/>
        <v>ENT</v>
      </c>
      <c r="F176" s="244"/>
      <c r="G176" s="244">
        <f t="shared" si="41"/>
        <v>0</v>
      </c>
      <c r="H176" s="219">
        <f t="shared" ca="1" si="42"/>
        <v>0</v>
      </c>
      <c r="J176" s="245"/>
      <c r="K176" s="245"/>
      <c r="L176" s="245"/>
      <c r="M176" s="245"/>
    </row>
    <row r="177" spans="1:13" s="246" customFormat="1" ht="12.75" x14ac:dyDescent="0.2">
      <c r="A177" s="317"/>
      <c r="B177" s="248">
        <f t="shared" ca="1" si="36"/>
        <v>41987</v>
      </c>
      <c r="C177" s="181" t="str">
        <f t="shared" ca="1" si="38"/>
        <v/>
      </c>
      <c r="D177" s="244" t="str">
        <f t="shared" si="39"/>
        <v>E</v>
      </c>
      <c r="E177" s="244" t="str">
        <f t="shared" si="40"/>
        <v>ENT</v>
      </c>
      <c r="F177" s="244"/>
      <c r="G177" s="244">
        <f t="shared" si="41"/>
        <v>0</v>
      </c>
      <c r="H177" s="219">
        <f t="shared" ca="1" si="42"/>
        <v>0</v>
      </c>
      <c r="J177" s="245"/>
      <c r="K177" s="245"/>
      <c r="L177" s="245"/>
      <c r="M177" s="245"/>
    </row>
    <row r="178" spans="1:13" s="246" customFormat="1" ht="12.75" x14ac:dyDescent="0.2">
      <c r="A178" s="317"/>
      <c r="B178" s="248">
        <f t="shared" ca="1" si="36"/>
        <v>41987</v>
      </c>
      <c r="C178" s="181" t="str">
        <f t="shared" ca="1" si="38"/>
        <v/>
      </c>
      <c r="D178" s="244" t="str">
        <f t="shared" si="39"/>
        <v>E</v>
      </c>
      <c r="E178" s="244" t="str">
        <f t="shared" si="40"/>
        <v>ENT</v>
      </c>
      <c r="F178" s="244"/>
      <c r="G178" s="244">
        <f t="shared" si="41"/>
        <v>0</v>
      </c>
      <c r="H178" s="219">
        <f t="shared" ca="1" si="42"/>
        <v>0</v>
      </c>
      <c r="J178" s="245"/>
      <c r="K178" s="245"/>
      <c r="L178" s="245"/>
      <c r="M178" s="245"/>
    </row>
    <row r="179" spans="1:13" s="246" customFormat="1" ht="12.75" x14ac:dyDescent="0.2">
      <c r="A179" s="317"/>
      <c r="B179" s="248">
        <f t="shared" ca="1" si="36"/>
        <v>41987</v>
      </c>
      <c r="C179" s="181" t="str">
        <f t="shared" ca="1" si="38"/>
        <v/>
      </c>
      <c r="D179" s="244" t="str">
        <f t="shared" si="39"/>
        <v>E</v>
      </c>
      <c r="E179" s="244" t="str">
        <f t="shared" si="40"/>
        <v>ENT</v>
      </c>
      <c r="F179" s="244"/>
      <c r="G179" s="244">
        <f t="shared" si="41"/>
        <v>0</v>
      </c>
      <c r="H179" s="219">
        <f t="shared" ca="1" si="42"/>
        <v>0</v>
      </c>
      <c r="J179" s="245"/>
      <c r="K179" s="245"/>
      <c r="L179" s="245"/>
      <c r="M179" s="245"/>
    </row>
    <row r="180" spans="1:13" s="246" customFormat="1" ht="12.75" x14ac:dyDescent="0.2">
      <c r="A180" s="317"/>
      <c r="B180" s="248">
        <f t="shared" ca="1" si="36"/>
        <v>41987</v>
      </c>
      <c r="C180" s="181" t="str">
        <f t="shared" ca="1" si="38"/>
        <v/>
      </c>
      <c r="D180" s="244" t="str">
        <f t="shared" si="39"/>
        <v>E</v>
      </c>
      <c r="E180" s="244" t="str">
        <f t="shared" si="40"/>
        <v>ENT</v>
      </c>
      <c r="F180" s="244"/>
      <c r="G180" s="244">
        <f t="shared" si="41"/>
        <v>0</v>
      </c>
      <c r="H180" s="219">
        <f t="shared" ca="1" si="42"/>
        <v>0</v>
      </c>
      <c r="J180" s="245"/>
      <c r="K180" s="245"/>
      <c r="L180" s="245"/>
      <c r="M180" s="245"/>
    </row>
    <row r="181" spans="1:13" s="246" customFormat="1" ht="12.75" x14ac:dyDescent="0.2">
      <c r="A181" s="317"/>
      <c r="B181" s="248">
        <f t="shared" ca="1" si="36"/>
        <v>41987</v>
      </c>
      <c r="C181" s="181" t="str">
        <f t="shared" ca="1" si="38"/>
        <v/>
      </c>
      <c r="D181" s="244" t="str">
        <f t="shared" si="39"/>
        <v>E</v>
      </c>
      <c r="E181" s="244" t="str">
        <f t="shared" si="40"/>
        <v>ENT</v>
      </c>
      <c r="F181" s="244"/>
      <c r="G181" s="244">
        <f t="shared" si="41"/>
        <v>0</v>
      </c>
      <c r="H181" s="219">
        <f t="shared" ca="1" si="42"/>
        <v>0</v>
      </c>
      <c r="J181" s="245"/>
      <c r="K181" s="245"/>
      <c r="L181" s="245"/>
      <c r="M181" s="245"/>
    </row>
    <row r="182" spans="1:13" s="246" customFormat="1" ht="12.75" x14ac:dyDescent="0.2">
      <c r="A182" s="317"/>
      <c r="B182" s="248">
        <f t="shared" ca="1" si="36"/>
        <v>41987</v>
      </c>
      <c r="C182" s="181">
        <f>B65</f>
        <v>0</v>
      </c>
      <c r="D182" s="244" t="str">
        <f t="shared" ref="D182:E186" si="43">J65</f>
        <v>E</v>
      </c>
      <c r="E182" s="244" t="str">
        <f t="shared" si="43"/>
        <v>ENT</v>
      </c>
      <c r="F182" s="244"/>
      <c r="G182" s="244">
        <f>L65</f>
        <v>0</v>
      </c>
      <c r="H182" s="219">
        <f>F65</f>
        <v>0</v>
      </c>
      <c r="J182" s="245"/>
      <c r="K182" s="245"/>
      <c r="L182" s="245"/>
      <c r="M182" s="245"/>
    </row>
    <row r="183" spans="1:13" s="246" customFormat="1" ht="12.75" x14ac:dyDescent="0.2">
      <c r="A183" s="317"/>
      <c r="B183" s="248">
        <f t="shared" ca="1" si="36"/>
        <v>41987</v>
      </c>
      <c r="C183" s="181" t="str">
        <f>B66</f>
        <v>Heine</v>
      </c>
      <c r="D183" s="244" t="str">
        <f t="shared" si="43"/>
        <v>E</v>
      </c>
      <c r="E183" s="244" t="str">
        <f t="shared" si="43"/>
        <v>ENT</v>
      </c>
      <c r="F183" s="244"/>
      <c r="G183" s="244">
        <f>L66</f>
        <v>0</v>
      </c>
      <c r="H183" s="219">
        <f>F66</f>
        <v>412</v>
      </c>
      <c r="J183" s="245"/>
      <c r="K183" s="245"/>
      <c r="L183" s="245"/>
      <c r="M183" s="245"/>
    </row>
    <row r="184" spans="1:13" s="246" customFormat="1" ht="12.75" x14ac:dyDescent="0.2">
      <c r="A184" s="317"/>
      <c r="B184" s="248">
        <f t="shared" ca="1" si="36"/>
        <v>41987</v>
      </c>
      <c r="C184" s="181">
        <f>B67</f>
        <v>0</v>
      </c>
      <c r="D184" s="244" t="str">
        <f t="shared" si="43"/>
        <v>E</v>
      </c>
      <c r="E184" s="244" t="str">
        <f t="shared" si="43"/>
        <v>ENT</v>
      </c>
      <c r="F184" s="244"/>
      <c r="G184" s="244">
        <f>L67</f>
        <v>0</v>
      </c>
      <c r="H184" s="219">
        <f>F67</f>
        <v>0</v>
      </c>
      <c r="J184" s="245"/>
      <c r="K184" s="245"/>
      <c r="L184" s="245"/>
      <c r="M184" s="245"/>
    </row>
    <row r="185" spans="1:13" s="246" customFormat="1" ht="12.75" x14ac:dyDescent="0.2">
      <c r="A185" s="317"/>
      <c r="B185" s="248">
        <f t="shared" ca="1" si="36"/>
        <v>41987</v>
      </c>
      <c r="C185" s="181">
        <f>B68</f>
        <v>0</v>
      </c>
      <c r="D185" s="244" t="str">
        <f t="shared" si="43"/>
        <v>E</v>
      </c>
      <c r="E185" s="244" t="str">
        <f t="shared" si="43"/>
        <v>ENT</v>
      </c>
      <c r="F185" s="244"/>
      <c r="G185" s="244">
        <f>L68</f>
        <v>0</v>
      </c>
      <c r="H185" s="219">
        <f>F68</f>
        <v>0</v>
      </c>
      <c r="J185" s="245"/>
      <c r="K185" s="245"/>
      <c r="L185" s="245"/>
      <c r="M185" s="245"/>
    </row>
    <row r="186" spans="1:13" s="246" customFormat="1" ht="12.75" x14ac:dyDescent="0.2">
      <c r="A186" s="317"/>
      <c r="B186" s="248">
        <f t="shared" ca="1" si="36"/>
        <v>41987</v>
      </c>
      <c r="C186" s="181">
        <f>B69</f>
        <v>0</v>
      </c>
      <c r="D186" s="244" t="str">
        <f t="shared" si="43"/>
        <v>E</v>
      </c>
      <c r="E186" s="244" t="str">
        <f t="shared" si="43"/>
        <v>ENT</v>
      </c>
      <c r="F186" s="244"/>
      <c r="G186" s="244">
        <f>L69</f>
        <v>0</v>
      </c>
      <c r="H186" s="219">
        <f>F69</f>
        <v>0</v>
      </c>
      <c r="J186" s="245"/>
      <c r="K186" s="245"/>
      <c r="L186" s="245"/>
      <c r="M186" s="245"/>
    </row>
    <row r="187" spans="1:13" s="246" customFormat="1" ht="12.75" x14ac:dyDescent="0.2">
      <c r="A187" s="317"/>
      <c r="B187" s="248">
        <f t="shared" ca="1" si="36"/>
        <v>41987</v>
      </c>
      <c r="C187" s="181" t="str">
        <f>B74</f>
        <v>Frais de location ou int. Hyp. Sans amortissement</v>
      </c>
      <c r="D187" s="244" t="str">
        <f t="shared" ref="D187:E188" si="44">J74</f>
        <v>L</v>
      </c>
      <c r="E187" s="244" t="str">
        <f t="shared" si="44"/>
        <v>LOY</v>
      </c>
      <c r="F187" s="244">
        <f>L74</f>
        <v>4010</v>
      </c>
      <c r="G187" s="244">
        <f>M74</f>
        <v>2027</v>
      </c>
      <c r="H187" s="219">
        <f>F74</f>
        <v>2400</v>
      </c>
      <c r="J187" s="245"/>
      <c r="K187" s="245"/>
      <c r="L187" s="245"/>
      <c r="M187" s="245"/>
    </row>
    <row r="188" spans="1:13" s="246" customFormat="1" ht="12.75" x14ac:dyDescent="0.2">
      <c r="A188" s="317"/>
      <c r="B188" s="248">
        <f t="shared" ca="1" si="36"/>
        <v>41987</v>
      </c>
      <c r="C188" s="181" t="str">
        <f>B75</f>
        <v>Charges locatives</v>
      </c>
      <c r="D188" s="244" t="str">
        <f t="shared" si="44"/>
        <v>L</v>
      </c>
      <c r="E188" s="244" t="str">
        <f t="shared" si="44"/>
        <v>CHA</v>
      </c>
      <c r="F188" s="244">
        <f>L75</f>
        <v>4010</v>
      </c>
      <c r="G188" s="244">
        <f>M75</f>
        <v>2027</v>
      </c>
      <c r="H188" s="219">
        <f>F75</f>
        <v>270</v>
      </c>
      <c r="J188" s="245"/>
      <c r="K188" s="245"/>
      <c r="L188" s="245"/>
      <c r="M188" s="245"/>
    </row>
    <row r="189" spans="1:13" s="246" customFormat="1" ht="12.75" x14ac:dyDescent="0.2">
      <c r="A189" s="317"/>
      <c r="B189" s="248">
        <f t="shared" ca="1" si="36"/>
        <v>41987</v>
      </c>
      <c r="C189" s="181" t="str">
        <f>B78</f>
        <v>CSS</v>
      </c>
      <c r="D189" s="244" t="str">
        <f>J78</f>
        <v>M</v>
      </c>
      <c r="E189" s="244" t="str">
        <f>K78</f>
        <v>PM</v>
      </c>
      <c r="F189" s="244">
        <f>L78</f>
        <v>4024</v>
      </c>
      <c r="G189" s="244">
        <f t="shared" ref="G189:G198" si="45">M78</f>
        <v>2027</v>
      </c>
      <c r="H189" s="219">
        <f>F78</f>
        <v>352.8</v>
      </c>
      <c r="J189" s="245"/>
      <c r="K189" s="245"/>
      <c r="L189" s="245"/>
      <c r="M189" s="245"/>
    </row>
    <row r="190" spans="1:13" s="246" customFormat="1" ht="12.75" x14ac:dyDescent="0.2">
      <c r="A190" s="317"/>
      <c r="B190" s="248">
        <f t="shared" ca="1" si="36"/>
        <v>41987</v>
      </c>
      <c r="C190" s="181" t="str">
        <f t="shared" ref="C190:C198" si="46">B79</f>
        <v>Subvention</v>
      </c>
      <c r="D190" s="244" t="str">
        <f t="shared" ref="D190:F198" si="47">J79</f>
        <v>M</v>
      </c>
      <c r="E190" s="244" t="str">
        <f t="shared" si="47"/>
        <v>PM</v>
      </c>
      <c r="F190" s="244">
        <f t="shared" si="47"/>
        <v>4024</v>
      </c>
      <c r="G190" s="244">
        <f t="shared" si="45"/>
        <v>2027</v>
      </c>
      <c r="H190" s="219">
        <f t="shared" ref="H190:H198" si="48">F79</f>
        <v>-12.8</v>
      </c>
      <c r="J190" s="245"/>
      <c r="K190" s="245"/>
      <c r="L190" s="245"/>
      <c r="M190" s="245"/>
    </row>
    <row r="191" spans="1:13" s="246" customFormat="1" ht="12.75" x14ac:dyDescent="0.2">
      <c r="A191" s="317"/>
      <c r="B191" s="248">
        <f t="shared" ca="1" si="36"/>
        <v>41987</v>
      </c>
      <c r="C191" s="181" t="str">
        <f t="shared" si="46"/>
        <v>CSS</v>
      </c>
      <c r="D191" s="244" t="str">
        <f t="shared" ref="D191:E191" si="49">J80</f>
        <v>M</v>
      </c>
      <c r="E191" s="244" t="str">
        <f t="shared" si="49"/>
        <v>MED</v>
      </c>
      <c r="F191" s="244">
        <f t="shared" si="47"/>
        <v>4023</v>
      </c>
      <c r="G191" s="244">
        <f t="shared" si="45"/>
        <v>2027</v>
      </c>
      <c r="H191" s="219">
        <f t="shared" si="48"/>
        <v>0</v>
      </c>
      <c r="J191" s="245"/>
      <c r="K191" s="245"/>
      <c r="L191" s="245"/>
      <c r="M191" s="245"/>
    </row>
    <row r="192" spans="1:13" s="246" customFormat="1" ht="12.75" x14ac:dyDescent="0.2">
      <c r="A192" s="317"/>
      <c r="B192" s="248">
        <f t="shared" ca="1" si="36"/>
        <v>41987</v>
      </c>
      <c r="C192" s="181" t="str">
        <f t="shared" si="46"/>
        <v>CSS</v>
      </c>
      <c r="D192" s="244" t="str">
        <f t="shared" ref="D192:E192" si="50">J81</f>
        <v>M</v>
      </c>
      <c r="E192" s="244" t="str">
        <f t="shared" si="50"/>
        <v>MED</v>
      </c>
      <c r="F192" s="244">
        <f t="shared" si="47"/>
        <v>4023</v>
      </c>
      <c r="G192" s="244">
        <f t="shared" si="45"/>
        <v>2027</v>
      </c>
      <c r="H192" s="219">
        <f t="shared" si="48"/>
        <v>0</v>
      </c>
      <c r="J192" s="245"/>
      <c r="K192" s="245"/>
      <c r="L192" s="245"/>
      <c r="M192" s="245"/>
    </row>
    <row r="193" spans="1:14" s="246" customFormat="1" ht="12.75" x14ac:dyDescent="0.2">
      <c r="A193" s="317"/>
      <c r="B193" s="248">
        <f t="shared" ca="1" si="36"/>
        <v>41987</v>
      </c>
      <c r="C193" s="181" t="str">
        <f t="shared" si="46"/>
        <v>CSS</v>
      </c>
      <c r="D193" s="244" t="str">
        <f t="shared" ref="D193:E193" si="51">J82</f>
        <v>M</v>
      </c>
      <c r="E193" s="244" t="str">
        <f t="shared" si="51"/>
        <v>MED</v>
      </c>
      <c r="F193" s="244">
        <f t="shared" si="47"/>
        <v>4023</v>
      </c>
      <c r="G193" s="244">
        <f t="shared" si="45"/>
        <v>2027</v>
      </c>
      <c r="H193" s="219">
        <f t="shared" si="48"/>
        <v>26.8</v>
      </c>
      <c r="J193" s="245"/>
      <c r="K193" s="245"/>
      <c r="L193" s="245"/>
      <c r="M193" s="245"/>
    </row>
    <row r="194" spans="1:14" s="246" customFormat="1" ht="12.75" x14ac:dyDescent="0.2">
      <c r="A194" s="317"/>
      <c r="B194" s="248">
        <f t="shared" ca="1" si="36"/>
        <v>41987</v>
      </c>
      <c r="C194" s="181" t="str">
        <f t="shared" si="46"/>
        <v>CSS</v>
      </c>
      <c r="D194" s="244" t="str">
        <f t="shared" ref="D194:E194" si="52">J83</f>
        <v>M</v>
      </c>
      <c r="E194" s="244" t="str">
        <f t="shared" si="52"/>
        <v>MED</v>
      </c>
      <c r="F194" s="244">
        <f t="shared" si="47"/>
        <v>4023</v>
      </c>
      <c r="G194" s="244">
        <f t="shared" si="45"/>
        <v>2027</v>
      </c>
      <c r="H194" s="219">
        <f t="shared" si="48"/>
        <v>0</v>
      </c>
      <c r="J194" s="245"/>
      <c r="K194" s="245"/>
      <c r="L194" s="245"/>
      <c r="M194" s="245"/>
    </row>
    <row r="195" spans="1:14" s="246" customFormat="1" ht="12.75" x14ac:dyDescent="0.2">
      <c r="A195" s="317"/>
      <c r="B195" s="248">
        <f t="shared" ca="1" si="36"/>
        <v>41987</v>
      </c>
      <c r="C195" s="181" t="str">
        <f t="shared" si="46"/>
        <v>CSS</v>
      </c>
      <c r="D195" s="244" t="str">
        <f t="shared" ref="D195:E195" si="53">J84</f>
        <v>M</v>
      </c>
      <c r="E195" s="244" t="str">
        <f t="shared" si="53"/>
        <v>MED</v>
      </c>
      <c r="F195" s="244">
        <f t="shared" si="47"/>
        <v>4023</v>
      </c>
      <c r="G195" s="244">
        <f t="shared" si="45"/>
        <v>2027</v>
      </c>
      <c r="H195" s="219">
        <f t="shared" si="48"/>
        <v>0</v>
      </c>
      <c r="J195" s="245"/>
      <c r="K195" s="245"/>
      <c r="L195" s="245"/>
      <c r="M195" s="245"/>
    </row>
    <row r="196" spans="1:14" s="246" customFormat="1" ht="12.75" x14ac:dyDescent="0.2">
      <c r="A196" s="317"/>
      <c r="B196" s="248">
        <f t="shared" ca="1" si="36"/>
        <v>41987</v>
      </c>
      <c r="C196" s="181" t="str">
        <f t="shared" si="46"/>
        <v>Caisse compensation</v>
      </c>
      <c r="D196" s="244" t="str">
        <f t="shared" ref="D196:E196" si="54">J85</f>
        <v>M</v>
      </c>
      <c r="E196" s="244" t="str">
        <f t="shared" si="54"/>
        <v>MED</v>
      </c>
      <c r="F196" s="244">
        <f t="shared" si="47"/>
        <v>4023</v>
      </c>
      <c r="G196" s="244">
        <f t="shared" si="45"/>
        <v>2027</v>
      </c>
      <c r="H196" s="219">
        <f t="shared" si="48"/>
        <v>0</v>
      </c>
      <c r="J196" s="245"/>
      <c r="K196" s="245"/>
      <c r="L196" s="245"/>
      <c r="M196" s="245"/>
    </row>
    <row r="197" spans="1:14" s="246" customFormat="1" ht="12.75" x14ac:dyDescent="0.2">
      <c r="A197" s="317"/>
      <c r="B197" s="248">
        <f t="shared" ca="1" si="36"/>
        <v>41987</v>
      </c>
      <c r="C197" s="181">
        <f t="shared" si="46"/>
        <v>0</v>
      </c>
      <c r="D197" s="244" t="str">
        <f t="shared" ref="D197:E197" si="55">J86</f>
        <v>M</v>
      </c>
      <c r="E197" s="244" t="str">
        <f t="shared" si="55"/>
        <v>MED</v>
      </c>
      <c r="F197" s="244">
        <f t="shared" si="47"/>
        <v>4023</v>
      </c>
      <c r="G197" s="244">
        <f t="shared" si="45"/>
        <v>2027</v>
      </c>
      <c r="H197" s="219">
        <f t="shared" si="48"/>
        <v>0</v>
      </c>
      <c r="J197" s="245"/>
      <c r="K197" s="245"/>
      <c r="L197" s="245"/>
      <c r="M197" s="245"/>
    </row>
    <row r="198" spans="1:14" s="246" customFormat="1" ht="12.75" x14ac:dyDescent="0.2">
      <c r="A198" s="317"/>
      <c r="B198" s="248">
        <f t="shared" ca="1" si="36"/>
        <v>41987</v>
      </c>
      <c r="C198" s="181">
        <f t="shared" si="46"/>
        <v>0</v>
      </c>
      <c r="D198" s="244" t="str">
        <f t="shared" ref="D198:E198" si="56">J87</f>
        <v>M</v>
      </c>
      <c r="E198" s="244" t="str">
        <f t="shared" si="56"/>
        <v>MED</v>
      </c>
      <c r="F198" s="244">
        <f t="shared" si="47"/>
        <v>4023</v>
      </c>
      <c r="G198" s="244">
        <f t="shared" si="45"/>
        <v>2027</v>
      </c>
      <c r="H198" s="219">
        <f t="shared" si="48"/>
        <v>0</v>
      </c>
      <c r="J198" s="245"/>
      <c r="K198" s="245"/>
      <c r="L198" s="245"/>
      <c r="M198" s="245"/>
    </row>
    <row r="199" spans="1:14" s="246" customFormat="1" ht="12.75" x14ac:dyDescent="0.2">
      <c r="A199" s="317"/>
      <c r="B199" s="248">
        <f t="shared" ca="1" si="36"/>
        <v>41987</v>
      </c>
      <c r="C199" s="181" t="str">
        <f t="shared" ref="C199:C204" si="57">B90</f>
        <v>Frais de transports</v>
      </c>
      <c r="D199" s="244" t="str">
        <f>J90</f>
        <v>C</v>
      </c>
      <c r="E199" s="244" t="str">
        <f>K90</f>
        <v>CIR</v>
      </c>
      <c r="F199" s="244">
        <f>L90</f>
        <v>4010</v>
      </c>
      <c r="G199" s="244">
        <f t="shared" ref="G199:G204" si="58">M90</f>
        <v>2027</v>
      </c>
      <c r="H199" s="219">
        <f>F90</f>
        <v>0</v>
      </c>
      <c r="J199" s="245"/>
      <c r="K199" s="245"/>
      <c r="L199" s="245"/>
      <c r="M199" s="245"/>
    </row>
    <row r="200" spans="1:14" s="246" customFormat="1" ht="12.75" x14ac:dyDescent="0.2">
      <c r="A200" s="317"/>
      <c r="B200" s="248">
        <f t="shared" ca="1" si="36"/>
        <v>41987</v>
      </c>
      <c r="C200" s="181" t="str">
        <f t="shared" si="57"/>
        <v>Repas pris hors du domicile</v>
      </c>
      <c r="D200" s="244" t="str">
        <f t="shared" ref="D200:F204" si="59">J91</f>
        <v>C</v>
      </c>
      <c r="E200" s="244" t="str">
        <f t="shared" si="59"/>
        <v>CIR</v>
      </c>
      <c r="F200" s="244">
        <f t="shared" si="59"/>
        <v>4010</v>
      </c>
      <c r="G200" s="244">
        <f t="shared" si="58"/>
        <v>2027</v>
      </c>
      <c r="H200" s="219">
        <f t="shared" ref="H200:H204" si="60">F91</f>
        <v>0</v>
      </c>
      <c r="J200" s="245"/>
      <c r="K200" s="245"/>
      <c r="L200" s="245"/>
      <c r="M200" s="245"/>
    </row>
    <row r="201" spans="1:14" s="246" customFormat="1" ht="12.75" x14ac:dyDescent="0.2">
      <c r="A201" s="317"/>
      <c r="B201" s="248">
        <f t="shared" ca="1" si="36"/>
        <v>41987</v>
      </c>
      <c r="C201" s="181">
        <f t="shared" si="57"/>
        <v>0</v>
      </c>
      <c r="D201" s="244" t="str">
        <f t="shared" ref="D201:E201" si="61">J92</f>
        <v>C</v>
      </c>
      <c r="E201" s="244" t="str">
        <f t="shared" si="61"/>
        <v>CIR</v>
      </c>
      <c r="F201" s="244">
        <f t="shared" si="59"/>
        <v>4010</v>
      </c>
      <c r="G201" s="244">
        <f t="shared" si="58"/>
        <v>2027</v>
      </c>
      <c r="H201" s="219">
        <f t="shared" si="60"/>
        <v>0</v>
      </c>
      <c r="J201" s="245"/>
      <c r="K201" s="245"/>
      <c r="L201" s="245"/>
      <c r="M201" s="245"/>
    </row>
    <row r="202" spans="1:14" s="246" customFormat="1" ht="12.75" x14ac:dyDescent="0.2">
      <c r="A202" s="317"/>
      <c r="B202" s="248">
        <f t="shared" ca="1" si="36"/>
        <v>41987</v>
      </c>
      <c r="C202" s="181" t="str">
        <f t="shared" si="57"/>
        <v>AES</v>
      </c>
      <c r="D202" s="244" t="str">
        <f t="shared" ref="D202:E202" si="62">J93</f>
        <v>C</v>
      </c>
      <c r="E202" s="244" t="str">
        <f t="shared" si="62"/>
        <v>CIR</v>
      </c>
      <c r="F202" s="244">
        <f t="shared" si="59"/>
        <v>4010</v>
      </c>
      <c r="G202" s="244">
        <f t="shared" si="58"/>
        <v>2027</v>
      </c>
      <c r="H202" s="219">
        <f t="shared" si="60"/>
        <v>282</v>
      </c>
      <c r="J202" s="245"/>
      <c r="K202" s="245"/>
      <c r="L202" s="245"/>
      <c r="M202" s="245"/>
    </row>
    <row r="203" spans="1:14" s="246" customFormat="1" ht="12.75" x14ac:dyDescent="0.2">
      <c r="A203" s="317"/>
      <c r="B203" s="248">
        <f t="shared" ca="1" si="36"/>
        <v>41987</v>
      </c>
      <c r="C203" s="181">
        <f t="shared" si="57"/>
        <v>0</v>
      </c>
      <c r="D203" s="244">
        <f t="shared" ref="D203:D204" si="63">J94</f>
        <v>0</v>
      </c>
      <c r="E203" s="244">
        <f t="shared" ref="E203:E204" si="64">K94</f>
        <v>0</v>
      </c>
      <c r="F203" s="244">
        <f t="shared" si="59"/>
        <v>4010</v>
      </c>
      <c r="G203" s="244">
        <f t="shared" si="58"/>
        <v>2027</v>
      </c>
      <c r="H203" s="219">
        <f t="shared" si="60"/>
        <v>0</v>
      </c>
      <c r="J203" s="245"/>
      <c r="K203" s="245"/>
      <c r="L203" s="245"/>
      <c r="M203" s="245"/>
    </row>
    <row r="204" spans="1:14" s="246" customFormat="1" ht="12.75" x14ac:dyDescent="0.2">
      <c r="A204" s="317"/>
      <c r="B204" s="248">
        <f t="shared" ca="1" si="36"/>
        <v>41987</v>
      </c>
      <c r="C204" s="181">
        <f t="shared" si="57"/>
        <v>0</v>
      </c>
      <c r="D204" s="244">
        <f t="shared" si="63"/>
        <v>0</v>
      </c>
      <c r="E204" s="244">
        <f t="shared" si="64"/>
        <v>0</v>
      </c>
      <c r="F204" s="244">
        <f t="shared" si="59"/>
        <v>4010</v>
      </c>
      <c r="G204" s="244">
        <f t="shared" si="58"/>
        <v>2027</v>
      </c>
      <c r="H204" s="219">
        <f t="shared" si="60"/>
        <v>0</v>
      </c>
      <c r="J204" s="245"/>
      <c r="K204" s="245"/>
      <c r="L204" s="245"/>
      <c r="M204" s="245"/>
    </row>
    <row r="205" spans="1:14" s="246" customFormat="1" ht="12.75" x14ac:dyDescent="0.2">
      <c r="A205" s="317"/>
      <c r="B205" s="248">
        <f t="shared" ca="1" si="36"/>
        <v>41987</v>
      </c>
      <c r="C205" s="181" t="s">
        <v>262</v>
      </c>
      <c r="D205" s="244"/>
      <c r="E205" s="244"/>
      <c r="F205" s="244">
        <v>4010</v>
      </c>
      <c r="G205" s="244">
        <v>2027</v>
      </c>
      <c r="H205" s="219">
        <f>G105</f>
        <v>612</v>
      </c>
      <c r="J205" s="245"/>
      <c r="K205" s="245"/>
      <c r="L205" s="245"/>
      <c r="M205" s="245"/>
    </row>
    <row r="206" spans="1:14" s="246" customFormat="1" ht="12.75" x14ac:dyDescent="0.2">
      <c r="A206" s="317"/>
      <c r="B206" s="248"/>
      <c r="C206" s="181"/>
      <c r="D206" s="244"/>
      <c r="E206" s="244"/>
      <c r="F206" s="244"/>
      <c r="G206" s="244"/>
      <c r="H206" s="219"/>
      <c r="J206" s="245"/>
      <c r="K206" s="245"/>
      <c r="L206" s="245"/>
      <c r="M206" s="245"/>
    </row>
    <row r="207" spans="1:14" s="246" customFormat="1" ht="12.75" x14ac:dyDescent="0.2">
      <c r="A207" s="317"/>
      <c r="B207" s="251"/>
      <c r="J207" s="245"/>
      <c r="K207" s="245"/>
      <c r="L207" s="245"/>
      <c r="M207" s="245"/>
    </row>
    <row r="208" spans="1:14" s="246" customFormat="1" ht="13.5" thickBot="1" x14ac:dyDescent="0.25">
      <c r="A208" s="296"/>
      <c r="B208" s="251"/>
      <c r="C208" s="245" t="s">
        <v>247</v>
      </c>
      <c r="D208" s="245" t="str">
        <f>C2</f>
        <v>janvier</v>
      </c>
      <c r="E208" s="245"/>
      <c r="F208" s="245"/>
      <c r="G208" s="245"/>
      <c r="H208" s="250">
        <f ca="1">SUM(H167:H207)</f>
        <v>4449.5</v>
      </c>
      <c r="N208" s="247"/>
    </row>
    <row r="209" spans="1:14" s="246" customFormat="1" ht="13.5" thickTop="1" x14ac:dyDescent="0.2">
      <c r="A209" s="317"/>
      <c r="B209" s="251"/>
      <c r="J209" s="245"/>
      <c r="K209" s="245"/>
      <c r="L209" s="245"/>
      <c r="M209" s="245"/>
      <c r="N209" s="247"/>
    </row>
    <row r="210" spans="1:14" s="246" customFormat="1" ht="13.5" thickBot="1" x14ac:dyDescent="0.25">
      <c r="A210" s="296"/>
      <c r="B210" s="251"/>
      <c r="C210" s="245" t="s">
        <v>250</v>
      </c>
      <c r="D210" s="245"/>
      <c r="E210" s="245"/>
      <c r="F210" s="245"/>
      <c r="G210" s="245"/>
      <c r="H210" s="252" t="str">
        <f ca="1">IF(H162+H208+G103-H205-H205=-G101,"c'est tout bon!!","t'as fait tout faux !!!")</f>
        <v>c'est tout bon!!</v>
      </c>
      <c r="N210" s="247"/>
    </row>
    <row r="211" spans="1:14" s="246" customFormat="1" ht="13.5" thickTop="1" x14ac:dyDescent="0.2">
      <c r="A211" s="317"/>
      <c r="B211" s="251"/>
      <c r="J211" s="245"/>
      <c r="K211" s="245"/>
      <c r="L211" s="245"/>
      <c r="M211" s="245"/>
      <c r="N211" s="247"/>
    </row>
    <row r="212" spans="1:14" s="246" customFormat="1" ht="12.75" x14ac:dyDescent="0.2">
      <c r="A212" s="317"/>
      <c r="B212" s="251"/>
      <c r="J212" s="245"/>
      <c r="K212" s="245"/>
      <c r="L212" s="245"/>
      <c r="M212" s="245"/>
    </row>
    <row r="213" spans="1:14" s="246" customFormat="1" ht="13.5" thickBot="1" x14ac:dyDescent="0.25">
      <c r="A213" s="317"/>
      <c r="B213" s="251"/>
      <c r="J213" s="245"/>
      <c r="K213" s="245"/>
      <c r="L213" s="245"/>
      <c r="M213" s="245"/>
    </row>
    <row r="214" spans="1:14" s="246" customFormat="1" ht="13.5" thickTop="1" x14ac:dyDescent="0.2">
      <c r="A214" s="317"/>
      <c r="B214" s="251"/>
      <c r="E214" s="253" t="s">
        <v>265</v>
      </c>
      <c r="F214" s="254"/>
      <c r="G214" s="255" t="s">
        <v>264</v>
      </c>
      <c r="H214" s="256" t="s">
        <v>263</v>
      </c>
      <c r="J214" s="245"/>
      <c r="K214" s="245"/>
      <c r="L214" s="245"/>
      <c r="M214" s="245"/>
    </row>
    <row r="215" spans="1:14" s="246" customFormat="1" ht="12.75" x14ac:dyDescent="0.2">
      <c r="A215" s="317"/>
      <c r="B215" s="251"/>
      <c r="E215" s="257" t="s">
        <v>33</v>
      </c>
      <c r="F215" s="258"/>
      <c r="G215" s="259"/>
      <c r="H215" s="260">
        <f ca="1">SUMIFS(H122:H205,D122:D205,E215)</f>
        <v>659</v>
      </c>
      <c r="J215" s="245"/>
      <c r="K215" s="245"/>
      <c r="L215" s="245"/>
      <c r="M215" s="245"/>
    </row>
    <row r="216" spans="1:14" s="246" customFormat="1" ht="12.75" x14ac:dyDescent="0.2">
      <c r="A216" s="317"/>
      <c r="B216" s="251"/>
      <c r="E216" s="257" t="s">
        <v>31</v>
      </c>
      <c r="F216" s="258"/>
      <c r="G216" s="259"/>
      <c r="H216" s="260">
        <f ca="1">SUMIFS(H123:H207,D123:D207,E216)</f>
        <v>1212</v>
      </c>
      <c r="J216" s="245"/>
      <c r="K216" s="245"/>
      <c r="L216" s="245"/>
      <c r="M216" s="245"/>
    </row>
    <row r="217" spans="1:14" s="246" customFormat="1" ht="12.75" x14ac:dyDescent="0.2">
      <c r="A217" s="317"/>
      <c r="B217" s="251"/>
      <c r="E217" s="257" t="s">
        <v>39</v>
      </c>
      <c r="F217" s="258"/>
      <c r="G217" s="259"/>
      <c r="H217" s="260">
        <f ca="1">SUMIFS(H122:H205,D122:D205,E217)</f>
        <v>1420</v>
      </c>
      <c r="J217" s="245"/>
      <c r="K217" s="245"/>
      <c r="L217" s="245"/>
      <c r="M217" s="245"/>
    </row>
    <row r="218" spans="1:14" s="246" customFormat="1" ht="12.75" x14ac:dyDescent="0.2">
      <c r="A218" s="317"/>
      <c r="B218" s="251"/>
      <c r="E218" s="257" t="s">
        <v>37</v>
      </c>
      <c r="F218" s="258"/>
      <c r="G218" s="259"/>
      <c r="H218" s="260">
        <f ca="1">SUMIFS(H122:H205,D122:D205,E218)</f>
        <v>6460.8</v>
      </c>
      <c r="J218" s="245"/>
      <c r="K218" s="245"/>
      <c r="L218" s="245"/>
      <c r="M218" s="245"/>
    </row>
    <row r="219" spans="1:14" s="246" customFormat="1" ht="12.75" x14ac:dyDescent="0.2">
      <c r="A219" s="317"/>
      <c r="B219" s="251"/>
      <c r="E219" s="257" t="s">
        <v>35</v>
      </c>
      <c r="F219" s="258"/>
      <c r="G219" s="259"/>
      <c r="H219" s="260">
        <f ca="1">SUMIFS(H122:H205,D122:D205,E219)</f>
        <v>366.8</v>
      </c>
      <c r="J219" s="245"/>
      <c r="K219" s="245"/>
      <c r="L219" s="245"/>
      <c r="M219" s="245"/>
    </row>
    <row r="220" spans="1:14" s="246" customFormat="1" ht="13.5" thickBot="1" x14ac:dyDescent="0.25">
      <c r="A220" s="317"/>
      <c r="B220" s="251"/>
      <c r="E220" s="257" t="s">
        <v>261</v>
      </c>
      <c r="F220" s="258"/>
      <c r="G220" s="261">
        <f ca="1">SUMIFS(H122:H160,I122:I160,E220)</f>
        <v>5676.8</v>
      </c>
      <c r="H220" s="262"/>
      <c r="J220" s="245"/>
      <c r="K220" s="245"/>
      <c r="L220" s="245">
        <f>SUMIFS(H122:H161,I122:I161,I159)</f>
        <v>0</v>
      </c>
      <c r="M220" s="245"/>
    </row>
    <row r="221" spans="1:14" s="246" customFormat="1" ht="14.25" thickTop="1" thickBot="1" x14ac:dyDescent="0.25">
      <c r="A221" s="317"/>
      <c r="B221" s="251"/>
      <c r="E221" s="263"/>
      <c r="F221" s="264"/>
      <c r="G221" s="261">
        <f ca="1">SUM(G215:G220)</f>
        <v>5676.8</v>
      </c>
      <c r="H221" s="262">
        <f ca="1">SUM(H215:H220)</f>
        <v>10118.599999999999</v>
      </c>
      <c r="J221" s="245"/>
      <c r="K221" s="245"/>
      <c r="L221" s="245"/>
      <c r="M221" s="245"/>
    </row>
    <row r="222" spans="1:14" ht="15.75" thickTop="1" x14ac:dyDescent="0.25">
      <c r="G222" s="27"/>
    </row>
    <row r="223" spans="1:14" x14ac:dyDescent="0.25">
      <c r="G223" s="27"/>
    </row>
  </sheetData>
  <dataConsolidate/>
  <mergeCells count="12">
    <mergeCell ref="B165:D165"/>
    <mergeCell ref="E165:H165"/>
    <mergeCell ref="B1:H1"/>
    <mergeCell ref="B119:H119"/>
    <mergeCell ref="B164:H164"/>
    <mergeCell ref="B27:D27"/>
    <mergeCell ref="B30:D30"/>
    <mergeCell ref="B31:D31"/>
    <mergeCell ref="B32:D32"/>
    <mergeCell ref="B35:H35"/>
    <mergeCell ref="B120:D120"/>
    <mergeCell ref="E120:H120"/>
  </mergeCells>
  <dataValidations count="2">
    <dataValidation type="list" allowBlank="1" showInputMessage="1" showErrorMessage="1" sqref="B27:B28">
      <formula1>Ressources</formula1>
    </dataValidation>
    <dataValidation allowBlank="1" showInputMessage="1" showErrorMessage="1" promptTitle="renevus" sqref="B13:B21"/>
  </dataValidations>
  <printOptions horizontalCentered="1" verticalCentered="1"/>
  <pageMargins left="0.23622047244094491" right="0.23622047244094491" top="0.35433070866141736" bottom="0.35433070866141736" header="0.31496062992125984" footer="0.31496062992125984"/>
  <pageSetup paperSize="9" fitToHeight="0" orientation="portrait" errors="blank" r:id="rId1"/>
  <rowBreaks count="1" manualBreakCount="1">
    <brk id="163" max="16383" man="1"/>
  </rowBreaks>
  <ignoredErrors>
    <ignoredError sqref="B40:C40" emptyCellReferenc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I161"/>
  <sheetViews>
    <sheetView topLeftCell="B1" workbookViewId="0">
      <selection activeCell="E8" sqref="E8"/>
    </sheetView>
  </sheetViews>
  <sheetFormatPr baseColWidth="10" defaultRowHeight="15" x14ac:dyDescent="0.25"/>
  <cols>
    <col min="1" max="1" width="11.42578125" hidden="1" customWidth="1"/>
    <col min="2" max="2" width="5.28515625" customWidth="1"/>
    <col min="3" max="3" width="24.42578125" customWidth="1"/>
    <col min="4" max="4" width="26.85546875" customWidth="1"/>
    <col min="5" max="5" width="16.42578125" customWidth="1"/>
    <col min="8" max="8" width="40" customWidth="1"/>
  </cols>
  <sheetData>
    <row r="1" spans="1:9" ht="21" x14ac:dyDescent="0.35">
      <c r="A1" s="182"/>
      <c r="B1" s="182" t="s">
        <v>219</v>
      </c>
    </row>
    <row r="3" spans="1:9" s="183" customFormat="1" ht="30" x14ac:dyDescent="0.25">
      <c r="C3" s="183" t="s">
        <v>220</v>
      </c>
      <c r="D3" s="183" t="s">
        <v>221</v>
      </c>
      <c r="E3" s="17" t="s">
        <v>222</v>
      </c>
      <c r="F3" s="183" t="s">
        <v>223</v>
      </c>
      <c r="G3" s="183" t="s">
        <v>224</v>
      </c>
      <c r="H3" s="183" t="s">
        <v>225</v>
      </c>
      <c r="I3" s="184" t="s">
        <v>230</v>
      </c>
    </row>
    <row r="4" spans="1:9" s="183" customFormat="1" ht="15.75" thickBot="1" x14ac:dyDescent="0.3">
      <c r="E4" s="17"/>
      <c r="I4" s="184"/>
    </row>
    <row r="5" spans="1:9" ht="15.75" thickTop="1" x14ac:dyDescent="0.25">
      <c r="A5" s="207"/>
      <c r="B5" s="339" t="str">
        <f>A17</f>
        <v>janvier</v>
      </c>
      <c r="C5" s="185" t="s">
        <v>226</v>
      </c>
      <c r="D5" s="185" t="s">
        <v>227</v>
      </c>
      <c r="E5" s="185">
        <v>12</v>
      </c>
      <c r="F5" s="185">
        <v>1.5</v>
      </c>
      <c r="G5" s="186">
        <f>E5*F5*0.6</f>
        <v>10.799999999999999</v>
      </c>
      <c r="H5" s="187" t="s">
        <v>228</v>
      </c>
    </row>
    <row r="6" spans="1:9" x14ac:dyDescent="0.25">
      <c r="A6" s="208"/>
      <c r="B6" s="340"/>
      <c r="C6" s="188"/>
      <c r="D6" s="188"/>
      <c r="E6" s="188"/>
      <c r="F6" s="188"/>
      <c r="G6" s="189">
        <f>E6*F6*0.6</f>
        <v>0</v>
      </c>
      <c r="H6" s="190"/>
    </row>
    <row r="7" spans="1:9" x14ac:dyDescent="0.25">
      <c r="A7" s="208"/>
      <c r="B7" s="340"/>
      <c r="C7" s="188"/>
      <c r="D7" s="188"/>
      <c r="E7" s="188">
        <v>360</v>
      </c>
      <c r="F7" s="188">
        <v>28</v>
      </c>
      <c r="G7" s="189">
        <f t="shared" ref="G7:G16" si="0">E7*F7*0.6</f>
        <v>6048</v>
      </c>
      <c r="H7" s="190"/>
    </row>
    <row r="8" spans="1:9" x14ac:dyDescent="0.25">
      <c r="A8" s="208"/>
      <c r="B8" s="340"/>
      <c r="C8" s="188"/>
      <c r="D8" s="188"/>
      <c r="E8" s="188"/>
      <c r="F8" s="188"/>
      <c r="G8" s="189">
        <f t="shared" si="0"/>
        <v>0</v>
      </c>
      <c r="H8" s="190"/>
    </row>
    <row r="9" spans="1:9" x14ac:dyDescent="0.25">
      <c r="A9" s="208"/>
      <c r="B9" s="340"/>
      <c r="C9" s="188"/>
      <c r="D9" s="188"/>
      <c r="E9" s="188"/>
      <c r="F9" s="188"/>
      <c r="G9" s="189">
        <f t="shared" si="0"/>
        <v>0</v>
      </c>
      <c r="H9" s="190"/>
    </row>
    <row r="10" spans="1:9" x14ac:dyDescent="0.25">
      <c r="A10" s="208"/>
      <c r="B10" s="340"/>
      <c r="C10" s="188"/>
      <c r="D10" s="188"/>
      <c r="E10" s="188"/>
      <c r="F10" s="188"/>
      <c r="G10" s="189">
        <f t="shared" si="0"/>
        <v>0</v>
      </c>
      <c r="H10" s="190"/>
    </row>
    <row r="11" spans="1:9" x14ac:dyDescent="0.25">
      <c r="A11" s="208"/>
      <c r="B11" s="340"/>
      <c r="C11" s="188"/>
      <c r="D11" s="188"/>
      <c r="E11" s="188"/>
      <c r="F11" s="188"/>
      <c r="G11" s="189">
        <f t="shared" si="0"/>
        <v>0</v>
      </c>
      <c r="H11" s="190"/>
    </row>
    <row r="12" spans="1:9" x14ac:dyDescent="0.25">
      <c r="A12" s="208"/>
      <c r="B12" s="340"/>
      <c r="C12" s="188"/>
      <c r="D12" s="188"/>
      <c r="E12" s="188"/>
      <c r="F12" s="188"/>
      <c r="G12" s="189">
        <f t="shared" si="0"/>
        <v>0</v>
      </c>
      <c r="H12" s="190"/>
    </row>
    <row r="13" spans="1:9" x14ac:dyDescent="0.25">
      <c r="A13" s="208"/>
      <c r="B13" s="340"/>
      <c r="C13" s="188"/>
      <c r="D13" s="188"/>
      <c r="E13" s="188"/>
      <c r="F13" s="188"/>
      <c r="G13" s="189">
        <f t="shared" si="0"/>
        <v>0</v>
      </c>
      <c r="H13" s="190"/>
    </row>
    <row r="14" spans="1:9" x14ac:dyDescent="0.25">
      <c r="A14" s="208"/>
      <c r="B14" s="340"/>
      <c r="C14" s="188"/>
      <c r="D14" s="188"/>
      <c r="E14" s="188"/>
      <c r="F14" s="188"/>
      <c r="G14" s="189">
        <f t="shared" si="0"/>
        <v>0</v>
      </c>
      <c r="H14" s="190"/>
    </row>
    <row r="15" spans="1:9" x14ac:dyDescent="0.25">
      <c r="A15" s="208"/>
      <c r="B15" s="340"/>
      <c r="C15" s="188"/>
      <c r="D15" s="188"/>
      <c r="E15" s="188"/>
      <c r="F15" s="188"/>
      <c r="G15" s="189">
        <f t="shared" si="0"/>
        <v>0</v>
      </c>
      <c r="H15" s="190"/>
    </row>
    <row r="16" spans="1:9" x14ac:dyDescent="0.25">
      <c r="A16" s="208"/>
      <c r="B16" s="340"/>
      <c r="C16" s="188"/>
      <c r="D16" s="188"/>
      <c r="E16" s="188"/>
      <c r="F16" s="188"/>
      <c r="G16" s="189">
        <f t="shared" si="0"/>
        <v>0</v>
      </c>
      <c r="H16" s="190"/>
    </row>
    <row r="17" spans="1:8" s="1" customFormat="1" ht="15.75" thickBot="1" x14ac:dyDescent="0.3">
      <c r="A17" s="209" t="s">
        <v>133</v>
      </c>
      <c r="B17" s="341"/>
      <c r="C17" s="191" t="s">
        <v>229</v>
      </c>
      <c r="D17" s="191" t="str">
        <f>A17</f>
        <v>janvier</v>
      </c>
      <c r="E17" s="191"/>
      <c r="F17" s="191"/>
      <c r="G17" s="192">
        <f>SUM(G5:G16)</f>
        <v>6058.8</v>
      </c>
      <c r="H17" s="193"/>
    </row>
    <row r="18" spans="1:8" ht="15.75" thickTop="1" x14ac:dyDescent="0.25">
      <c r="A18" s="210"/>
      <c r="B18" s="336" t="str">
        <f>A30</f>
        <v>février</v>
      </c>
      <c r="C18" s="194" t="s">
        <v>226</v>
      </c>
      <c r="D18" s="194" t="s">
        <v>227</v>
      </c>
      <c r="E18" s="194">
        <v>12</v>
      </c>
      <c r="F18" s="194">
        <v>1.5</v>
      </c>
      <c r="G18" s="195">
        <f>E18*F18*0.7</f>
        <v>12.6</v>
      </c>
      <c r="H18" s="196" t="s">
        <v>228</v>
      </c>
    </row>
    <row r="19" spans="1:8" x14ac:dyDescent="0.25">
      <c r="A19" s="211"/>
      <c r="B19" s="337"/>
      <c r="C19" s="8"/>
      <c r="D19" s="8"/>
      <c r="E19" s="8"/>
      <c r="F19" s="8"/>
      <c r="G19" s="197"/>
      <c r="H19" s="31"/>
    </row>
    <row r="20" spans="1:8" x14ac:dyDescent="0.25">
      <c r="A20" s="211"/>
      <c r="B20" s="337"/>
      <c r="C20" s="8"/>
      <c r="D20" s="8"/>
      <c r="E20" s="8"/>
      <c r="F20" s="8"/>
      <c r="G20" s="197"/>
      <c r="H20" s="31"/>
    </row>
    <row r="21" spans="1:8" x14ac:dyDescent="0.25">
      <c r="A21" s="211"/>
      <c r="B21" s="337"/>
      <c r="C21" s="8"/>
      <c r="D21" s="8"/>
      <c r="E21" s="8"/>
      <c r="F21" s="8"/>
      <c r="G21" s="197"/>
      <c r="H21" s="31"/>
    </row>
    <row r="22" spans="1:8" x14ac:dyDescent="0.25">
      <c r="A22" s="211"/>
      <c r="B22" s="337"/>
      <c r="C22" s="8"/>
      <c r="D22" s="8"/>
      <c r="E22" s="8"/>
      <c r="F22" s="8"/>
      <c r="G22" s="197"/>
      <c r="H22" s="31"/>
    </row>
    <row r="23" spans="1:8" x14ac:dyDescent="0.25">
      <c r="A23" s="211"/>
      <c r="B23" s="337"/>
      <c r="C23" s="8"/>
      <c r="D23" s="8"/>
      <c r="E23" s="8"/>
      <c r="F23" s="8"/>
      <c r="G23" s="197"/>
      <c r="H23" s="31"/>
    </row>
    <row r="24" spans="1:8" x14ac:dyDescent="0.25">
      <c r="A24" s="211"/>
      <c r="B24" s="337"/>
      <c r="C24" s="8"/>
      <c r="D24" s="8"/>
      <c r="E24" s="8"/>
      <c r="F24" s="8"/>
      <c r="G24" s="197"/>
      <c r="H24" s="31"/>
    </row>
    <row r="25" spans="1:8" x14ac:dyDescent="0.25">
      <c r="A25" s="211"/>
      <c r="B25" s="337"/>
      <c r="C25" s="8"/>
      <c r="D25" s="8"/>
      <c r="E25" s="8"/>
      <c r="F25" s="8"/>
      <c r="G25" s="197"/>
      <c r="H25" s="31"/>
    </row>
    <row r="26" spans="1:8" x14ac:dyDescent="0.25">
      <c r="A26" s="211"/>
      <c r="B26" s="337"/>
      <c r="C26" s="8"/>
      <c r="D26" s="8"/>
      <c r="E26" s="8"/>
      <c r="F26" s="8"/>
      <c r="G26" s="197"/>
      <c r="H26" s="31"/>
    </row>
    <row r="27" spans="1:8" x14ac:dyDescent="0.25">
      <c r="A27" s="211"/>
      <c r="B27" s="337"/>
      <c r="C27" s="8"/>
      <c r="D27" s="8"/>
      <c r="E27" s="8"/>
      <c r="F27" s="8"/>
      <c r="G27" s="197"/>
      <c r="H27" s="31"/>
    </row>
    <row r="28" spans="1:8" x14ac:dyDescent="0.25">
      <c r="A28" s="211"/>
      <c r="B28" s="337"/>
      <c r="C28" s="8"/>
      <c r="D28" s="8"/>
      <c r="E28" s="8"/>
      <c r="F28" s="8"/>
      <c r="G28" s="197"/>
      <c r="H28" s="31"/>
    </row>
    <row r="29" spans="1:8" x14ac:dyDescent="0.25">
      <c r="A29" s="211"/>
      <c r="B29" s="337"/>
      <c r="C29" s="8"/>
      <c r="D29" s="8"/>
      <c r="E29" s="8"/>
      <c r="F29" s="8"/>
      <c r="G29" s="197"/>
      <c r="H29" s="31"/>
    </row>
    <row r="30" spans="1:8" s="1" customFormat="1" ht="15.75" thickBot="1" x14ac:dyDescent="0.3">
      <c r="A30" s="211" t="s">
        <v>135</v>
      </c>
      <c r="B30" s="338"/>
      <c r="C30" s="198" t="s">
        <v>229</v>
      </c>
      <c r="D30" s="198" t="str">
        <f>A30</f>
        <v>février</v>
      </c>
      <c r="E30" s="198"/>
      <c r="F30" s="198"/>
      <c r="G30" s="199">
        <f>SUM(G18:G29)</f>
        <v>12.6</v>
      </c>
      <c r="H30" s="200"/>
    </row>
    <row r="31" spans="1:8" ht="15.75" thickTop="1" x14ac:dyDescent="0.25">
      <c r="A31" s="207"/>
      <c r="B31" s="339" t="str">
        <f t="shared" ref="B31" si="1">D43</f>
        <v>mars</v>
      </c>
      <c r="C31" s="185" t="s">
        <v>226</v>
      </c>
      <c r="D31" s="185" t="s">
        <v>227</v>
      </c>
      <c r="E31" s="185">
        <v>12</v>
      </c>
      <c r="F31" s="185">
        <v>1.5</v>
      </c>
      <c r="G31" s="186">
        <f>E31*F31*0.7</f>
        <v>12.6</v>
      </c>
      <c r="H31" s="187" t="s">
        <v>228</v>
      </c>
    </row>
    <row r="32" spans="1:8" x14ac:dyDescent="0.25">
      <c r="A32" s="208"/>
      <c r="B32" s="340"/>
      <c r="C32" s="188"/>
      <c r="D32" s="188"/>
      <c r="E32" s="188"/>
      <c r="F32" s="188"/>
      <c r="G32" s="189"/>
      <c r="H32" s="190"/>
    </row>
    <row r="33" spans="1:8" x14ac:dyDescent="0.25">
      <c r="A33" s="208"/>
      <c r="B33" s="340"/>
      <c r="C33" s="188"/>
      <c r="D33" s="188"/>
      <c r="E33" s="188"/>
      <c r="F33" s="188"/>
      <c r="G33" s="189"/>
      <c r="H33" s="190"/>
    </row>
    <row r="34" spans="1:8" x14ac:dyDescent="0.25">
      <c r="A34" s="208"/>
      <c r="B34" s="340"/>
      <c r="C34" s="188"/>
      <c r="D34" s="188"/>
      <c r="E34" s="188"/>
      <c r="F34" s="188"/>
      <c r="G34" s="189"/>
      <c r="H34" s="190"/>
    </row>
    <row r="35" spans="1:8" x14ac:dyDescent="0.25">
      <c r="A35" s="208"/>
      <c r="B35" s="340"/>
      <c r="C35" s="188"/>
      <c r="D35" s="188"/>
      <c r="E35" s="188"/>
      <c r="F35" s="188"/>
      <c r="G35" s="189"/>
      <c r="H35" s="190"/>
    </row>
    <row r="36" spans="1:8" x14ac:dyDescent="0.25">
      <c r="A36" s="208"/>
      <c r="B36" s="340"/>
      <c r="C36" s="188"/>
      <c r="D36" s="188"/>
      <c r="E36" s="188"/>
      <c r="F36" s="188"/>
      <c r="G36" s="189"/>
      <c r="H36" s="190"/>
    </row>
    <row r="37" spans="1:8" x14ac:dyDescent="0.25">
      <c r="A37" s="208"/>
      <c r="B37" s="340"/>
      <c r="C37" s="188"/>
      <c r="D37" s="188"/>
      <c r="E37" s="188"/>
      <c r="F37" s="188"/>
      <c r="G37" s="189"/>
      <c r="H37" s="190"/>
    </row>
    <row r="38" spans="1:8" x14ac:dyDescent="0.25">
      <c r="A38" s="208"/>
      <c r="B38" s="340"/>
      <c r="C38" s="188"/>
      <c r="D38" s="188"/>
      <c r="E38" s="188"/>
      <c r="F38" s="188"/>
      <c r="G38" s="189"/>
      <c r="H38" s="190"/>
    </row>
    <row r="39" spans="1:8" x14ac:dyDescent="0.25">
      <c r="A39" s="208"/>
      <c r="B39" s="340"/>
      <c r="C39" s="188"/>
      <c r="D39" s="188"/>
      <c r="E39" s="188"/>
      <c r="F39" s="188"/>
      <c r="G39" s="189"/>
      <c r="H39" s="190"/>
    </row>
    <row r="40" spans="1:8" x14ac:dyDescent="0.25">
      <c r="A40" s="208"/>
      <c r="B40" s="340"/>
      <c r="C40" s="188"/>
      <c r="D40" s="188"/>
      <c r="E40" s="188"/>
      <c r="F40" s="188"/>
      <c r="G40" s="189"/>
      <c r="H40" s="190"/>
    </row>
    <row r="41" spans="1:8" x14ac:dyDescent="0.25">
      <c r="A41" s="208"/>
      <c r="B41" s="340"/>
      <c r="C41" s="188"/>
      <c r="D41" s="188"/>
      <c r="E41" s="188"/>
      <c r="F41" s="188"/>
      <c r="G41" s="189"/>
      <c r="H41" s="190"/>
    </row>
    <row r="42" spans="1:8" x14ac:dyDescent="0.25">
      <c r="A42" s="208"/>
      <c r="B42" s="340"/>
      <c r="C42" s="188"/>
      <c r="D42" s="188"/>
      <c r="E42" s="188"/>
      <c r="F42" s="188"/>
      <c r="G42" s="189"/>
      <c r="H42" s="190"/>
    </row>
    <row r="43" spans="1:8" s="1" customFormat="1" ht="15.75" thickBot="1" x14ac:dyDescent="0.3">
      <c r="A43" s="208" t="s">
        <v>166</v>
      </c>
      <c r="B43" s="341"/>
      <c r="C43" s="191" t="s">
        <v>229</v>
      </c>
      <c r="D43" s="191" t="str">
        <f>A43</f>
        <v>mars</v>
      </c>
      <c r="E43" s="191"/>
      <c r="F43" s="191"/>
      <c r="G43" s="192">
        <f>SUM(G31:G42)</f>
        <v>12.6</v>
      </c>
      <c r="H43" s="193"/>
    </row>
    <row r="44" spans="1:8" ht="15.75" thickTop="1" x14ac:dyDescent="0.25">
      <c r="A44" s="210"/>
      <c r="B44" s="336" t="str">
        <f t="shared" ref="B44" si="2">D56</f>
        <v>avril</v>
      </c>
      <c r="C44" s="194" t="s">
        <v>226</v>
      </c>
      <c r="D44" s="194" t="s">
        <v>227</v>
      </c>
      <c r="E44" s="194">
        <v>12</v>
      </c>
      <c r="F44" s="194">
        <v>1.5</v>
      </c>
      <c r="G44" s="195">
        <f>E44*F44*0.7</f>
        <v>12.6</v>
      </c>
      <c r="H44" s="196" t="s">
        <v>228</v>
      </c>
    </row>
    <row r="45" spans="1:8" x14ac:dyDescent="0.25">
      <c r="A45" s="211"/>
      <c r="B45" s="337"/>
      <c r="C45" s="8"/>
      <c r="D45" s="8"/>
      <c r="E45" s="8"/>
      <c r="F45" s="8"/>
      <c r="G45" s="197"/>
      <c r="H45" s="31"/>
    </row>
    <row r="46" spans="1:8" x14ac:dyDescent="0.25">
      <c r="A46" s="211"/>
      <c r="B46" s="337"/>
      <c r="C46" s="8"/>
      <c r="D46" s="8"/>
      <c r="E46" s="8"/>
      <c r="F46" s="8"/>
      <c r="G46" s="197"/>
      <c r="H46" s="31"/>
    </row>
    <row r="47" spans="1:8" x14ac:dyDescent="0.25">
      <c r="A47" s="211"/>
      <c r="B47" s="337"/>
      <c r="C47" s="8"/>
      <c r="D47" s="8"/>
      <c r="E47" s="8"/>
      <c r="F47" s="8"/>
      <c r="G47" s="197"/>
      <c r="H47" s="31"/>
    </row>
    <row r="48" spans="1:8" x14ac:dyDescent="0.25">
      <c r="A48" s="211"/>
      <c r="B48" s="337"/>
      <c r="C48" s="8"/>
      <c r="D48" s="8"/>
      <c r="E48" s="8"/>
      <c r="F48" s="8"/>
      <c r="G48" s="197"/>
      <c r="H48" s="31"/>
    </row>
    <row r="49" spans="1:8" x14ac:dyDescent="0.25">
      <c r="A49" s="211"/>
      <c r="B49" s="337"/>
      <c r="C49" s="8"/>
      <c r="D49" s="8"/>
      <c r="E49" s="8"/>
      <c r="F49" s="8"/>
      <c r="G49" s="197"/>
      <c r="H49" s="31"/>
    </row>
    <row r="50" spans="1:8" x14ac:dyDescent="0.25">
      <c r="A50" s="211"/>
      <c r="B50" s="337"/>
      <c r="C50" s="8"/>
      <c r="D50" s="8"/>
      <c r="E50" s="8"/>
      <c r="F50" s="8"/>
      <c r="G50" s="197"/>
      <c r="H50" s="31"/>
    </row>
    <row r="51" spans="1:8" x14ac:dyDescent="0.25">
      <c r="A51" s="211"/>
      <c r="B51" s="337"/>
      <c r="C51" s="8"/>
      <c r="D51" s="8"/>
      <c r="E51" s="8"/>
      <c r="F51" s="8"/>
      <c r="G51" s="197"/>
      <c r="H51" s="31"/>
    </row>
    <row r="52" spans="1:8" x14ac:dyDescent="0.25">
      <c r="A52" s="211"/>
      <c r="B52" s="337"/>
      <c r="C52" s="8"/>
      <c r="D52" s="8"/>
      <c r="E52" s="8"/>
      <c r="F52" s="8"/>
      <c r="G52" s="197"/>
      <c r="H52" s="31"/>
    </row>
    <row r="53" spans="1:8" x14ac:dyDescent="0.25">
      <c r="A53" s="211"/>
      <c r="B53" s="337"/>
      <c r="C53" s="8"/>
      <c r="D53" s="8"/>
      <c r="E53" s="8"/>
      <c r="F53" s="8"/>
      <c r="G53" s="197"/>
      <c r="H53" s="31"/>
    </row>
    <row r="54" spans="1:8" x14ac:dyDescent="0.25">
      <c r="A54" s="211"/>
      <c r="B54" s="337"/>
      <c r="C54" s="8"/>
      <c r="D54" s="8"/>
      <c r="E54" s="8"/>
      <c r="F54" s="8"/>
      <c r="G54" s="197"/>
      <c r="H54" s="31"/>
    </row>
    <row r="55" spans="1:8" x14ac:dyDescent="0.25">
      <c r="A55" s="211"/>
      <c r="B55" s="337"/>
      <c r="C55" s="8"/>
      <c r="D55" s="8"/>
      <c r="E55" s="8"/>
      <c r="F55" s="8"/>
      <c r="G55" s="197"/>
      <c r="H55" s="31"/>
    </row>
    <row r="56" spans="1:8" ht="15.75" thickBot="1" x14ac:dyDescent="0.3">
      <c r="A56" s="211" t="s">
        <v>167</v>
      </c>
      <c r="B56" s="338"/>
      <c r="C56" s="198" t="s">
        <v>229</v>
      </c>
      <c r="D56" s="198" t="str">
        <f>A56</f>
        <v>avril</v>
      </c>
      <c r="E56" s="198"/>
      <c r="F56" s="198"/>
      <c r="G56" s="199">
        <f>SUM(G44:G55)</f>
        <v>12.6</v>
      </c>
      <c r="H56" s="200"/>
    </row>
    <row r="57" spans="1:8" ht="15.75" thickTop="1" x14ac:dyDescent="0.25">
      <c r="A57" s="207"/>
      <c r="B57" s="339" t="str">
        <f t="shared" ref="B57" si="3">D69</f>
        <v>mai</v>
      </c>
      <c r="C57" s="185" t="s">
        <v>226</v>
      </c>
      <c r="D57" s="185" t="s">
        <v>227</v>
      </c>
      <c r="E57" s="185">
        <v>12</v>
      </c>
      <c r="F57" s="185">
        <v>1.5</v>
      </c>
      <c r="G57" s="186">
        <f>E57*F57*0.7</f>
        <v>12.6</v>
      </c>
      <c r="H57" s="187" t="s">
        <v>228</v>
      </c>
    </row>
    <row r="58" spans="1:8" x14ac:dyDescent="0.25">
      <c r="A58" s="208"/>
      <c r="B58" s="340"/>
      <c r="C58" s="188"/>
      <c r="D58" s="188"/>
      <c r="E58" s="188"/>
      <c r="F58" s="188"/>
      <c r="G58" s="189"/>
      <c r="H58" s="190"/>
    </row>
    <row r="59" spans="1:8" x14ac:dyDescent="0.25">
      <c r="A59" s="208"/>
      <c r="B59" s="340"/>
      <c r="C59" s="188"/>
      <c r="D59" s="188"/>
      <c r="E59" s="188"/>
      <c r="F59" s="188"/>
      <c r="G59" s="189"/>
      <c r="H59" s="190"/>
    </row>
    <row r="60" spans="1:8" x14ac:dyDescent="0.25">
      <c r="A60" s="208"/>
      <c r="B60" s="340"/>
      <c r="C60" s="188"/>
      <c r="D60" s="188"/>
      <c r="E60" s="188"/>
      <c r="F60" s="188"/>
      <c r="G60" s="189"/>
      <c r="H60" s="190"/>
    </row>
    <row r="61" spans="1:8" x14ac:dyDescent="0.25">
      <c r="A61" s="208"/>
      <c r="B61" s="340"/>
      <c r="C61" s="188"/>
      <c r="D61" s="188"/>
      <c r="E61" s="188"/>
      <c r="F61" s="188"/>
      <c r="G61" s="189"/>
      <c r="H61" s="190"/>
    </row>
    <row r="62" spans="1:8" x14ac:dyDescent="0.25">
      <c r="A62" s="208"/>
      <c r="B62" s="340"/>
      <c r="C62" s="188"/>
      <c r="D62" s="188"/>
      <c r="E62" s="188"/>
      <c r="F62" s="188"/>
      <c r="G62" s="189"/>
      <c r="H62" s="190"/>
    </row>
    <row r="63" spans="1:8" x14ac:dyDescent="0.25">
      <c r="A63" s="208"/>
      <c r="B63" s="340"/>
      <c r="C63" s="188"/>
      <c r="D63" s="188"/>
      <c r="E63" s="188"/>
      <c r="F63" s="188"/>
      <c r="G63" s="189"/>
      <c r="H63" s="190"/>
    </row>
    <row r="64" spans="1:8" x14ac:dyDescent="0.25">
      <c r="A64" s="208"/>
      <c r="B64" s="340"/>
      <c r="C64" s="188"/>
      <c r="D64" s="188"/>
      <c r="E64" s="188"/>
      <c r="F64" s="188"/>
      <c r="G64" s="189"/>
      <c r="H64" s="190"/>
    </row>
    <row r="65" spans="1:8" x14ac:dyDescent="0.25">
      <c r="A65" s="208"/>
      <c r="B65" s="340"/>
      <c r="C65" s="188"/>
      <c r="D65" s="188"/>
      <c r="E65" s="188"/>
      <c r="F65" s="188"/>
      <c r="G65" s="189"/>
      <c r="H65" s="190"/>
    </row>
    <row r="66" spans="1:8" x14ac:dyDescent="0.25">
      <c r="A66" s="208"/>
      <c r="B66" s="340"/>
      <c r="C66" s="188"/>
      <c r="D66" s="188"/>
      <c r="E66" s="188"/>
      <c r="F66" s="188"/>
      <c r="G66" s="189"/>
      <c r="H66" s="190"/>
    </row>
    <row r="67" spans="1:8" x14ac:dyDescent="0.25">
      <c r="A67" s="208"/>
      <c r="B67" s="340"/>
      <c r="C67" s="188"/>
      <c r="D67" s="188"/>
      <c r="E67" s="188"/>
      <c r="F67" s="188"/>
      <c r="G67" s="189"/>
      <c r="H67" s="190"/>
    </row>
    <row r="68" spans="1:8" x14ac:dyDescent="0.25">
      <c r="A68" s="208"/>
      <c r="B68" s="340"/>
      <c r="C68" s="188"/>
      <c r="D68" s="188"/>
      <c r="E68" s="188"/>
      <c r="F68" s="188"/>
      <c r="G68" s="189"/>
      <c r="H68" s="190"/>
    </row>
    <row r="69" spans="1:8" s="1" customFormat="1" x14ac:dyDescent="0.25">
      <c r="A69" s="208" t="s">
        <v>134</v>
      </c>
      <c r="B69" s="340"/>
      <c r="C69" s="201" t="s">
        <v>229</v>
      </c>
      <c r="D69" s="201" t="str">
        <f>A69</f>
        <v>mai</v>
      </c>
      <c r="E69" s="201"/>
      <c r="F69" s="201"/>
      <c r="G69" s="202">
        <f>SUM(G57:G68)</f>
        <v>12.6</v>
      </c>
      <c r="H69" s="203"/>
    </row>
    <row r="70" spans="1:8" x14ac:dyDescent="0.25">
      <c r="A70" s="211"/>
      <c r="B70" s="342" t="str">
        <f t="shared" ref="B70" si="4">D82</f>
        <v>juin</v>
      </c>
      <c r="C70" s="8" t="s">
        <v>226</v>
      </c>
      <c r="D70" s="8" t="s">
        <v>227</v>
      </c>
      <c r="E70" s="8">
        <v>12</v>
      </c>
      <c r="F70" s="8">
        <v>1.5</v>
      </c>
      <c r="G70" s="197">
        <f>E70*F70*0.7</f>
        <v>12.6</v>
      </c>
      <c r="H70" s="31" t="s">
        <v>228</v>
      </c>
    </row>
    <row r="71" spans="1:8" x14ac:dyDescent="0.25">
      <c r="A71" s="211"/>
      <c r="B71" s="337"/>
      <c r="C71" s="8"/>
      <c r="D71" s="8"/>
      <c r="E71" s="8"/>
      <c r="F71" s="8"/>
      <c r="G71" s="197"/>
      <c r="H71" s="31"/>
    </row>
    <row r="72" spans="1:8" x14ac:dyDescent="0.25">
      <c r="A72" s="211"/>
      <c r="B72" s="337"/>
      <c r="C72" s="8"/>
      <c r="D72" s="8"/>
      <c r="E72" s="8"/>
      <c r="F72" s="8"/>
      <c r="G72" s="197"/>
      <c r="H72" s="31"/>
    </row>
    <row r="73" spans="1:8" x14ac:dyDescent="0.25">
      <c r="A73" s="211"/>
      <c r="B73" s="337"/>
      <c r="C73" s="8"/>
      <c r="D73" s="8"/>
      <c r="E73" s="8"/>
      <c r="F73" s="8"/>
      <c r="G73" s="197"/>
      <c r="H73" s="31"/>
    </row>
    <row r="74" spans="1:8" x14ac:dyDescent="0.25">
      <c r="A74" s="211"/>
      <c r="B74" s="337"/>
      <c r="C74" s="8"/>
      <c r="D74" s="8"/>
      <c r="E74" s="8"/>
      <c r="F74" s="8"/>
      <c r="G74" s="197"/>
      <c r="H74" s="31"/>
    </row>
    <row r="75" spans="1:8" x14ac:dyDescent="0.25">
      <c r="A75" s="211"/>
      <c r="B75" s="337"/>
      <c r="C75" s="8"/>
      <c r="D75" s="8"/>
      <c r="E75" s="8"/>
      <c r="F75" s="8"/>
      <c r="G75" s="197"/>
      <c r="H75" s="31"/>
    </row>
    <row r="76" spans="1:8" x14ac:dyDescent="0.25">
      <c r="A76" s="211"/>
      <c r="B76" s="337"/>
      <c r="C76" s="8"/>
      <c r="D76" s="8"/>
      <c r="E76" s="8"/>
      <c r="F76" s="8"/>
      <c r="G76" s="197"/>
      <c r="H76" s="31"/>
    </row>
    <row r="77" spans="1:8" x14ac:dyDescent="0.25">
      <c r="A77" s="211"/>
      <c r="B77" s="337"/>
      <c r="C77" s="8"/>
      <c r="D77" s="8"/>
      <c r="E77" s="8"/>
      <c r="F77" s="8"/>
      <c r="G77" s="197"/>
      <c r="H77" s="31"/>
    </row>
    <row r="78" spans="1:8" x14ac:dyDescent="0.25">
      <c r="A78" s="211"/>
      <c r="B78" s="337"/>
      <c r="C78" s="8"/>
      <c r="D78" s="8"/>
      <c r="E78" s="8"/>
      <c r="F78" s="8"/>
      <c r="G78" s="197"/>
      <c r="H78" s="31"/>
    </row>
    <row r="79" spans="1:8" x14ac:dyDescent="0.25">
      <c r="A79" s="211"/>
      <c r="B79" s="337"/>
      <c r="C79" s="8"/>
      <c r="D79" s="8"/>
      <c r="E79" s="8"/>
      <c r="F79" s="8"/>
      <c r="G79" s="197"/>
      <c r="H79" s="31"/>
    </row>
    <row r="80" spans="1:8" x14ac:dyDescent="0.25">
      <c r="A80" s="211"/>
      <c r="B80" s="337"/>
      <c r="C80" s="8"/>
      <c r="D80" s="8"/>
      <c r="E80" s="8"/>
      <c r="F80" s="8"/>
      <c r="G80" s="197"/>
      <c r="H80" s="31"/>
    </row>
    <row r="81" spans="1:8" x14ac:dyDescent="0.25">
      <c r="A81" s="211"/>
      <c r="B81" s="337"/>
      <c r="C81" s="8"/>
      <c r="D81" s="8"/>
      <c r="E81" s="8"/>
      <c r="F81" s="8"/>
      <c r="G81" s="197"/>
      <c r="H81" s="31"/>
    </row>
    <row r="82" spans="1:8" ht="15.75" thickBot="1" x14ac:dyDescent="0.3">
      <c r="A82" s="211" t="s">
        <v>168</v>
      </c>
      <c r="B82" s="338"/>
      <c r="C82" s="198" t="s">
        <v>229</v>
      </c>
      <c r="D82" s="198" t="str">
        <f>A82</f>
        <v>juin</v>
      </c>
      <c r="E82" s="198"/>
      <c r="F82" s="198"/>
      <c r="G82" s="199">
        <f>SUM(G70:G81)</f>
        <v>12.6</v>
      </c>
      <c r="H82" s="200"/>
    </row>
    <row r="83" spans="1:8" ht="15.75" thickTop="1" x14ac:dyDescent="0.25">
      <c r="A83" s="207"/>
      <c r="B83" s="339" t="str">
        <f t="shared" ref="B83" si="5">D95</f>
        <v>juillet</v>
      </c>
      <c r="C83" s="185" t="s">
        <v>226</v>
      </c>
      <c r="D83" s="185" t="s">
        <v>227</v>
      </c>
      <c r="E83" s="185">
        <v>12</v>
      </c>
      <c r="F83" s="185">
        <v>1.5</v>
      </c>
      <c r="G83" s="186">
        <f>E83*F83*0.7</f>
        <v>12.6</v>
      </c>
      <c r="H83" s="187" t="s">
        <v>228</v>
      </c>
    </row>
    <row r="84" spans="1:8" x14ac:dyDescent="0.25">
      <c r="A84" s="208"/>
      <c r="B84" s="340"/>
      <c r="C84" s="188"/>
      <c r="D84" s="188"/>
      <c r="E84" s="188"/>
      <c r="F84" s="188"/>
      <c r="G84" s="189"/>
      <c r="H84" s="190"/>
    </row>
    <row r="85" spans="1:8" x14ac:dyDescent="0.25">
      <c r="A85" s="208"/>
      <c r="B85" s="340"/>
      <c r="C85" s="188"/>
      <c r="D85" s="188"/>
      <c r="E85" s="188"/>
      <c r="F85" s="188"/>
      <c r="G85" s="189"/>
      <c r="H85" s="190"/>
    </row>
    <row r="86" spans="1:8" x14ac:dyDescent="0.25">
      <c r="A86" s="208"/>
      <c r="B86" s="340"/>
      <c r="C86" s="188"/>
      <c r="D86" s="188"/>
      <c r="E86" s="188"/>
      <c r="F86" s="188"/>
      <c r="G86" s="189"/>
      <c r="H86" s="190"/>
    </row>
    <row r="87" spans="1:8" x14ac:dyDescent="0.25">
      <c r="A87" s="208"/>
      <c r="B87" s="340"/>
      <c r="C87" s="188"/>
      <c r="D87" s="188"/>
      <c r="E87" s="188"/>
      <c r="F87" s="188"/>
      <c r="G87" s="189"/>
      <c r="H87" s="190"/>
    </row>
    <row r="88" spans="1:8" x14ac:dyDescent="0.25">
      <c r="A88" s="208"/>
      <c r="B88" s="340"/>
      <c r="C88" s="188"/>
      <c r="D88" s="188"/>
      <c r="E88" s="188"/>
      <c r="F88" s="188"/>
      <c r="G88" s="189"/>
      <c r="H88" s="190"/>
    </row>
    <row r="89" spans="1:8" x14ac:dyDescent="0.25">
      <c r="A89" s="208"/>
      <c r="B89" s="340"/>
      <c r="C89" s="188"/>
      <c r="D89" s="188"/>
      <c r="E89" s="188"/>
      <c r="F89" s="188"/>
      <c r="G89" s="189"/>
      <c r="H89" s="190"/>
    </row>
    <row r="90" spans="1:8" x14ac:dyDescent="0.25">
      <c r="A90" s="208"/>
      <c r="B90" s="340"/>
      <c r="C90" s="188"/>
      <c r="D90" s="188"/>
      <c r="E90" s="188"/>
      <c r="F90" s="188"/>
      <c r="G90" s="189"/>
      <c r="H90" s="190"/>
    </row>
    <row r="91" spans="1:8" x14ac:dyDescent="0.25">
      <c r="A91" s="208"/>
      <c r="B91" s="340"/>
      <c r="C91" s="188"/>
      <c r="D91" s="188"/>
      <c r="E91" s="188"/>
      <c r="F91" s="188"/>
      <c r="G91" s="189"/>
      <c r="H91" s="190"/>
    </row>
    <row r="92" spans="1:8" x14ac:dyDescent="0.25">
      <c r="A92" s="208"/>
      <c r="B92" s="340"/>
      <c r="C92" s="188"/>
      <c r="D92" s="188"/>
      <c r="E92" s="188"/>
      <c r="F92" s="188"/>
      <c r="G92" s="189"/>
      <c r="H92" s="190"/>
    </row>
    <row r="93" spans="1:8" x14ac:dyDescent="0.25">
      <c r="A93" s="208"/>
      <c r="B93" s="340"/>
      <c r="C93" s="188"/>
      <c r="D93" s="188"/>
      <c r="E93" s="188"/>
      <c r="F93" s="188"/>
      <c r="G93" s="189"/>
      <c r="H93" s="190"/>
    </row>
    <row r="94" spans="1:8" x14ac:dyDescent="0.25">
      <c r="A94" s="208"/>
      <c r="B94" s="340"/>
      <c r="C94" s="188"/>
      <c r="D94" s="188"/>
      <c r="E94" s="188"/>
      <c r="F94" s="188"/>
      <c r="G94" s="189"/>
      <c r="H94" s="190"/>
    </row>
    <row r="95" spans="1:8" s="1" customFormat="1" ht="15.75" thickBot="1" x14ac:dyDescent="0.3">
      <c r="A95" s="208" t="s">
        <v>169</v>
      </c>
      <c r="B95" s="341"/>
      <c r="C95" s="191" t="s">
        <v>229</v>
      </c>
      <c r="D95" s="191" t="str">
        <f>A95</f>
        <v>juillet</v>
      </c>
      <c r="E95" s="191"/>
      <c r="F95" s="191"/>
      <c r="G95" s="192">
        <f>SUM(G83:G94)</f>
        <v>12.6</v>
      </c>
      <c r="H95" s="193"/>
    </row>
    <row r="96" spans="1:8" s="40" customFormat="1" ht="15.75" thickTop="1" x14ac:dyDescent="0.25">
      <c r="A96" s="212"/>
      <c r="B96" s="336" t="str">
        <f t="shared" ref="B96" si="6">D108</f>
        <v>août</v>
      </c>
      <c r="C96" s="204" t="s">
        <v>226</v>
      </c>
      <c r="D96" s="204" t="s">
        <v>227</v>
      </c>
      <c r="E96" s="204">
        <v>12</v>
      </c>
      <c r="F96" s="204">
        <v>1.5</v>
      </c>
      <c r="G96" s="205">
        <f>E96*F96*0.7</f>
        <v>12.6</v>
      </c>
      <c r="H96" s="206" t="s">
        <v>228</v>
      </c>
    </row>
    <row r="97" spans="1:8" x14ac:dyDescent="0.25">
      <c r="A97" s="211"/>
      <c r="B97" s="337"/>
      <c r="C97" s="8"/>
      <c r="D97" s="8"/>
      <c r="E97" s="8"/>
      <c r="F97" s="8"/>
      <c r="G97" s="197"/>
      <c r="H97" s="31"/>
    </row>
    <row r="98" spans="1:8" x14ac:dyDescent="0.25">
      <c r="A98" s="211"/>
      <c r="B98" s="337"/>
      <c r="C98" s="8"/>
      <c r="D98" s="8"/>
      <c r="E98" s="8"/>
      <c r="F98" s="8"/>
      <c r="G98" s="197"/>
      <c r="H98" s="31"/>
    </row>
    <row r="99" spans="1:8" x14ac:dyDescent="0.25">
      <c r="A99" s="211"/>
      <c r="B99" s="337"/>
      <c r="C99" s="8"/>
      <c r="D99" s="8"/>
      <c r="E99" s="8"/>
      <c r="F99" s="8"/>
      <c r="G99" s="197"/>
      <c r="H99" s="31"/>
    </row>
    <row r="100" spans="1:8" x14ac:dyDescent="0.25">
      <c r="A100" s="211"/>
      <c r="B100" s="337"/>
      <c r="C100" s="8"/>
      <c r="D100" s="8"/>
      <c r="E100" s="8"/>
      <c r="F100" s="8"/>
      <c r="G100" s="197"/>
      <c r="H100" s="31"/>
    </row>
    <row r="101" spans="1:8" x14ac:dyDescent="0.25">
      <c r="A101" s="211"/>
      <c r="B101" s="337"/>
      <c r="C101" s="8"/>
      <c r="D101" s="8"/>
      <c r="E101" s="8"/>
      <c r="F101" s="8"/>
      <c r="G101" s="197"/>
      <c r="H101" s="31"/>
    </row>
    <row r="102" spans="1:8" x14ac:dyDescent="0.25">
      <c r="A102" s="211"/>
      <c r="B102" s="337"/>
      <c r="C102" s="8"/>
      <c r="D102" s="8"/>
      <c r="E102" s="8"/>
      <c r="F102" s="8"/>
      <c r="G102" s="197"/>
      <c r="H102" s="31"/>
    </row>
    <row r="103" spans="1:8" x14ac:dyDescent="0.25">
      <c r="A103" s="211"/>
      <c r="B103" s="337"/>
      <c r="C103" s="8"/>
      <c r="D103" s="8"/>
      <c r="E103" s="8"/>
      <c r="F103" s="8"/>
      <c r="G103" s="197"/>
      <c r="H103" s="31"/>
    </row>
    <row r="104" spans="1:8" x14ac:dyDescent="0.25">
      <c r="A104" s="211"/>
      <c r="B104" s="337"/>
      <c r="C104" s="8"/>
      <c r="D104" s="8"/>
      <c r="E104" s="8"/>
      <c r="F104" s="8"/>
      <c r="G104" s="197"/>
      <c r="H104" s="31"/>
    </row>
    <row r="105" spans="1:8" x14ac:dyDescent="0.25">
      <c r="A105" s="211"/>
      <c r="B105" s="337"/>
      <c r="C105" s="8"/>
      <c r="D105" s="8"/>
      <c r="E105" s="8"/>
      <c r="F105" s="8"/>
      <c r="G105" s="197"/>
      <c r="H105" s="31"/>
    </row>
    <row r="106" spans="1:8" x14ac:dyDescent="0.25">
      <c r="A106" s="211"/>
      <c r="B106" s="337"/>
      <c r="C106" s="8"/>
      <c r="D106" s="8"/>
      <c r="E106" s="8"/>
      <c r="F106" s="8"/>
      <c r="G106" s="197"/>
      <c r="H106" s="31"/>
    </row>
    <row r="107" spans="1:8" x14ac:dyDescent="0.25">
      <c r="A107" s="211"/>
      <c r="B107" s="337"/>
      <c r="C107" s="8"/>
      <c r="D107" s="8"/>
      <c r="E107" s="8"/>
      <c r="F107" s="8"/>
      <c r="G107" s="197"/>
      <c r="H107" s="31"/>
    </row>
    <row r="108" spans="1:8" ht="15.75" thickBot="1" x14ac:dyDescent="0.3">
      <c r="A108" s="211" t="s">
        <v>170</v>
      </c>
      <c r="B108" s="338"/>
      <c r="C108" s="198" t="s">
        <v>229</v>
      </c>
      <c r="D108" s="198" t="str">
        <f>A108</f>
        <v>août</v>
      </c>
      <c r="E108" s="198"/>
      <c r="F108" s="198"/>
      <c r="G108" s="199">
        <f>SUM(G96:G107)</f>
        <v>12.6</v>
      </c>
      <c r="H108" s="200"/>
    </row>
    <row r="109" spans="1:8" ht="15.75" thickTop="1" x14ac:dyDescent="0.25">
      <c r="A109" s="207"/>
      <c r="B109" s="339" t="str">
        <f t="shared" ref="B109" si="7">D121</f>
        <v>septembre</v>
      </c>
      <c r="C109" s="185" t="s">
        <v>226</v>
      </c>
      <c r="D109" s="185" t="s">
        <v>227</v>
      </c>
      <c r="E109" s="185">
        <v>12</v>
      </c>
      <c r="F109" s="185">
        <v>1.5</v>
      </c>
      <c r="G109" s="186">
        <f>E109*F109*0.7</f>
        <v>12.6</v>
      </c>
      <c r="H109" s="187" t="s">
        <v>228</v>
      </c>
    </row>
    <row r="110" spans="1:8" x14ac:dyDescent="0.25">
      <c r="A110" s="208"/>
      <c r="B110" s="340"/>
      <c r="C110" s="188"/>
      <c r="D110" s="188"/>
      <c r="E110" s="188"/>
      <c r="F110" s="188"/>
      <c r="G110" s="189"/>
      <c r="H110" s="190"/>
    </row>
    <row r="111" spans="1:8" x14ac:dyDescent="0.25">
      <c r="A111" s="208"/>
      <c r="B111" s="340"/>
      <c r="C111" s="188"/>
      <c r="D111" s="188"/>
      <c r="E111" s="188"/>
      <c r="F111" s="188"/>
      <c r="G111" s="189"/>
      <c r="H111" s="190"/>
    </row>
    <row r="112" spans="1:8" x14ac:dyDescent="0.25">
      <c r="A112" s="208"/>
      <c r="B112" s="340"/>
      <c r="C112" s="188"/>
      <c r="D112" s="188"/>
      <c r="E112" s="188"/>
      <c r="F112" s="188"/>
      <c r="G112" s="189"/>
      <c r="H112" s="190"/>
    </row>
    <row r="113" spans="1:8" x14ac:dyDescent="0.25">
      <c r="A113" s="208"/>
      <c r="B113" s="340"/>
      <c r="C113" s="188"/>
      <c r="D113" s="188"/>
      <c r="E113" s="188"/>
      <c r="F113" s="188"/>
      <c r="G113" s="189"/>
      <c r="H113" s="190"/>
    </row>
    <row r="114" spans="1:8" x14ac:dyDescent="0.25">
      <c r="A114" s="208"/>
      <c r="B114" s="340"/>
      <c r="C114" s="188"/>
      <c r="D114" s="188"/>
      <c r="E114" s="188"/>
      <c r="F114" s="188"/>
      <c r="G114" s="189"/>
      <c r="H114" s="190"/>
    </row>
    <row r="115" spans="1:8" x14ac:dyDescent="0.25">
      <c r="A115" s="208"/>
      <c r="B115" s="340"/>
      <c r="C115" s="188"/>
      <c r="D115" s="188"/>
      <c r="E115" s="188"/>
      <c r="F115" s="188"/>
      <c r="G115" s="189"/>
      <c r="H115" s="190"/>
    </row>
    <row r="116" spans="1:8" x14ac:dyDescent="0.25">
      <c r="A116" s="208"/>
      <c r="B116" s="340"/>
      <c r="C116" s="188"/>
      <c r="D116" s="188"/>
      <c r="E116" s="188"/>
      <c r="F116" s="188"/>
      <c r="G116" s="189"/>
      <c r="H116" s="190"/>
    </row>
    <row r="117" spans="1:8" x14ac:dyDescent="0.25">
      <c r="A117" s="208"/>
      <c r="B117" s="340"/>
      <c r="C117" s="188"/>
      <c r="D117" s="188"/>
      <c r="E117" s="188"/>
      <c r="F117" s="188"/>
      <c r="G117" s="189"/>
      <c r="H117" s="190"/>
    </row>
    <row r="118" spans="1:8" x14ac:dyDescent="0.25">
      <c r="A118" s="208"/>
      <c r="B118" s="340"/>
      <c r="C118" s="188"/>
      <c r="D118" s="188"/>
      <c r="E118" s="188"/>
      <c r="F118" s="188"/>
      <c r="G118" s="189"/>
      <c r="H118" s="190"/>
    </row>
    <row r="119" spans="1:8" x14ac:dyDescent="0.25">
      <c r="A119" s="208"/>
      <c r="B119" s="340"/>
      <c r="C119" s="188"/>
      <c r="D119" s="188"/>
      <c r="E119" s="188"/>
      <c r="F119" s="188"/>
      <c r="G119" s="189"/>
      <c r="H119" s="190"/>
    </row>
    <row r="120" spans="1:8" x14ac:dyDescent="0.25">
      <c r="A120" s="208"/>
      <c r="B120" s="340"/>
      <c r="C120" s="188"/>
      <c r="D120" s="188"/>
      <c r="E120" s="188"/>
      <c r="F120" s="188"/>
      <c r="G120" s="189"/>
      <c r="H120" s="190"/>
    </row>
    <row r="121" spans="1:8" s="1" customFormat="1" x14ac:dyDescent="0.25">
      <c r="A121" s="208" t="s">
        <v>171</v>
      </c>
      <c r="B121" s="340"/>
      <c r="C121" s="201" t="s">
        <v>229</v>
      </c>
      <c r="D121" s="201" t="str">
        <f>A121</f>
        <v>septembre</v>
      </c>
      <c r="E121" s="201"/>
      <c r="F121" s="201"/>
      <c r="G121" s="202">
        <f>SUM(G109:G120)</f>
        <v>12.6</v>
      </c>
      <c r="H121" s="203"/>
    </row>
    <row r="122" spans="1:8" x14ac:dyDescent="0.25">
      <c r="A122" s="211"/>
      <c r="B122" s="342" t="str">
        <f t="shared" ref="B122" si="8">D134</f>
        <v>octobre</v>
      </c>
      <c r="C122" s="8" t="s">
        <v>226</v>
      </c>
      <c r="D122" s="8" t="s">
        <v>227</v>
      </c>
      <c r="E122" s="8">
        <v>12</v>
      </c>
      <c r="F122" s="8">
        <v>1.5</v>
      </c>
      <c r="G122" s="197">
        <f>E122*F122*0.7</f>
        <v>12.6</v>
      </c>
      <c r="H122" s="31" t="s">
        <v>228</v>
      </c>
    </row>
    <row r="123" spans="1:8" x14ac:dyDescent="0.25">
      <c r="A123" s="211"/>
      <c r="B123" s="337"/>
      <c r="C123" s="8"/>
      <c r="D123" s="8"/>
      <c r="E123" s="8"/>
      <c r="F123" s="8"/>
      <c r="G123" s="197"/>
      <c r="H123" s="31"/>
    </row>
    <row r="124" spans="1:8" x14ac:dyDescent="0.25">
      <c r="A124" s="211"/>
      <c r="B124" s="337"/>
      <c r="C124" s="8"/>
      <c r="D124" s="8"/>
      <c r="E124" s="8"/>
      <c r="F124" s="8"/>
      <c r="G124" s="197"/>
      <c r="H124" s="31"/>
    </row>
    <row r="125" spans="1:8" x14ac:dyDescent="0.25">
      <c r="A125" s="211"/>
      <c r="B125" s="337"/>
      <c r="C125" s="8"/>
      <c r="D125" s="8"/>
      <c r="E125" s="8"/>
      <c r="F125" s="8"/>
      <c r="G125" s="197"/>
      <c r="H125" s="31"/>
    </row>
    <row r="126" spans="1:8" x14ac:dyDescent="0.25">
      <c r="A126" s="211"/>
      <c r="B126" s="337"/>
      <c r="C126" s="8"/>
      <c r="D126" s="8"/>
      <c r="E126" s="8"/>
      <c r="F126" s="8"/>
      <c r="G126" s="197"/>
      <c r="H126" s="31"/>
    </row>
    <row r="127" spans="1:8" x14ac:dyDescent="0.25">
      <c r="A127" s="211"/>
      <c r="B127" s="337"/>
      <c r="C127" s="8"/>
      <c r="D127" s="8"/>
      <c r="E127" s="8"/>
      <c r="F127" s="8"/>
      <c r="G127" s="197"/>
      <c r="H127" s="31"/>
    </row>
    <row r="128" spans="1:8" x14ac:dyDescent="0.25">
      <c r="A128" s="211"/>
      <c r="B128" s="337"/>
      <c r="C128" s="8"/>
      <c r="D128" s="8"/>
      <c r="E128" s="8"/>
      <c r="F128" s="8"/>
      <c r="G128" s="197"/>
      <c r="H128" s="31"/>
    </row>
    <row r="129" spans="1:8" x14ac:dyDescent="0.25">
      <c r="A129" s="211"/>
      <c r="B129" s="337"/>
      <c r="C129" s="8"/>
      <c r="D129" s="8"/>
      <c r="E129" s="8"/>
      <c r="F129" s="8"/>
      <c r="G129" s="197"/>
      <c r="H129" s="31"/>
    </row>
    <row r="130" spans="1:8" x14ac:dyDescent="0.25">
      <c r="A130" s="211"/>
      <c r="B130" s="337"/>
      <c r="C130" s="8"/>
      <c r="D130" s="8"/>
      <c r="E130" s="8"/>
      <c r="F130" s="8"/>
      <c r="G130" s="197"/>
      <c r="H130" s="31"/>
    </row>
    <row r="131" spans="1:8" x14ac:dyDescent="0.25">
      <c r="A131" s="211"/>
      <c r="B131" s="337"/>
      <c r="C131" s="8"/>
      <c r="D131" s="8"/>
      <c r="E131" s="8"/>
      <c r="F131" s="8"/>
      <c r="G131" s="197"/>
      <c r="H131" s="31"/>
    </row>
    <row r="132" spans="1:8" x14ac:dyDescent="0.25">
      <c r="A132" s="211"/>
      <c r="B132" s="337"/>
      <c r="C132" s="8"/>
      <c r="D132" s="8"/>
      <c r="E132" s="8"/>
      <c r="F132" s="8"/>
      <c r="G132" s="197"/>
      <c r="H132" s="31"/>
    </row>
    <row r="133" spans="1:8" x14ac:dyDescent="0.25">
      <c r="A133" s="211"/>
      <c r="B133" s="337"/>
      <c r="C133" s="8"/>
      <c r="D133" s="8"/>
      <c r="E133" s="8"/>
      <c r="F133" s="8"/>
      <c r="G133" s="197"/>
      <c r="H133" s="31"/>
    </row>
    <row r="134" spans="1:8" ht="15.75" thickBot="1" x14ac:dyDescent="0.3">
      <c r="A134" s="211" t="s">
        <v>172</v>
      </c>
      <c r="B134" s="338"/>
      <c r="C134" s="198" t="s">
        <v>229</v>
      </c>
      <c r="D134" s="198" t="str">
        <f>A134</f>
        <v>octobre</v>
      </c>
      <c r="E134" s="198"/>
      <c r="F134" s="198"/>
      <c r="G134" s="199">
        <f>SUM(G122:G133)</f>
        <v>12.6</v>
      </c>
      <c r="H134" s="200"/>
    </row>
    <row r="135" spans="1:8" ht="15.75" thickTop="1" x14ac:dyDescent="0.25">
      <c r="A135" s="207"/>
      <c r="B135" s="339" t="str">
        <f t="shared" ref="B135" si="9">D147</f>
        <v>novembre</v>
      </c>
      <c r="C135" s="185" t="s">
        <v>226</v>
      </c>
      <c r="D135" s="185" t="s">
        <v>227</v>
      </c>
      <c r="E135" s="185">
        <v>12</v>
      </c>
      <c r="F135" s="185">
        <v>1.5</v>
      </c>
      <c r="G135" s="186">
        <f>E135*F135*0.7</f>
        <v>12.6</v>
      </c>
      <c r="H135" s="187" t="s">
        <v>228</v>
      </c>
    </row>
    <row r="136" spans="1:8" x14ac:dyDescent="0.25">
      <c r="A136" s="208"/>
      <c r="B136" s="340"/>
      <c r="C136" s="188"/>
      <c r="D136" s="188"/>
      <c r="E136" s="188"/>
      <c r="F136" s="188"/>
      <c r="G136" s="189"/>
      <c r="H136" s="190"/>
    </row>
    <row r="137" spans="1:8" x14ac:dyDescent="0.25">
      <c r="A137" s="208"/>
      <c r="B137" s="340"/>
      <c r="C137" s="188"/>
      <c r="D137" s="188"/>
      <c r="E137" s="188"/>
      <c r="F137" s="188"/>
      <c r="G137" s="189"/>
      <c r="H137" s="190"/>
    </row>
    <row r="138" spans="1:8" x14ac:dyDescent="0.25">
      <c r="A138" s="208"/>
      <c r="B138" s="340"/>
      <c r="C138" s="188"/>
      <c r="D138" s="188"/>
      <c r="E138" s="188"/>
      <c r="F138" s="188"/>
      <c r="G138" s="189"/>
      <c r="H138" s="190"/>
    </row>
    <row r="139" spans="1:8" x14ac:dyDescent="0.25">
      <c r="A139" s="208"/>
      <c r="B139" s="340"/>
      <c r="C139" s="188"/>
      <c r="D139" s="188"/>
      <c r="E139" s="188"/>
      <c r="F139" s="188"/>
      <c r="G139" s="189"/>
      <c r="H139" s="190"/>
    </row>
    <row r="140" spans="1:8" x14ac:dyDescent="0.25">
      <c r="A140" s="208"/>
      <c r="B140" s="340"/>
      <c r="C140" s="188"/>
      <c r="D140" s="188"/>
      <c r="E140" s="188"/>
      <c r="F140" s="188"/>
      <c r="G140" s="189"/>
      <c r="H140" s="190"/>
    </row>
    <row r="141" spans="1:8" x14ac:dyDescent="0.25">
      <c r="A141" s="208"/>
      <c r="B141" s="340"/>
      <c r="C141" s="188"/>
      <c r="D141" s="188"/>
      <c r="E141" s="188"/>
      <c r="F141" s="188"/>
      <c r="G141" s="189"/>
      <c r="H141" s="190"/>
    </row>
    <row r="142" spans="1:8" x14ac:dyDescent="0.25">
      <c r="A142" s="208"/>
      <c r="B142" s="340"/>
      <c r="C142" s="188"/>
      <c r="D142" s="188"/>
      <c r="E142" s="188"/>
      <c r="F142" s="188"/>
      <c r="G142" s="189"/>
      <c r="H142" s="190"/>
    </row>
    <row r="143" spans="1:8" x14ac:dyDescent="0.25">
      <c r="A143" s="208"/>
      <c r="B143" s="340"/>
      <c r="C143" s="188"/>
      <c r="D143" s="188"/>
      <c r="E143" s="188"/>
      <c r="F143" s="188"/>
      <c r="G143" s="189"/>
      <c r="H143" s="190"/>
    </row>
    <row r="144" spans="1:8" x14ac:dyDescent="0.25">
      <c r="A144" s="208"/>
      <c r="B144" s="340"/>
      <c r="C144" s="188"/>
      <c r="D144" s="188"/>
      <c r="E144" s="188"/>
      <c r="F144" s="188"/>
      <c r="G144" s="189"/>
      <c r="H144" s="190"/>
    </row>
    <row r="145" spans="1:8" x14ac:dyDescent="0.25">
      <c r="A145" s="208"/>
      <c r="B145" s="340"/>
      <c r="C145" s="188"/>
      <c r="D145" s="188"/>
      <c r="E145" s="188"/>
      <c r="F145" s="188"/>
      <c r="G145" s="189"/>
      <c r="H145" s="190"/>
    </row>
    <row r="146" spans="1:8" x14ac:dyDescent="0.25">
      <c r="A146" s="208"/>
      <c r="B146" s="340"/>
      <c r="C146" s="188"/>
      <c r="D146" s="188"/>
      <c r="E146" s="188"/>
      <c r="F146" s="188"/>
      <c r="G146" s="189"/>
      <c r="H146" s="190"/>
    </row>
    <row r="147" spans="1:8" s="1" customFormat="1" ht="15.75" thickBot="1" x14ac:dyDescent="0.3">
      <c r="A147" s="208" t="s">
        <v>173</v>
      </c>
      <c r="B147" s="341"/>
      <c r="C147" s="191" t="s">
        <v>229</v>
      </c>
      <c r="D147" s="191" t="str">
        <f>A147</f>
        <v>novembre</v>
      </c>
      <c r="E147" s="191"/>
      <c r="F147" s="191"/>
      <c r="G147" s="192">
        <f>SUM(G135:G146)</f>
        <v>12.6</v>
      </c>
      <c r="H147" s="193"/>
    </row>
    <row r="148" spans="1:8" ht="15.75" thickTop="1" x14ac:dyDescent="0.25">
      <c r="A148" s="210"/>
      <c r="B148" s="336" t="str">
        <f t="shared" ref="B148" si="10">D160</f>
        <v>décembre</v>
      </c>
      <c r="C148" s="194" t="s">
        <v>226</v>
      </c>
      <c r="D148" s="194" t="s">
        <v>227</v>
      </c>
      <c r="E148" s="194">
        <v>12</v>
      </c>
      <c r="F148" s="194">
        <v>1.5</v>
      </c>
      <c r="G148" s="195">
        <f>E148*F148*0.7</f>
        <v>12.6</v>
      </c>
      <c r="H148" s="196" t="s">
        <v>228</v>
      </c>
    </row>
    <row r="149" spans="1:8" x14ac:dyDescent="0.25">
      <c r="A149" s="211"/>
      <c r="B149" s="337"/>
      <c r="C149" s="8"/>
      <c r="D149" s="8"/>
      <c r="E149" s="8"/>
      <c r="F149" s="8"/>
      <c r="G149" s="197"/>
      <c r="H149" s="31"/>
    </row>
    <row r="150" spans="1:8" x14ac:dyDescent="0.25">
      <c r="A150" s="211"/>
      <c r="B150" s="337"/>
      <c r="C150" s="8"/>
      <c r="D150" s="8"/>
      <c r="E150" s="8"/>
      <c r="F150" s="8"/>
      <c r="G150" s="197"/>
      <c r="H150" s="31"/>
    </row>
    <row r="151" spans="1:8" x14ac:dyDescent="0.25">
      <c r="A151" s="211"/>
      <c r="B151" s="337"/>
      <c r="C151" s="8"/>
      <c r="D151" s="8"/>
      <c r="E151" s="8"/>
      <c r="F151" s="8"/>
      <c r="G151" s="197"/>
      <c r="H151" s="31"/>
    </row>
    <row r="152" spans="1:8" x14ac:dyDescent="0.25">
      <c r="A152" s="211"/>
      <c r="B152" s="337"/>
      <c r="C152" s="8"/>
      <c r="D152" s="8"/>
      <c r="E152" s="8"/>
      <c r="F152" s="8"/>
      <c r="G152" s="197"/>
      <c r="H152" s="31"/>
    </row>
    <row r="153" spans="1:8" x14ac:dyDescent="0.25">
      <c r="A153" s="211"/>
      <c r="B153" s="337"/>
      <c r="C153" s="8"/>
      <c r="D153" s="8"/>
      <c r="E153" s="8"/>
      <c r="F153" s="8"/>
      <c r="G153" s="197"/>
      <c r="H153" s="31"/>
    </row>
    <row r="154" spans="1:8" x14ac:dyDescent="0.25">
      <c r="A154" s="211"/>
      <c r="B154" s="337"/>
      <c r="C154" s="8"/>
      <c r="D154" s="8"/>
      <c r="E154" s="8"/>
      <c r="F154" s="8"/>
      <c r="G154" s="197"/>
      <c r="H154" s="31"/>
    </row>
    <row r="155" spans="1:8" x14ac:dyDescent="0.25">
      <c r="A155" s="211"/>
      <c r="B155" s="337"/>
      <c r="C155" s="8"/>
      <c r="D155" s="8"/>
      <c r="E155" s="8"/>
      <c r="F155" s="8"/>
      <c r="G155" s="197"/>
      <c r="H155" s="31"/>
    </row>
    <row r="156" spans="1:8" x14ac:dyDescent="0.25">
      <c r="A156" s="211"/>
      <c r="B156" s="337"/>
      <c r="C156" s="8"/>
      <c r="D156" s="8"/>
      <c r="E156" s="8"/>
      <c r="F156" s="8"/>
      <c r="G156" s="197"/>
      <c r="H156" s="31"/>
    </row>
    <row r="157" spans="1:8" x14ac:dyDescent="0.25">
      <c r="A157" s="211"/>
      <c r="B157" s="337"/>
      <c r="C157" s="8"/>
      <c r="D157" s="8"/>
      <c r="E157" s="8"/>
      <c r="F157" s="8"/>
      <c r="G157" s="197"/>
      <c r="H157" s="31"/>
    </row>
    <row r="158" spans="1:8" x14ac:dyDescent="0.25">
      <c r="A158" s="211"/>
      <c r="B158" s="337"/>
      <c r="C158" s="8"/>
      <c r="D158" s="8"/>
      <c r="E158" s="8"/>
      <c r="F158" s="8"/>
      <c r="G158" s="197"/>
      <c r="H158" s="31"/>
    </row>
    <row r="159" spans="1:8" x14ac:dyDescent="0.25">
      <c r="A159" s="211"/>
      <c r="B159" s="337"/>
      <c r="C159" s="8"/>
      <c r="D159" s="8"/>
      <c r="E159" s="8"/>
      <c r="F159" s="8"/>
      <c r="G159" s="197"/>
      <c r="H159" s="31"/>
    </row>
    <row r="160" spans="1:8" ht="15.75" thickBot="1" x14ac:dyDescent="0.3">
      <c r="A160" s="211" t="s">
        <v>174</v>
      </c>
      <c r="B160" s="338"/>
      <c r="C160" s="198" t="s">
        <v>229</v>
      </c>
      <c r="D160" s="198" t="str">
        <f>A160</f>
        <v>décembre</v>
      </c>
      <c r="E160" s="198"/>
      <c r="F160" s="198"/>
      <c r="G160" s="199">
        <f>SUM(G148:G159)</f>
        <v>12.6</v>
      </c>
      <c r="H160" s="200"/>
    </row>
    <row r="161" ht="15.75" thickTop="1" x14ac:dyDescent="0.25"/>
  </sheetData>
  <mergeCells count="12">
    <mergeCell ref="B148:B160"/>
    <mergeCell ref="B5:B17"/>
    <mergeCell ref="B18:B30"/>
    <mergeCell ref="B31:B43"/>
    <mergeCell ref="B44:B56"/>
    <mergeCell ref="B57:B69"/>
    <mergeCell ref="B70:B82"/>
    <mergeCell ref="B83:B95"/>
    <mergeCell ref="B96:B108"/>
    <mergeCell ref="B109:B121"/>
    <mergeCell ref="B122:B134"/>
    <mergeCell ref="B135:B14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N51"/>
  <sheetViews>
    <sheetView workbookViewId="0">
      <selection activeCell="D3" sqref="D3"/>
    </sheetView>
  </sheetViews>
  <sheetFormatPr baseColWidth="10" defaultRowHeight="15" x14ac:dyDescent="0.25"/>
  <cols>
    <col min="1" max="1" width="3.28515625" style="18" customWidth="1"/>
    <col min="2" max="2" width="4.28515625" style="18" customWidth="1"/>
    <col min="3" max="3" width="46.42578125" customWidth="1"/>
    <col min="10" max="11" width="11.42578125" style="27"/>
  </cols>
  <sheetData>
    <row r="1" spans="1:14" ht="38.25" x14ac:dyDescent="0.25">
      <c r="D1" s="22" t="s">
        <v>0</v>
      </c>
      <c r="E1" s="23" t="s">
        <v>1</v>
      </c>
      <c r="F1" s="23" t="s">
        <v>2</v>
      </c>
      <c r="G1" s="94" t="s">
        <v>3</v>
      </c>
      <c r="H1" s="114" t="s">
        <v>179</v>
      </c>
      <c r="I1" s="114" t="s">
        <v>180</v>
      </c>
    </row>
    <row r="2" spans="1:14" x14ac:dyDescent="0.25">
      <c r="A2" s="18" t="s">
        <v>70</v>
      </c>
      <c r="B2" s="343" t="str">
        <f>A2</f>
        <v>Janvier</v>
      </c>
      <c r="C2" s="8" t="s">
        <v>58</v>
      </c>
      <c r="D2" s="42">
        <v>402</v>
      </c>
      <c r="E2" s="42"/>
      <c r="F2" s="27"/>
      <c r="G2" s="27"/>
      <c r="H2" s="134">
        <v>1</v>
      </c>
      <c r="I2" s="36">
        <v>30</v>
      </c>
      <c r="J2" s="27">
        <v>400</v>
      </c>
      <c r="K2" s="27">
        <v>200</v>
      </c>
      <c r="L2" s="161">
        <f>J2*H2</f>
        <v>400</v>
      </c>
      <c r="M2">
        <f>SUMIFS(L2,I2,30)</f>
        <v>400</v>
      </c>
      <c r="N2">
        <f>IF(M2=0,0,IF(M2&lt;200,200,M2))</f>
        <v>400</v>
      </c>
    </row>
    <row r="3" spans="1:14" x14ac:dyDescent="0.25">
      <c r="A3" s="18" t="s">
        <v>70</v>
      </c>
      <c r="B3" s="344"/>
      <c r="C3" s="8" t="s">
        <v>59</v>
      </c>
      <c r="D3" s="42"/>
      <c r="E3" s="42">
        <v>34</v>
      </c>
      <c r="F3" s="27"/>
      <c r="G3" s="27"/>
      <c r="H3" s="134">
        <v>0.2</v>
      </c>
      <c r="I3" s="36">
        <v>30</v>
      </c>
      <c r="J3" s="27">
        <v>400</v>
      </c>
      <c r="K3" s="27">
        <v>200</v>
      </c>
      <c r="L3" s="161">
        <f t="shared" ref="L3:L4" si="0">J3*H3</f>
        <v>80</v>
      </c>
      <c r="M3">
        <f t="shared" ref="M3:M4" si="1">SUMIFS(L3,I3,30)</f>
        <v>80</v>
      </c>
      <c r="N3">
        <f t="shared" ref="N3:N4" si="2">IF(M3=0,0,IF(M3&lt;200,200,M3))</f>
        <v>200</v>
      </c>
    </row>
    <row r="4" spans="1:14" x14ac:dyDescent="0.25">
      <c r="A4" s="18" t="s">
        <v>70</v>
      </c>
      <c r="B4" s="344"/>
      <c r="C4" s="8" t="s">
        <v>93</v>
      </c>
      <c r="D4" s="42"/>
      <c r="E4" s="42"/>
      <c r="F4" s="27"/>
      <c r="G4" s="27"/>
      <c r="H4" s="134">
        <v>0.1</v>
      </c>
      <c r="I4" s="36"/>
      <c r="J4" s="27">
        <v>400</v>
      </c>
      <c r="K4" s="27">
        <v>200</v>
      </c>
      <c r="L4" s="161">
        <f t="shared" si="0"/>
        <v>40</v>
      </c>
      <c r="M4">
        <f t="shared" si="1"/>
        <v>0</v>
      </c>
      <c r="N4">
        <f t="shared" si="2"/>
        <v>0</v>
      </c>
    </row>
    <row r="5" spans="1:14" x14ac:dyDescent="0.25">
      <c r="A5" s="18" t="s">
        <v>70</v>
      </c>
      <c r="B5" s="344"/>
      <c r="C5" s="8" t="s">
        <v>60</v>
      </c>
      <c r="D5" s="42">
        <v>5</v>
      </c>
      <c r="E5" s="42"/>
      <c r="F5" s="27"/>
      <c r="G5" s="27"/>
      <c r="H5" s="131"/>
    </row>
    <row r="6" spans="1:14" x14ac:dyDescent="0.25">
      <c r="A6" s="18" t="s">
        <v>70</v>
      </c>
      <c r="B6" s="344"/>
      <c r="C6" s="8" t="s">
        <v>61</v>
      </c>
      <c r="D6" s="42"/>
      <c r="E6" s="42"/>
      <c r="F6" s="27"/>
      <c r="G6" s="27"/>
      <c r="H6" s="131"/>
    </row>
    <row r="7" spans="1:14" x14ac:dyDescent="0.25">
      <c r="A7" s="18" t="s">
        <v>70</v>
      </c>
      <c r="B7" s="344"/>
      <c r="C7" s="8" t="s">
        <v>62</v>
      </c>
      <c r="D7" s="42"/>
      <c r="E7" s="42"/>
      <c r="F7" s="27"/>
      <c r="G7" s="27"/>
      <c r="H7" s="131"/>
    </row>
    <row r="8" spans="1:14" x14ac:dyDescent="0.25">
      <c r="A8" s="18" t="s">
        <v>70</v>
      </c>
      <c r="B8" s="344"/>
      <c r="C8" s="8" t="s">
        <v>101</v>
      </c>
      <c r="D8" s="42"/>
      <c r="E8" s="42"/>
      <c r="F8" s="27"/>
      <c r="G8" s="27"/>
      <c r="H8" s="131"/>
    </row>
    <row r="9" spans="1:14" x14ac:dyDescent="0.25">
      <c r="A9" s="18" t="s">
        <v>70</v>
      </c>
      <c r="B9" s="344"/>
      <c r="C9" s="8" t="s">
        <v>102</v>
      </c>
      <c r="D9" s="42"/>
      <c r="E9" s="42"/>
      <c r="F9" s="27"/>
      <c r="G9" s="27"/>
      <c r="H9" s="131"/>
    </row>
    <row r="10" spans="1:14" x14ac:dyDescent="0.25">
      <c r="A10" s="18" t="s">
        <v>70</v>
      </c>
      <c r="B10" s="344"/>
      <c r="C10" s="8" t="s">
        <v>63</v>
      </c>
      <c r="D10" s="42"/>
      <c r="E10" s="42"/>
      <c r="F10" s="27"/>
      <c r="G10" s="27"/>
      <c r="H10" s="131"/>
    </row>
    <row r="11" spans="1:14" x14ac:dyDescent="0.25">
      <c r="A11" s="18" t="s">
        <v>70</v>
      </c>
      <c r="B11" s="344"/>
      <c r="C11" s="8" t="s">
        <v>91</v>
      </c>
      <c r="D11" s="42"/>
      <c r="E11" s="42"/>
      <c r="F11" s="27"/>
      <c r="G11" s="27"/>
      <c r="H11" s="131"/>
    </row>
    <row r="12" spans="1:14" x14ac:dyDescent="0.25">
      <c r="A12" s="18" t="s">
        <v>70</v>
      </c>
      <c r="B12" s="344"/>
      <c r="C12" s="8" t="s">
        <v>92</v>
      </c>
      <c r="D12" s="42"/>
      <c r="E12" s="42"/>
      <c r="F12" s="27"/>
      <c r="G12" s="27"/>
      <c r="H12" s="131"/>
    </row>
    <row r="13" spans="1:14" x14ac:dyDescent="0.25">
      <c r="A13" s="18" t="s">
        <v>70</v>
      </c>
      <c r="B13" s="344"/>
      <c r="C13" s="102" t="s">
        <v>197</v>
      </c>
      <c r="D13" s="42"/>
      <c r="E13" s="42"/>
      <c r="F13" s="27"/>
      <c r="G13" s="27"/>
      <c r="H13" s="131"/>
    </row>
    <row r="14" spans="1:14" x14ac:dyDescent="0.25">
      <c r="A14" s="18" t="s">
        <v>70</v>
      </c>
      <c r="B14" s="344"/>
      <c r="C14" s="8" t="s">
        <v>85</v>
      </c>
      <c r="D14" s="42"/>
      <c r="E14" s="42"/>
      <c r="F14" s="27"/>
      <c r="G14" s="27"/>
      <c r="H14" s="131"/>
    </row>
    <row r="15" spans="1:14" ht="39.75" customHeight="1" x14ac:dyDescent="0.25">
      <c r="A15" s="18" t="s">
        <v>70</v>
      </c>
      <c r="B15" s="344"/>
      <c r="C15" s="130" t="s">
        <v>137</v>
      </c>
      <c r="D15" s="132"/>
      <c r="E15" s="133"/>
      <c r="F15" s="80">
        <f>N2+N3+N4</f>
        <v>600</v>
      </c>
      <c r="G15" s="27"/>
    </row>
    <row r="17" spans="1:1" x14ac:dyDescent="0.25">
      <c r="A17" s="18" t="s">
        <v>73</v>
      </c>
    </row>
    <row r="18" spans="1:1" x14ac:dyDescent="0.25">
      <c r="A18" s="18" t="s">
        <v>73</v>
      </c>
    </row>
    <row r="19" spans="1:1" x14ac:dyDescent="0.25">
      <c r="A19" s="18" t="s">
        <v>73</v>
      </c>
    </row>
    <row r="21" spans="1:1" x14ac:dyDescent="0.25">
      <c r="A21" s="18" t="s">
        <v>74</v>
      </c>
    </row>
    <row r="22" spans="1:1" x14ac:dyDescent="0.25">
      <c r="A22" s="18" t="s">
        <v>74</v>
      </c>
    </row>
    <row r="23" spans="1:1" x14ac:dyDescent="0.25">
      <c r="A23" s="18" t="s">
        <v>74</v>
      </c>
    </row>
    <row r="26" spans="1:1" x14ac:dyDescent="0.25">
      <c r="A26" s="18" t="s">
        <v>75</v>
      </c>
    </row>
    <row r="27" spans="1:1" x14ac:dyDescent="0.25">
      <c r="A27" s="18" t="s">
        <v>75</v>
      </c>
    </row>
    <row r="29" spans="1:1" x14ac:dyDescent="0.25">
      <c r="A29" s="18" t="s">
        <v>76</v>
      </c>
    </row>
    <row r="30" spans="1:1" x14ac:dyDescent="0.25">
      <c r="A30" s="18" t="s">
        <v>76</v>
      </c>
    </row>
    <row r="31" spans="1:1" x14ac:dyDescent="0.25">
      <c r="A31" s="18" t="s">
        <v>76</v>
      </c>
    </row>
    <row r="33" spans="1:1" x14ac:dyDescent="0.25">
      <c r="A33" s="18" t="s">
        <v>77</v>
      </c>
    </row>
    <row r="34" spans="1:1" x14ac:dyDescent="0.25">
      <c r="A34" s="18" t="s">
        <v>77</v>
      </c>
    </row>
    <row r="35" spans="1:1" x14ac:dyDescent="0.25">
      <c r="A35" s="18" t="s">
        <v>77</v>
      </c>
    </row>
    <row r="37" spans="1:1" x14ac:dyDescent="0.25">
      <c r="A37" s="18" t="s">
        <v>78</v>
      </c>
    </row>
    <row r="38" spans="1:1" x14ac:dyDescent="0.25">
      <c r="A38" s="18" t="s">
        <v>78</v>
      </c>
    </row>
    <row r="39" spans="1:1" x14ac:dyDescent="0.25">
      <c r="A39" s="18" t="s">
        <v>78</v>
      </c>
    </row>
    <row r="41" spans="1:1" x14ac:dyDescent="0.25">
      <c r="A41" s="18" t="s">
        <v>79</v>
      </c>
    </row>
    <row r="42" spans="1:1" x14ac:dyDescent="0.25">
      <c r="A42" s="18" t="s">
        <v>79</v>
      </c>
    </row>
    <row r="43" spans="1:1" x14ac:dyDescent="0.25">
      <c r="A43" s="18" t="s">
        <v>79</v>
      </c>
    </row>
    <row r="45" spans="1:1" x14ac:dyDescent="0.25">
      <c r="A45" s="18" t="s">
        <v>80</v>
      </c>
    </row>
    <row r="46" spans="1:1" x14ac:dyDescent="0.25">
      <c r="A46" s="18" t="s">
        <v>80</v>
      </c>
    </row>
    <row r="47" spans="1:1" x14ac:dyDescent="0.25">
      <c r="A47" s="18" t="s">
        <v>80</v>
      </c>
    </row>
    <row r="49" spans="1:1" x14ac:dyDescent="0.25">
      <c r="A49" s="18" t="s">
        <v>81</v>
      </c>
    </row>
    <row r="50" spans="1:1" x14ac:dyDescent="0.25">
      <c r="A50" s="18" t="s">
        <v>81</v>
      </c>
    </row>
    <row r="51" spans="1:1" x14ac:dyDescent="0.25">
      <c r="A51" s="18" t="s">
        <v>81</v>
      </c>
    </row>
  </sheetData>
  <mergeCells count="1">
    <mergeCell ref="B2:B15"/>
  </mergeCells>
  <dataValidations count="1">
    <dataValidation allowBlank="1" showInputMessage="1" showErrorMessage="1" promptTitle="renevus" sqref="C2:C1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50"/>
  <sheetViews>
    <sheetView workbookViewId="0">
      <selection activeCell="G5" sqref="G5"/>
    </sheetView>
  </sheetViews>
  <sheetFormatPr baseColWidth="10" defaultRowHeight="15" x14ac:dyDescent="0.25"/>
  <cols>
    <col min="1" max="1" width="11.42578125" style="81"/>
    <col min="2" max="2" width="52.5703125" customWidth="1"/>
    <col min="3" max="3" width="11.42578125" style="81"/>
  </cols>
  <sheetData>
    <row r="1" spans="1:5" ht="18.75" x14ac:dyDescent="0.25">
      <c r="A1" s="117" t="s">
        <v>138</v>
      </c>
    </row>
    <row r="3" spans="1:5" ht="25.5" x14ac:dyDescent="0.25">
      <c r="A3" s="120">
        <v>42005</v>
      </c>
      <c r="C3" s="23" t="s">
        <v>2</v>
      </c>
      <c r="D3" s="114" t="s">
        <v>111</v>
      </c>
    </row>
    <row r="4" spans="1:5" ht="30" x14ac:dyDescent="0.25">
      <c r="A4" s="81" t="s">
        <v>70</v>
      </c>
      <c r="B4" s="59" t="s">
        <v>153</v>
      </c>
      <c r="C4" s="214"/>
      <c r="D4" s="115">
        <v>100</v>
      </c>
      <c r="E4" s="81" t="s">
        <v>126</v>
      </c>
    </row>
    <row r="5" spans="1:5" x14ac:dyDescent="0.25">
      <c r="A5" s="81" t="s">
        <v>70</v>
      </c>
      <c r="B5" s="59" t="s">
        <v>154</v>
      </c>
      <c r="C5" s="119">
        <f>IF(A4='BU-janv'!$C$2,IF('BU-janv'!$N$31=$D$3,D5*'BU-janv'!$N$32,0),0)</f>
        <v>500</v>
      </c>
      <c r="D5" s="115">
        <v>250</v>
      </c>
      <c r="E5" s="81" t="s">
        <v>126</v>
      </c>
    </row>
    <row r="6" spans="1:5" ht="45" x14ac:dyDescent="0.25">
      <c r="A6" s="81" t="s">
        <v>70</v>
      </c>
      <c r="B6" s="59" t="s">
        <v>155</v>
      </c>
      <c r="C6" s="119">
        <f>IF('Les normes-données de base'!$D$8=0,IF('Les normes-données de base'!$F$8-A3&gt;-5840,D6,0),0)+IF('Les normes-données de base'!$D$8=0,IF('Les normes-données de base'!$G$8-A3&gt;-5840,D6,0),0)+IF('Les normes-données de base'!$D$8=0,IF('Les normes-données de base'!$H$8-A3&gt;-5840,D6,0),0)+IF('Les normes-données de base'!$D$8=0,IF('Les normes-données de base'!$I$8-A3&gt;-5840,D6,0),0)+IF('Les normes-données de base'!$D$8=0,IF('Les normes-données de base'!$E$8-A3&gt;-5840,D6,0),0)</f>
        <v>0</v>
      </c>
      <c r="D6" s="115">
        <v>200</v>
      </c>
      <c r="E6" s="81" t="s">
        <v>156</v>
      </c>
    </row>
    <row r="7" spans="1:5" x14ac:dyDescent="0.25">
      <c r="A7" s="118">
        <v>42036</v>
      </c>
      <c r="B7" s="59"/>
      <c r="C7" s="119"/>
    </row>
    <row r="8" spans="1:5" ht="30" x14ac:dyDescent="0.25">
      <c r="A8" s="81" t="s">
        <v>135</v>
      </c>
      <c r="B8" s="59" t="s">
        <v>153</v>
      </c>
      <c r="C8" s="119">
        <f>C4</f>
        <v>0</v>
      </c>
      <c r="D8" s="115">
        <v>100</v>
      </c>
      <c r="E8" s="81" t="s">
        <v>126</v>
      </c>
    </row>
    <row r="9" spans="1:5" x14ac:dyDescent="0.25">
      <c r="A9" s="81" t="s">
        <v>135</v>
      </c>
      <c r="B9" s="59" t="s">
        <v>154</v>
      </c>
      <c r="C9" s="119">
        <f>IF(A8='BU-janv'!$C$2,IF('BU-janv'!$N$31=$D$3,D9*'BU-janv'!$N$32,0),0)</f>
        <v>0</v>
      </c>
      <c r="D9" s="115">
        <v>250</v>
      </c>
      <c r="E9" s="81" t="s">
        <v>126</v>
      </c>
    </row>
    <row r="10" spans="1:5" ht="45" x14ac:dyDescent="0.25">
      <c r="A10" s="81" t="s">
        <v>135</v>
      </c>
      <c r="B10" s="59" t="s">
        <v>155</v>
      </c>
      <c r="C10" s="119">
        <f>IF('Les normes-données de base'!$D$8=0,IF('Les normes-données de base'!$F$8-A7&gt;-5840,D10,0),0)+IF('Les normes-données de base'!$D$8=0,IF('Les normes-données de base'!$G$8-A7&gt;-5840,D10,0),0)+IF('Les normes-données de base'!$D$8=0,IF('Les normes-données de base'!$H$8-A7&gt;-5840,D10,0),0)+IF('Les normes-données de base'!$D$8=0,IF('Les normes-données de base'!$I$8-A7&gt;-5840,D10,0),0)+IF('Les normes-données de base'!$D$8=0,IF('Les normes-données de base'!$E$8-A7&gt;-5840,D10,0),0)</f>
        <v>0</v>
      </c>
      <c r="D10" s="115">
        <v>200</v>
      </c>
      <c r="E10" s="81" t="s">
        <v>156</v>
      </c>
    </row>
    <row r="11" spans="1:5" x14ac:dyDescent="0.25">
      <c r="A11" s="118">
        <v>42064</v>
      </c>
      <c r="B11" s="59"/>
      <c r="C11" s="119"/>
    </row>
    <row r="12" spans="1:5" ht="30" x14ac:dyDescent="0.25">
      <c r="A12" s="81" t="s">
        <v>166</v>
      </c>
      <c r="B12" s="59" t="s">
        <v>153</v>
      </c>
      <c r="C12" s="119">
        <f>C8</f>
        <v>0</v>
      </c>
      <c r="D12" s="115">
        <v>100</v>
      </c>
      <c r="E12" s="81" t="s">
        <v>126</v>
      </c>
    </row>
    <row r="13" spans="1:5" x14ac:dyDescent="0.25">
      <c r="A13" s="81" t="s">
        <v>166</v>
      </c>
      <c r="B13" s="59" t="s">
        <v>154</v>
      </c>
      <c r="C13" s="119">
        <f>IF(A12='BU-janv'!$C$2,IF('BU-janv'!$N$31=$D$3,D13*'BU-janv'!$N$32,0),0)</f>
        <v>0</v>
      </c>
      <c r="D13" s="115">
        <v>250</v>
      </c>
      <c r="E13" s="81" t="s">
        <v>126</v>
      </c>
    </row>
    <row r="14" spans="1:5" ht="45" x14ac:dyDescent="0.25">
      <c r="A14" s="81" t="s">
        <v>166</v>
      </c>
      <c r="B14" s="59" t="s">
        <v>155</v>
      </c>
      <c r="C14" s="119">
        <f>IF('Les normes-données de base'!$D$8=0,IF('Les normes-données de base'!$F$8-A11&gt;-5840,D14,0),0)+IF('Les normes-données de base'!$D$8=0,IF('Les normes-données de base'!$G$8-A11&gt;-5840,D14,0),0)+IF('Les normes-données de base'!$D$8=0,IF('Les normes-données de base'!$H$8-A11&gt;-5840,D14,0),0)+IF('Les normes-données de base'!$D$8=0,IF('Les normes-données de base'!$I$8-A11&gt;-5840,D14,0),0)+IF('Les normes-données de base'!$D$8=0,IF('Les normes-données de base'!$E$8-A11&gt;-5840,D14,0),0)</f>
        <v>0</v>
      </c>
      <c r="D14" s="115">
        <v>200</v>
      </c>
      <c r="E14" s="81" t="s">
        <v>156</v>
      </c>
    </row>
    <row r="15" spans="1:5" x14ac:dyDescent="0.25">
      <c r="A15" s="118">
        <v>42095</v>
      </c>
      <c r="B15" s="59"/>
      <c r="C15" s="119"/>
    </row>
    <row r="16" spans="1:5" ht="30" x14ac:dyDescent="0.25">
      <c r="A16" s="81" t="s">
        <v>167</v>
      </c>
      <c r="B16" s="59" t="s">
        <v>153</v>
      </c>
      <c r="C16" s="119">
        <f>C12</f>
        <v>0</v>
      </c>
      <c r="D16" s="115">
        <v>100</v>
      </c>
      <c r="E16" s="81" t="s">
        <v>126</v>
      </c>
    </row>
    <row r="17" spans="1:5" x14ac:dyDescent="0.25">
      <c r="A17" s="81" t="s">
        <v>167</v>
      </c>
      <c r="B17" s="59" t="s">
        <v>154</v>
      </c>
      <c r="C17" s="119">
        <f>IF(A16='BU-janv'!$C$2,IF('BU-janv'!$N$31=$D$3,D17*'BU-janv'!$N$32,0),0)</f>
        <v>0</v>
      </c>
      <c r="D17" s="115">
        <v>250</v>
      </c>
      <c r="E17" s="81" t="s">
        <v>126</v>
      </c>
    </row>
    <row r="18" spans="1:5" ht="45" x14ac:dyDescent="0.25">
      <c r="A18" s="81" t="s">
        <v>167</v>
      </c>
      <c r="B18" s="59" t="s">
        <v>155</v>
      </c>
      <c r="C18" s="119">
        <f>IF('Les normes-données de base'!$D$8=0,IF('Les normes-données de base'!$F$8-A15&gt;-5840,D18,0),0)+IF('Les normes-données de base'!$D$8=0,IF('Les normes-données de base'!$G$8-A15&gt;-5840,D18,0),0)+IF('Les normes-données de base'!$D$8=0,IF('Les normes-données de base'!$H$8-A15&gt;-5840,D18,0),0)+IF('Les normes-données de base'!$D$8=0,IF('Les normes-données de base'!$I$8-A15&gt;-5840,D18,0),0)+IF('Les normes-données de base'!$D$8=0,IF('Les normes-données de base'!$E$8-A15&gt;-5840,D18,0),0)</f>
        <v>0</v>
      </c>
      <c r="D18" s="115">
        <v>200</v>
      </c>
      <c r="E18" s="81" t="s">
        <v>156</v>
      </c>
    </row>
    <row r="19" spans="1:5" x14ac:dyDescent="0.25">
      <c r="A19" s="118">
        <v>42125</v>
      </c>
      <c r="B19" s="59"/>
      <c r="C19" s="119"/>
    </row>
    <row r="20" spans="1:5" ht="30" x14ac:dyDescent="0.25">
      <c r="A20" s="81" t="s">
        <v>134</v>
      </c>
      <c r="B20" s="59" t="s">
        <v>153</v>
      </c>
      <c r="C20" s="119">
        <f>C16</f>
        <v>0</v>
      </c>
      <c r="D20" s="115">
        <v>100</v>
      </c>
      <c r="E20" s="81" t="s">
        <v>126</v>
      </c>
    </row>
    <row r="21" spans="1:5" x14ac:dyDescent="0.25">
      <c r="A21" s="81" t="s">
        <v>134</v>
      </c>
      <c r="B21" s="59" t="s">
        <v>154</v>
      </c>
      <c r="C21" s="119">
        <f>IF('BU-janv'!N70=D$3,D21*'BU-janv'!N72,0)</f>
        <v>0</v>
      </c>
      <c r="D21" s="115">
        <v>250</v>
      </c>
      <c r="E21" s="81" t="s">
        <v>126</v>
      </c>
    </row>
    <row r="22" spans="1:5" ht="45" x14ac:dyDescent="0.25">
      <c r="A22" s="81" t="s">
        <v>134</v>
      </c>
      <c r="B22" s="59" t="s">
        <v>155</v>
      </c>
      <c r="C22" s="119">
        <f>IF('Les normes-données de base'!$D$8=0,IF('Les normes-données de base'!$F$8-A19&gt;-5840,D22,0),0)+IF('Les normes-données de base'!$D$8=0,IF('Les normes-données de base'!$G$8-A19&gt;-5840,D22,0),0)+IF('Les normes-données de base'!$D$8=0,IF('Les normes-données de base'!$H$8-A19&gt;-5840,D22,0),0)+IF('Les normes-données de base'!$D$8=0,IF('Les normes-données de base'!$I$8-A19&gt;-5840,D22,0),0)+IF('Les normes-données de base'!$D$8=0,IF('Les normes-données de base'!$E$8-A19&gt;-5840,D22,0),0)</f>
        <v>0</v>
      </c>
      <c r="D22" s="115">
        <v>200</v>
      </c>
      <c r="E22" s="81" t="s">
        <v>156</v>
      </c>
    </row>
    <row r="23" spans="1:5" x14ac:dyDescent="0.25">
      <c r="A23" s="118">
        <v>42156</v>
      </c>
      <c r="B23" s="59"/>
      <c r="C23" s="119"/>
    </row>
    <row r="24" spans="1:5" ht="30" x14ac:dyDescent="0.25">
      <c r="A24" s="81" t="s">
        <v>168</v>
      </c>
      <c r="B24" s="59" t="s">
        <v>153</v>
      </c>
      <c r="C24" s="119">
        <f>C20</f>
        <v>0</v>
      </c>
      <c r="D24" s="115">
        <v>100</v>
      </c>
      <c r="E24" s="81" t="s">
        <v>126</v>
      </c>
    </row>
    <row r="25" spans="1:5" x14ac:dyDescent="0.25">
      <c r="A25" s="81" t="s">
        <v>168</v>
      </c>
      <c r="B25" s="59" t="s">
        <v>154</v>
      </c>
      <c r="C25" s="119">
        <f>IF(A24='BU-janv'!$C$2,IF('BU-janv'!$N$31=$D$3,D25*'BU-janv'!$N$32,0),0)</f>
        <v>0</v>
      </c>
      <c r="D25" s="115">
        <v>250</v>
      </c>
      <c r="E25" s="81" t="s">
        <v>126</v>
      </c>
    </row>
    <row r="26" spans="1:5" ht="45" x14ac:dyDescent="0.25">
      <c r="A26" s="81" t="s">
        <v>168</v>
      </c>
      <c r="B26" s="59" t="s">
        <v>155</v>
      </c>
      <c r="C26" s="119">
        <f>IF('Les normes-données de base'!$D$8=0,IF('Les normes-données de base'!$F$8-A23&gt;-5840,D26,0),0)+IF('Les normes-données de base'!$D$8=0,IF('Les normes-données de base'!$G$8-A23&gt;-5840,D26,0),0)+IF('Les normes-données de base'!$D$8=0,IF('Les normes-données de base'!$H$8-A23&gt;-5840,D26,0),0)+IF('Les normes-données de base'!$D$8=0,IF('Les normes-données de base'!$I$8-A23&gt;-5840,D26,0),0)+IF('Les normes-données de base'!$D$8=0,IF('Les normes-données de base'!$E$8-A23&gt;-5840,D26,0),0)</f>
        <v>0</v>
      </c>
      <c r="D26" s="115">
        <v>200</v>
      </c>
      <c r="E26" s="81" t="s">
        <v>156</v>
      </c>
    </row>
    <row r="27" spans="1:5" x14ac:dyDescent="0.25">
      <c r="A27" s="118">
        <v>42186</v>
      </c>
      <c r="B27" s="59"/>
      <c r="C27" s="119"/>
    </row>
    <row r="28" spans="1:5" ht="30" x14ac:dyDescent="0.25">
      <c r="A28" s="81" t="s">
        <v>169</v>
      </c>
      <c r="B28" s="59" t="s">
        <v>153</v>
      </c>
      <c r="C28" s="119">
        <f>C24</f>
        <v>0</v>
      </c>
      <c r="D28" s="115">
        <v>100</v>
      </c>
      <c r="E28" s="81" t="s">
        <v>126</v>
      </c>
    </row>
    <row r="29" spans="1:5" x14ac:dyDescent="0.25">
      <c r="A29" s="81" t="s">
        <v>169</v>
      </c>
      <c r="B29" s="59" t="s">
        <v>154</v>
      </c>
      <c r="C29" s="119">
        <f>IF('BU-janv'!$N$31=$D$3,D29*'BU-janv'!$N$32,0)</f>
        <v>500</v>
      </c>
      <c r="D29" s="115">
        <v>250</v>
      </c>
      <c r="E29" s="81" t="s">
        <v>126</v>
      </c>
    </row>
    <row r="30" spans="1:5" ht="45" x14ac:dyDescent="0.25">
      <c r="A30" s="81" t="s">
        <v>169</v>
      </c>
      <c r="B30" s="59" t="s">
        <v>155</v>
      </c>
      <c r="C30" s="119">
        <f>IF('Les normes-données de base'!$D$8=0,IF('Les normes-données de base'!$F$8-A27&gt;-5840,D30,0),0)+IF('Les normes-données de base'!$D$8=0,IF('Les normes-données de base'!$G$8-A27&gt;-5840,D30,0),0)+IF('Les normes-données de base'!$D$8=0,IF('Les normes-données de base'!$H$8-A27&gt;-5840,D30,0),0)+IF('Les normes-données de base'!$D$8=0,IF('Les normes-données de base'!$I$8-A27&gt;-5840,D30,0),0)+IF('Les normes-données de base'!$D$8=0,IF('Les normes-données de base'!$E$8-A27&gt;-5840,D30,0),0)</f>
        <v>0</v>
      </c>
      <c r="D30" s="115">
        <v>200</v>
      </c>
      <c r="E30" s="81" t="s">
        <v>156</v>
      </c>
    </row>
    <row r="31" spans="1:5" x14ac:dyDescent="0.25">
      <c r="A31" s="118">
        <v>42217</v>
      </c>
      <c r="B31" s="59"/>
      <c r="C31" s="119"/>
    </row>
    <row r="32" spans="1:5" ht="30" x14ac:dyDescent="0.25">
      <c r="A32" s="81" t="s">
        <v>170</v>
      </c>
      <c r="B32" s="59" t="s">
        <v>153</v>
      </c>
      <c r="C32" s="119">
        <f>C28</f>
        <v>0</v>
      </c>
      <c r="D32" s="115">
        <v>100</v>
      </c>
      <c r="E32" s="81" t="s">
        <v>126</v>
      </c>
    </row>
    <row r="33" spans="1:6" x14ac:dyDescent="0.25">
      <c r="A33" s="81" t="s">
        <v>170</v>
      </c>
      <c r="B33" s="59" t="s">
        <v>154</v>
      </c>
      <c r="C33" s="119">
        <f>IF(A32='BU-janv'!$C$2,IF('BU-janv'!$N$31=$D$3,D33*'BU-janv'!$N$32,0),0)</f>
        <v>0</v>
      </c>
      <c r="D33" s="115">
        <v>250</v>
      </c>
      <c r="E33" s="81" t="s">
        <v>126</v>
      </c>
    </row>
    <row r="34" spans="1:6" ht="45" x14ac:dyDescent="0.25">
      <c r="A34" s="81" t="s">
        <v>170</v>
      </c>
      <c r="B34" s="59" t="s">
        <v>155</v>
      </c>
      <c r="C34" s="119">
        <f>IF('Les normes-données de base'!$D$8=0,IF('Les normes-données de base'!$F$8-A31&gt;-5840,D34,0),0)+IF('Les normes-données de base'!$D$8=0,IF('Les normes-données de base'!$G$8-A31&gt;-5840,D34,0),0)+IF('Les normes-données de base'!$D$8=0,IF('Les normes-données de base'!$H$8-A31&gt;-5840,D34,0),0)+IF('Les normes-données de base'!$D$8=0,IF('Les normes-données de base'!$I$8-A31&gt;-5840,D34,0),0)+IF('Les normes-données de base'!$D$8=0,IF('Les normes-données de base'!$E$8-A31&gt;-5840,D34,0),0)</f>
        <v>0</v>
      </c>
      <c r="D34" s="115">
        <v>200</v>
      </c>
      <c r="E34" s="81" t="s">
        <v>156</v>
      </c>
    </row>
    <row r="35" spans="1:6" x14ac:dyDescent="0.25">
      <c r="A35" s="118">
        <v>42248</v>
      </c>
      <c r="B35" s="59"/>
      <c r="C35" s="119"/>
    </row>
    <row r="36" spans="1:6" ht="30" x14ac:dyDescent="0.25">
      <c r="A36" s="81" t="s">
        <v>171</v>
      </c>
      <c r="B36" s="59" t="s">
        <v>153</v>
      </c>
      <c r="C36" s="119">
        <f>C32</f>
        <v>0</v>
      </c>
      <c r="D36" s="115">
        <v>100</v>
      </c>
      <c r="E36" s="81" t="s">
        <v>126</v>
      </c>
    </row>
    <row r="37" spans="1:6" x14ac:dyDescent="0.25">
      <c r="A37" s="81" t="s">
        <v>171</v>
      </c>
      <c r="B37" s="59" t="s">
        <v>154</v>
      </c>
      <c r="C37" s="119">
        <f>IF(A36='BU-janv'!$C$2,IF('BU-janv'!$N$31=$D$3,D37*'BU-janv'!$N$32,0),0)</f>
        <v>0</v>
      </c>
      <c r="D37" s="115">
        <v>250</v>
      </c>
      <c r="E37" s="81" t="s">
        <v>126</v>
      </c>
    </row>
    <row r="38" spans="1:6" ht="45" x14ac:dyDescent="0.25">
      <c r="A38" s="81" t="s">
        <v>171</v>
      </c>
      <c r="B38" s="59" t="s">
        <v>155</v>
      </c>
      <c r="C38" s="119">
        <f>IF('Les normes-données de base'!$D$8=0,IF('Les normes-données de base'!$F$8-A35&gt;-5840,D38,0),0)+IF('Les normes-données de base'!$D$8=0,IF('Les normes-données de base'!$G$8-A35&gt;-5840,D38,0),0)+IF('Les normes-données de base'!$D$8=0,IF('Les normes-données de base'!$H$8-A35&gt;-5840,D38,0),0)+IF('Les normes-données de base'!$D$8=0,IF('Les normes-données de base'!$I$8-A35&gt;-5840,D38,0),0)+IF('Les normes-données de base'!$D$8=0,IF('Les normes-données de base'!$E$8-A35&gt;-5840,D38,0),0)</f>
        <v>0</v>
      </c>
      <c r="D38" s="115">
        <v>200</v>
      </c>
      <c r="E38" s="81" t="s">
        <v>156</v>
      </c>
    </row>
    <row r="39" spans="1:6" x14ac:dyDescent="0.25">
      <c r="A39" s="118">
        <v>42278</v>
      </c>
      <c r="B39" s="59"/>
      <c r="C39" s="119"/>
    </row>
    <row r="40" spans="1:6" ht="30" x14ac:dyDescent="0.25">
      <c r="A40" s="81" t="s">
        <v>172</v>
      </c>
      <c r="B40" s="59" t="s">
        <v>153</v>
      </c>
      <c r="C40" s="119">
        <f>C36</f>
        <v>0</v>
      </c>
      <c r="D40" s="115">
        <v>100</v>
      </c>
      <c r="E40" s="81" t="s">
        <v>126</v>
      </c>
    </row>
    <row r="41" spans="1:6" x14ac:dyDescent="0.25">
      <c r="A41" s="81" t="s">
        <v>172</v>
      </c>
      <c r="B41" s="59" t="s">
        <v>154</v>
      </c>
      <c r="C41" s="119">
        <f>IF(A40='BU-janv'!$C$2,IF('BU-janv'!$N$31=$D$3,D41*'BU-janv'!$N$32,0),0)</f>
        <v>0</v>
      </c>
      <c r="D41" s="115">
        <v>250</v>
      </c>
      <c r="E41" s="81" t="s">
        <v>126</v>
      </c>
    </row>
    <row r="42" spans="1:6" ht="45" x14ac:dyDescent="0.25">
      <c r="A42" s="81" t="s">
        <v>172</v>
      </c>
      <c r="B42" s="59" t="s">
        <v>155</v>
      </c>
      <c r="C42" s="119">
        <f>IF('Les normes-données de base'!$D$8=0,IF('Les normes-données de base'!$F$8-A39&gt;-5840,D42,0),0)+IF('Les normes-données de base'!$D$8=0,IF('Les normes-données de base'!$G$8-A39&gt;-5840,D42,0),0)+IF('Les normes-données de base'!$D$8=0,IF('Les normes-données de base'!$H$8-A39&gt;-5840,D42,0),0)+IF('Les normes-données de base'!$D$8=0,IF('Les normes-données de base'!$I$8-A39&gt;-5840,D42,0),0)+IF('Les normes-données de base'!$D$8=0,IF('Les normes-données de base'!$E$8-A39&gt;-5840,D42,0),0)</f>
        <v>0</v>
      </c>
      <c r="D42" s="115">
        <v>200</v>
      </c>
      <c r="E42" s="81" t="s">
        <v>156</v>
      </c>
    </row>
    <row r="43" spans="1:6" x14ac:dyDescent="0.25">
      <c r="A43" s="118">
        <v>42309</v>
      </c>
      <c r="B43" s="59"/>
      <c r="C43" s="119"/>
    </row>
    <row r="44" spans="1:6" ht="30" x14ac:dyDescent="0.25">
      <c r="A44" s="81" t="s">
        <v>173</v>
      </c>
      <c r="B44" s="59" t="s">
        <v>153</v>
      </c>
      <c r="C44" s="119">
        <f>C40</f>
        <v>0</v>
      </c>
      <c r="D44" s="115">
        <v>100</v>
      </c>
      <c r="E44" s="81" t="s">
        <v>126</v>
      </c>
    </row>
    <row r="45" spans="1:6" x14ac:dyDescent="0.25">
      <c r="A45" s="81" t="s">
        <v>173</v>
      </c>
      <c r="B45" s="59" t="s">
        <v>154</v>
      </c>
      <c r="C45" s="119">
        <f>IF(A44='BU-janv'!$C$2,IF('BU-janv'!$N$31=$D$3,D45*'BU-janv'!$N$32,0),0)</f>
        <v>0</v>
      </c>
      <c r="D45" s="115">
        <v>250</v>
      </c>
      <c r="E45" s="81" t="s">
        <v>126</v>
      </c>
    </row>
    <row r="46" spans="1:6" ht="45" x14ac:dyDescent="0.25">
      <c r="A46" s="81" t="s">
        <v>173</v>
      </c>
      <c r="B46" s="59" t="s">
        <v>155</v>
      </c>
      <c r="C46" s="119">
        <f>IF('Les normes-données de base'!$D$8=0,IF('Les normes-données de base'!$F$8-A43&gt;-5840,D46,0),0)+IF('Les normes-données de base'!$D$8=0,IF('Les normes-données de base'!$G$8-A43&gt;-5840,D46,0),0)+IF('Les normes-données de base'!$D$8=0,IF('Les normes-données de base'!$H$8-A43&gt;-5840,D46,0),0)+IF('Les normes-données de base'!$D$8=0,IF('Les normes-données de base'!$I$8-A43&gt;-5840,D46,0),0)+IF('Les normes-données de base'!$D$8=0,IF('Les normes-données de base'!$E$8-A43&gt;-5840,D46,0),0)</f>
        <v>0</v>
      </c>
      <c r="D46" s="115">
        <v>200</v>
      </c>
      <c r="E46" s="81" t="s">
        <v>156</v>
      </c>
      <c r="F46" s="119"/>
    </row>
    <row r="47" spans="1:6" x14ac:dyDescent="0.25">
      <c r="A47" s="118">
        <v>42339</v>
      </c>
      <c r="B47" s="59"/>
      <c r="C47" s="119"/>
    </row>
    <row r="48" spans="1:6" ht="30" x14ac:dyDescent="0.25">
      <c r="A48" s="81" t="s">
        <v>174</v>
      </c>
      <c r="B48" s="59" t="s">
        <v>153</v>
      </c>
      <c r="C48" s="119">
        <f>C44</f>
        <v>0</v>
      </c>
      <c r="D48" s="115">
        <v>100</v>
      </c>
      <c r="E48" s="81" t="s">
        <v>126</v>
      </c>
    </row>
    <row r="49" spans="1:5" x14ac:dyDescent="0.25">
      <c r="A49" s="81" t="s">
        <v>174</v>
      </c>
      <c r="B49" s="59" t="s">
        <v>154</v>
      </c>
      <c r="C49" s="119">
        <f>IF(A48='BU-janv'!$C$2,IF('BU-janv'!$N$31=$D$3,D49*'BU-janv'!$N$32,0),0)</f>
        <v>0</v>
      </c>
      <c r="D49" s="115">
        <v>250</v>
      </c>
      <c r="E49" s="81" t="s">
        <v>126</v>
      </c>
    </row>
    <row r="50" spans="1:5" ht="45" x14ac:dyDescent="0.25">
      <c r="A50" s="81" t="s">
        <v>174</v>
      </c>
      <c r="B50" s="59" t="s">
        <v>155</v>
      </c>
      <c r="C50" s="119">
        <f>IF('Les normes-données de base'!$D$8=0,IF('Les normes-données de base'!$F$8-A47&gt;-5840,D50,0),0)+IF('Les normes-données de base'!$D$8=0,IF('Les normes-données de base'!$G$8-A47&gt;-5840,D50,0),0)+IF('Les normes-données de base'!$D$8=0,IF('Les normes-données de base'!$H$8-A47&gt;-5840,D50,0),0)+IF('Les normes-données de base'!$D$8=0,IF('Les normes-données de base'!$I$8-A47&gt;-5840,D50,0),0)+IF('Les normes-données de base'!$D$8=0,IF('Les normes-données de base'!$E$8-A47&gt;-5840,D50,0),0)</f>
        <v>0</v>
      </c>
      <c r="D50" s="115">
        <v>200</v>
      </c>
      <c r="E50" s="81" t="s">
        <v>156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O50"/>
  <sheetViews>
    <sheetView workbookViewId="0">
      <selection activeCell="K8" sqref="K8"/>
    </sheetView>
  </sheetViews>
  <sheetFormatPr baseColWidth="10" defaultRowHeight="18.75" x14ac:dyDescent="0.3"/>
  <cols>
    <col min="1" max="1" width="22.5703125" style="63" customWidth="1"/>
    <col min="4" max="4" width="22.5703125" customWidth="1"/>
    <col min="8" max="8" width="11.42578125" style="40"/>
  </cols>
  <sheetData>
    <row r="1" spans="1:15" ht="38.25" x14ac:dyDescent="0.3">
      <c r="E1" s="22" t="s">
        <v>0</v>
      </c>
      <c r="F1" s="23" t="s">
        <v>1</v>
      </c>
      <c r="G1" s="23" t="s">
        <v>2</v>
      </c>
      <c r="H1" s="94" t="s">
        <v>3</v>
      </c>
    </row>
    <row r="2" spans="1:15" x14ac:dyDescent="0.3">
      <c r="B2" s="9" t="s">
        <v>38</v>
      </c>
      <c r="C2" s="10"/>
      <c r="D2" s="63"/>
      <c r="E2" s="20"/>
      <c r="F2" s="20"/>
      <c r="G2" s="20"/>
      <c r="H2" s="77"/>
    </row>
    <row r="3" spans="1:15" x14ac:dyDescent="0.3">
      <c r="A3" s="63" t="s">
        <v>70</v>
      </c>
      <c r="B3" s="12" t="s">
        <v>51</v>
      </c>
      <c r="C3" s="8"/>
      <c r="D3" s="13"/>
      <c r="E3" s="62"/>
      <c r="F3" s="62">
        <v>2400</v>
      </c>
      <c r="G3" s="78">
        <f ca="1">(SUMIF('Les normes-données de base'!A$45:B$52,'BU-janv'!$D$9,'Les normes-données de base'!B$45:B$52))</f>
        <v>1150</v>
      </c>
      <c r="H3" s="95">
        <f ca="1">IF(F3&lt;G3,0,F3-G3)</f>
        <v>1250</v>
      </c>
      <c r="J3" s="26" t="s">
        <v>132</v>
      </c>
      <c r="K3" s="26"/>
      <c r="L3" s="26"/>
      <c r="M3" s="26"/>
      <c r="N3" s="26"/>
      <c r="O3" s="26"/>
    </row>
    <row r="4" spans="1:15" x14ac:dyDescent="0.3">
      <c r="A4" s="63" t="s">
        <v>70</v>
      </c>
      <c r="B4" s="12" t="s">
        <v>43</v>
      </c>
      <c r="C4" s="8"/>
      <c r="D4" s="13"/>
      <c r="E4" s="62"/>
      <c r="F4" s="62">
        <v>270</v>
      </c>
      <c r="G4" s="78">
        <f>F4+E4</f>
        <v>270</v>
      </c>
      <c r="H4" s="95">
        <f>IF(F4&lt;G4,0,F4-G4)</f>
        <v>0</v>
      </c>
    </row>
    <row r="5" spans="1:15" x14ac:dyDescent="0.3">
      <c r="B5" s="14" t="s">
        <v>44</v>
      </c>
      <c r="C5" s="15"/>
      <c r="D5" s="16"/>
      <c r="E5" s="21"/>
      <c r="F5" s="21"/>
      <c r="G5" s="21"/>
      <c r="H5" s="96"/>
    </row>
    <row r="6" spans="1:15" x14ac:dyDescent="0.3">
      <c r="A6" s="63" t="s">
        <v>71</v>
      </c>
      <c r="B6" s="9" t="s">
        <v>38</v>
      </c>
      <c r="C6" s="10"/>
      <c r="D6" s="63"/>
      <c r="E6" s="76"/>
      <c r="F6" s="76"/>
      <c r="G6" s="92"/>
      <c r="H6" s="77"/>
    </row>
    <row r="7" spans="1:15" x14ac:dyDescent="0.3">
      <c r="A7" s="63" t="s">
        <v>71</v>
      </c>
      <c r="B7" s="12" t="s">
        <v>51</v>
      </c>
      <c r="C7" s="8"/>
      <c r="D7" s="13"/>
      <c r="E7" s="78">
        <f>E3</f>
        <v>0</v>
      </c>
      <c r="F7" s="78">
        <f t="shared" ref="F7" si="0">F3</f>
        <v>2400</v>
      </c>
      <c r="G7" s="57">
        <f ca="1">(SUMIF('Les normes-données de base'!A$45:B$52,'BU-janv'!$D$8,'Les normes-données de base'!B$45:B$52))/'BU-janv'!$D$8*'BU-janv'!$D$9</f>
        <v>900</v>
      </c>
      <c r="H7" s="95">
        <f ca="1">IF(F7&lt;G7,0,F7-G7)</f>
        <v>1500</v>
      </c>
    </row>
    <row r="8" spans="1:15" x14ac:dyDescent="0.3">
      <c r="A8" s="63" t="s">
        <v>71</v>
      </c>
      <c r="B8" s="12" t="s">
        <v>43</v>
      </c>
      <c r="C8" s="8"/>
      <c r="D8" s="13"/>
      <c r="E8" s="78">
        <f>E4</f>
        <v>0</v>
      </c>
      <c r="F8" s="78">
        <f t="shared" ref="F8" si="1">F4</f>
        <v>270</v>
      </c>
      <c r="G8" s="57">
        <f>F8+E8</f>
        <v>270</v>
      </c>
      <c r="H8" s="95">
        <f>IF(F8&lt;G8,0,F8-G8)</f>
        <v>0</v>
      </c>
    </row>
    <row r="9" spans="1:15" x14ac:dyDescent="0.3">
      <c r="B9" s="14" t="s">
        <v>44</v>
      </c>
      <c r="C9" s="15"/>
      <c r="D9" s="16"/>
      <c r="E9" s="79">
        <f>SUM(E7:E8)</f>
        <v>0</v>
      </c>
      <c r="F9" s="79">
        <f t="shared" ref="F9:H9" si="2">SUM(F7:F8)</f>
        <v>2670</v>
      </c>
      <c r="G9" s="93">
        <f t="shared" ca="1" si="2"/>
        <v>1170</v>
      </c>
      <c r="H9" s="79">
        <f t="shared" ca="1" si="2"/>
        <v>1500</v>
      </c>
    </row>
    <row r="10" spans="1:15" x14ac:dyDescent="0.3">
      <c r="A10" s="63" t="s">
        <v>72</v>
      </c>
      <c r="B10" s="9" t="s">
        <v>38</v>
      </c>
      <c r="C10" s="10"/>
      <c r="D10" s="63"/>
      <c r="E10" s="76"/>
      <c r="F10" s="76"/>
      <c r="G10" s="92"/>
      <c r="H10" s="77"/>
    </row>
    <row r="11" spans="1:15" x14ac:dyDescent="0.3">
      <c r="A11" s="63" t="s">
        <v>72</v>
      </c>
      <c r="B11" s="12" t="s">
        <v>51</v>
      </c>
      <c r="C11" s="8"/>
      <c r="D11" s="13"/>
      <c r="E11" s="78">
        <f>E7</f>
        <v>0</v>
      </c>
      <c r="F11" s="78">
        <f t="shared" ref="F11" si="3">F7</f>
        <v>2400</v>
      </c>
      <c r="G11" s="57">
        <f ca="1">(SUMIF('Les normes-données de base'!A$45:B$52,'BU-janv'!$D$8,'Les normes-données de base'!B$45:B$52))/'BU-janv'!$D$8*'BU-janv'!$D$9</f>
        <v>900</v>
      </c>
      <c r="H11" s="95">
        <f ca="1">IF(F11&lt;G11,0,F11-G11)</f>
        <v>1500</v>
      </c>
    </row>
    <row r="12" spans="1:15" x14ac:dyDescent="0.3">
      <c r="A12" s="63" t="s">
        <v>72</v>
      </c>
      <c r="B12" s="12" t="s">
        <v>43</v>
      </c>
      <c r="C12" s="8"/>
      <c r="D12" s="13"/>
      <c r="E12" s="78">
        <f>E8</f>
        <v>0</v>
      </c>
      <c r="F12" s="78">
        <f t="shared" ref="F12" si="4">F8</f>
        <v>270</v>
      </c>
      <c r="G12" s="57">
        <f>F12+E12</f>
        <v>270</v>
      </c>
      <c r="H12" s="95">
        <f>IF(F12&lt;G12,0,F12-G12)</f>
        <v>0</v>
      </c>
    </row>
    <row r="13" spans="1:15" x14ac:dyDescent="0.3">
      <c r="B13" s="14" t="s">
        <v>44</v>
      </c>
      <c r="C13" s="15"/>
      <c r="D13" s="16"/>
      <c r="E13" s="79">
        <f>SUM(E11:E12)</f>
        <v>0</v>
      </c>
      <c r="F13" s="79">
        <f t="shared" ref="F13" si="5">SUM(F11:F12)</f>
        <v>2670</v>
      </c>
      <c r="G13" s="93">
        <f t="shared" ref="G13" ca="1" si="6">SUM(G11:G12)</f>
        <v>1170</v>
      </c>
      <c r="H13" s="79">
        <f t="shared" ref="H13" ca="1" si="7">SUM(H11:H12)</f>
        <v>1500</v>
      </c>
    </row>
    <row r="14" spans="1:15" x14ac:dyDescent="0.3">
      <c r="A14" s="63" t="s">
        <v>73</v>
      </c>
      <c r="B14" s="9" t="s">
        <v>38</v>
      </c>
      <c r="C14" s="10"/>
      <c r="D14" s="63"/>
      <c r="E14" s="76"/>
      <c r="F14" s="76"/>
      <c r="G14" s="92"/>
      <c r="H14" s="77"/>
    </row>
    <row r="15" spans="1:15" x14ac:dyDescent="0.3">
      <c r="A15" s="63" t="s">
        <v>73</v>
      </c>
      <c r="B15" s="12" t="s">
        <v>51</v>
      </c>
      <c r="C15" s="8"/>
      <c r="D15" s="13"/>
      <c r="E15" s="78">
        <f>E11</f>
        <v>0</v>
      </c>
      <c r="F15" s="78">
        <f t="shared" ref="F15" si="8">F11</f>
        <v>2400</v>
      </c>
      <c r="G15" s="57">
        <f ca="1">(SUMIF('Les normes-données de base'!A$45:B$52,'BU-janv'!$D$8,'Les normes-données de base'!B$45:B$52))/'BU-janv'!$D$8*'BU-janv'!$D$9</f>
        <v>900</v>
      </c>
      <c r="H15" s="95">
        <f ca="1">IF(F15&lt;G15,0,F15-G15)</f>
        <v>1500</v>
      </c>
    </row>
    <row r="16" spans="1:15" x14ac:dyDescent="0.3">
      <c r="A16" s="63" t="s">
        <v>73</v>
      </c>
      <c r="B16" s="12" t="s">
        <v>43</v>
      </c>
      <c r="C16" s="8"/>
      <c r="D16" s="13"/>
      <c r="E16" s="78">
        <f>E12</f>
        <v>0</v>
      </c>
      <c r="F16" s="78">
        <f t="shared" ref="F16" si="9">F12</f>
        <v>270</v>
      </c>
      <c r="G16" s="57">
        <f>F16+E16</f>
        <v>270</v>
      </c>
      <c r="H16" s="95">
        <f>IF(F16&lt;G16,0,F16-G16)</f>
        <v>0</v>
      </c>
    </row>
    <row r="17" spans="1:8" x14ac:dyDescent="0.3">
      <c r="B17" s="14" t="s">
        <v>44</v>
      </c>
      <c r="C17" s="15"/>
      <c r="D17" s="16"/>
      <c r="E17" s="79">
        <f>SUM(E15:E16)</f>
        <v>0</v>
      </c>
      <c r="F17" s="79">
        <f t="shared" ref="F17" si="10">SUM(F15:F16)</f>
        <v>2670</v>
      </c>
      <c r="G17" s="93">
        <f t="shared" ref="G17" ca="1" si="11">SUM(G15:G16)</f>
        <v>1170</v>
      </c>
      <c r="H17" s="79">
        <f t="shared" ref="H17" ca="1" si="12">SUM(H15:H16)</f>
        <v>1500</v>
      </c>
    </row>
    <row r="18" spans="1:8" x14ac:dyDescent="0.3">
      <c r="A18" s="63" t="s">
        <v>74</v>
      </c>
      <c r="B18" s="9" t="s">
        <v>38</v>
      </c>
      <c r="C18" s="10"/>
      <c r="D18" s="63"/>
      <c r="E18" s="76"/>
      <c r="F18" s="76"/>
      <c r="G18" s="92"/>
      <c r="H18" s="77"/>
    </row>
    <row r="19" spans="1:8" x14ac:dyDescent="0.3">
      <c r="A19" s="63" t="s">
        <v>74</v>
      </c>
      <c r="B19" s="12" t="s">
        <v>51</v>
      </c>
      <c r="C19" s="8"/>
      <c r="D19" s="13"/>
      <c r="E19" s="78">
        <f>E15</f>
        <v>0</v>
      </c>
      <c r="F19" s="78">
        <f t="shared" ref="F19" si="13">F15</f>
        <v>2400</v>
      </c>
      <c r="G19" s="57">
        <f ca="1">(SUMIF('Les normes-données de base'!A$45:B$52,'BU-janv'!$D$8,'Les normes-données de base'!B$45:B$52))/'BU-janv'!$D$8*'BU-janv'!$D$9</f>
        <v>900</v>
      </c>
      <c r="H19" s="95">
        <f ca="1">IF(F19&lt;G19,0,F19-G19)</f>
        <v>1500</v>
      </c>
    </row>
    <row r="20" spans="1:8" x14ac:dyDescent="0.3">
      <c r="A20" s="63" t="s">
        <v>74</v>
      </c>
      <c r="B20" s="12" t="s">
        <v>43</v>
      </c>
      <c r="C20" s="8"/>
      <c r="D20" s="13"/>
      <c r="E20" s="78">
        <f>E16</f>
        <v>0</v>
      </c>
      <c r="F20" s="78">
        <f t="shared" ref="F20" si="14">F16</f>
        <v>270</v>
      </c>
      <c r="G20" s="57">
        <f>F20+E20</f>
        <v>270</v>
      </c>
      <c r="H20" s="95">
        <f>IF(F20&lt;G20,0,F20-G20)</f>
        <v>0</v>
      </c>
    </row>
    <row r="21" spans="1:8" x14ac:dyDescent="0.3">
      <c r="B21" s="14" t="s">
        <v>44</v>
      </c>
      <c r="C21" s="15"/>
      <c r="D21" s="16"/>
      <c r="E21" s="79">
        <f>SUM(E19:E20)</f>
        <v>0</v>
      </c>
      <c r="F21" s="79">
        <f t="shared" ref="F21" si="15">SUM(F19:F20)</f>
        <v>2670</v>
      </c>
      <c r="G21" s="93">
        <f t="shared" ref="G21" ca="1" si="16">SUM(G19:G20)</f>
        <v>1170</v>
      </c>
      <c r="H21" s="79">
        <f t="shared" ref="H21" ca="1" si="17">SUM(H19:H20)</f>
        <v>1500</v>
      </c>
    </row>
    <row r="22" spans="1:8" x14ac:dyDescent="0.3">
      <c r="B22" s="9" t="s">
        <v>38</v>
      </c>
      <c r="C22" s="10"/>
      <c r="D22" s="63"/>
      <c r="E22" s="76"/>
      <c r="F22" s="76"/>
      <c r="G22" s="92"/>
      <c r="H22" s="77"/>
    </row>
    <row r="23" spans="1:8" x14ac:dyDescent="0.3">
      <c r="A23" s="63" t="s">
        <v>75</v>
      </c>
      <c r="B23" s="12" t="s">
        <v>51</v>
      </c>
      <c r="C23" s="8"/>
      <c r="D23" s="13"/>
      <c r="E23" s="78">
        <f>E19</f>
        <v>0</v>
      </c>
      <c r="F23" s="78">
        <f t="shared" ref="F23" si="18">F19</f>
        <v>2400</v>
      </c>
      <c r="G23" s="57">
        <f ca="1">(SUMIF('Les normes-données de base'!A$45:B$52,'BU-janv'!$D$8,'Les normes-données de base'!B$45:B$52))/'BU-janv'!$D$8*'BU-janv'!$D$9</f>
        <v>900</v>
      </c>
      <c r="H23" s="95">
        <f ca="1">IF(F23&lt;G23,0,F23-G23)</f>
        <v>1500</v>
      </c>
    </row>
    <row r="24" spans="1:8" x14ac:dyDescent="0.3">
      <c r="A24" s="63" t="s">
        <v>75</v>
      </c>
      <c r="B24" s="12" t="s">
        <v>43</v>
      </c>
      <c r="C24" s="8"/>
      <c r="D24" s="13"/>
      <c r="E24" s="78">
        <f>E20</f>
        <v>0</v>
      </c>
      <c r="F24" s="78">
        <f t="shared" ref="F24" si="19">F20</f>
        <v>270</v>
      </c>
      <c r="G24" s="57">
        <f>F24+E24</f>
        <v>270</v>
      </c>
      <c r="H24" s="95">
        <f>IF(F24&lt;G24,0,F24-G24)</f>
        <v>0</v>
      </c>
    </row>
    <row r="25" spans="1:8" x14ac:dyDescent="0.3">
      <c r="B25" s="14" t="s">
        <v>44</v>
      </c>
      <c r="C25" s="15"/>
      <c r="D25" s="16"/>
      <c r="E25" s="79">
        <f>SUM(E23:E24)</f>
        <v>0</v>
      </c>
      <c r="F25" s="79">
        <f t="shared" ref="F25" si="20">SUM(F23:F24)</f>
        <v>2670</v>
      </c>
      <c r="G25" s="93">
        <f t="shared" ref="G25" ca="1" si="21">SUM(G23:G24)</f>
        <v>1170</v>
      </c>
      <c r="H25" s="79">
        <f t="shared" ref="H25" ca="1" si="22">SUM(H23:H24)</f>
        <v>1500</v>
      </c>
    </row>
    <row r="26" spans="1:8" x14ac:dyDescent="0.3">
      <c r="A26" s="63" t="s">
        <v>76</v>
      </c>
      <c r="B26" s="9" t="s">
        <v>38</v>
      </c>
      <c r="C26" s="10"/>
      <c r="D26" s="63"/>
      <c r="E26" s="76"/>
      <c r="F26" s="76"/>
      <c r="G26" s="92"/>
      <c r="H26" s="77"/>
    </row>
    <row r="27" spans="1:8" x14ac:dyDescent="0.3">
      <c r="A27" s="63" t="s">
        <v>76</v>
      </c>
      <c r="B27" s="12" t="s">
        <v>51</v>
      </c>
      <c r="C27" s="8"/>
      <c r="D27" s="13"/>
      <c r="E27" s="78">
        <f>E23</f>
        <v>0</v>
      </c>
      <c r="F27" s="78">
        <f t="shared" ref="F27" si="23">F23</f>
        <v>2400</v>
      </c>
      <c r="G27" s="57">
        <f ca="1">(SUMIF('Les normes-données de base'!A$45:B$52,'BU-janv'!$D$8,'Les normes-données de base'!B$45:B$52))/'BU-janv'!$D$8*'BU-janv'!$D$9</f>
        <v>900</v>
      </c>
      <c r="H27" s="95">
        <f ca="1">IF(F27&lt;G27,0,F27-G27)</f>
        <v>1500</v>
      </c>
    </row>
    <row r="28" spans="1:8" x14ac:dyDescent="0.3">
      <c r="A28" s="63" t="s">
        <v>76</v>
      </c>
      <c r="B28" s="12" t="s">
        <v>43</v>
      </c>
      <c r="C28" s="8"/>
      <c r="D28" s="13"/>
      <c r="E28" s="78">
        <f>E24</f>
        <v>0</v>
      </c>
      <c r="F28" s="78">
        <f t="shared" ref="F28" si="24">F24</f>
        <v>270</v>
      </c>
      <c r="G28" s="57">
        <f>F28+E28</f>
        <v>270</v>
      </c>
      <c r="H28" s="95">
        <f>IF(F28&lt;G28,0,F28-G28)</f>
        <v>0</v>
      </c>
    </row>
    <row r="29" spans="1:8" x14ac:dyDescent="0.3">
      <c r="B29" s="14" t="s">
        <v>44</v>
      </c>
      <c r="C29" s="15"/>
      <c r="D29" s="16"/>
      <c r="E29" s="79">
        <f>SUM(E27:E28)</f>
        <v>0</v>
      </c>
      <c r="F29" s="79">
        <f t="shared" ref="F29" si="25">SUM(F27:F28)</f>
        <v>2670</v>
      </c>
      <c r="G29" s="93">
        <f t="shared" ref="G29" ca="1" si="26">SUM(G27:G28)</f>
        <v>1170</v>
      </c>
      <c r="H29" s="79">
        <f t="shared" ref="H29" ca="1" si="27">SUM(H27:H28)</f>
        <v>1500</v>
      </c>
    </row>
    <row r="30" spans="1:8" x14ac:dyDescent="0.3">
      <c r="A30" s="63" t="s">
        <v>77</v>
      </c>
      <c r="B30" s="9" t="s">
        <v>38</v>
      </c>
      <c r="C30" s="10"/>
      <c r="D30" s="63"/>
      <c r="E30" s="76"/>
      <c r="F30" s="76"/>
      <c r="G30" s="92"/>
      <c r="H30" s="77"/>
    </row>
    <row r="31" spans="1:8" x14ac:dyDescent="0.3">
      <c r="A31" s="63" t="s">
        <v>77</v>
      </c>
      <c r="B31" s="12" t="s">
        <v>51</v>
      </c>
      <c r="C31" s="8"/>
      <c r="D31" s="13"/>
      <c r="E31" s="78">
        <f>E27</f>
        <v>0</v>
      </c>
      <c r="F31" s="78">
        <f t="shared" ref="F31" si="28">F27</f>
        <v>2400</v>
      </c>
      <c r="G31" s="57">
        <f ca="1">(SUMIF('Les normes-données de base'!A$45:B$52,'BU-janv'!$D$8,'Les normes-données de base'!B$45:B$52))/'BU-janv'!$D$8*'BU-janv'!$D$9</f>
        <v>900</v>
      </c>
      <c r="H31" s="95">
        <f ca="1">IF(F31&lt;G31,0,F31-G31)</f>
        <v>1500</v>
      </c>
    </row>
    <row r="32" spans="1:8" x14ac:dyDescent="0.3">
      <c r="A32" s="63" t="s">
        <v>77</v>
      </c>
      <c r="B32" s="12" t="s">
        <v>43</v>
      </c>
      <c r="C32" s="8"/>
      <c r="D32" s="13"/>
      <c r="E32" s="78">
        <f>E28</f>
        <v>0</v>
      </c>
      <c r="F32" s="78">
        <f t="shared" ref="F32" si="29">F28</f>
        <v>270</v>
      </c>
      <c r="G32" s="57">
        <f>F32+E32</f>
        <v>270</v>
      </c>
      <c r="H32" s="95">
        <f>IF(F32&lt;G32,0,F32-G32)</f>
        <v>0</v>
      </c>
    </row>
    <row r="33" spans="1:11" x14ac:dyDescent="0.3">
      <c r="B33" s="14" t="s">
        <v>44</v>
      </c>
      <c r="C33" s="15"/>
      <c r="D33" s="16"/>
      <c r="E33" s="79">
        <f>SUM(E31:E32)</f>
        <v>0</v>
      </c>
      <c r="F33" s="79">
        <f t="shared" ref="F33" si="30">SUM(F31:F32)</f>
        <v>2670</v>
      </c>
      <c r="G33" s="93">
        <f t="shared" ref="G33" ca="1" si="31">SUM(G31:G32)</f>
        <v>1170</v>
      </c>
      <c r="H33" s="79">
        <f t="shared" ref="H33" ca="1" si="32">SUM(H31:H32)</f>
        <v>1500</v>
      </c>
    </row>
    <row r="34" spans="1:11" x14ac:dyDescent="0.3">
      <c r="A34" s="63" t="s">
        <v>78</v>
      </c>
      <c r="B34" s="9" t="s">
        <v>38</v>
      </c>
      <c r="C34" s="10"/>
      <c r="D34" s="63"/>
      <c r="E34" s="76"/>
      <c r="F34" s="76"/>
      <c r="G34" s="92"/>
      <c r="H34" s="77"/>
    </row>
    <row r="35" spans="1:11" x14ac:dyDescent="0.3">
      <c r="A35" s="63" t="s">
        <v>78</v>
      </c>
      <c r="B35" s="12" t="s">
        <v>51</v>
      </c>
      <c r="C35" s="8"/>
      <c r="D35" s="13"/>
      <c r="E35" s="78">
        <f>E31</f>
        <v>0</v>
      </c>
      <c r="F35" s="78">
        <f t="shared" ref="F35" si="33">F31</f>
        <v>2400</v>
      </c>
      <c r="G35" s="57">
        <f ca="1">(SUMIF('Les normes-données de base'!A$45:B$52,'BU-janv'!$D$8,'Les normes-données de base'!B$45:B$52))/'BU-janv'!$D$8*'BU-janv'!$D$9</f>
        <v>900</v>
      </c>
      <c r="H35" s="95">
        <f ca="1">IF(F35&lt;G35,0,F35-G35)</f>
        <v>1500</v>
      </c>
    </row>
    <row r="36" spans="1:11" x14ac:dyDescent="0.3">
      <c r="A36" s="63" t="s">
        <v>78</v>
      </c>
      <c r="B36" s="12" t="s">
        <v>43</v>
      </c>
      <c r="C36" s="8"/>
      <c r="D36" s="13"/>
      <c r="E36" s="78">
        <f>E32</f>
        <v>0</v>
      </c>
      <c r="F36" s="78">
        <f t="shared" ref="F36" si="34">F32</f>
        <v>270</v>
      </c>
      <c r="G36" s="57">
        <f>F36+E36</f>
        <v>270</v>
      </c>
      <c r="H36" s="95">
        <f>IF(F36&lt;G36,0,F36-G36)</f>
        <v>0</v>
      </c>
    </row>
    <row r="37" spans="1:11" x14ac:dyDescent="0.3">
      <c r="B37" s="14" t="s">
        <v>44</v>
      </c>
      <c r="C37" s="15"/>
      <c r="D37" s="16"/>
      <c r="E37" s="79">
        <f>SUM(E35:E36)</f>
        <v>0</v>
      </c>
      <c r="F37" s="79">
        <f t="shared" ref="F37" si="35">SUM(F35:F36)</f>
        <v>2670</v>
      </c>
      <c r="G37" s="93">
        <f t="shared" ref="G37" ca="1" si="36">SUM(G35:G36)</f>
        <v>1170</v>
      </c>
      <c r="H37" s="79">
        <f t="shared" ref="H37" ca="1" si="37">SUM(H35:H36)</f>
        <v>1500</v>
      </c>
    </row>
    <row r="38" spans="1:11" x14ac:dyDescent="0.3">
      <c r="A38" s="63" t="s">
        <v>79</v>
      </c>
      <c r="B38" s="9" t="s">
        <v>38</v>
      </c>
      <c r="C38" s="10"/>
      <c r="D38" s="63"/>
      <c r="E38" s="76"/>
      <c r="F38" s="76"/>
      <c r="G38" s="92"/>
      <c r="H38" s="77"/>
    </row>
    <row r="39" spans="1:11" x14ac:dyDescent="0.3">
      <c r="A39" s="63" t="s">
        <v>79</v>
      </c>
      <c r="B39" s="12" t="s">
        <v>51</v>
      </c>
      <c r="C39" s="8"/>
      <c r="D39" s="13"/>
      <c r="E39" s="78">
        <f>E35</f>
        <v>0</v>
      </c>
      <c r="F39" s="78">
        <f t="shared" ref="F39" si="38">F35</f>
        <v>2400</v>
      </c>
      <c r="G39" s="57">
        <f ca="1">(SUMIF('Les normes-données de base'!A$45:B$52,'BU-janv'!$D$8,'Les normes-données de base'!B$45:B$52))/'BU-janv'!$D$8*'BU-janv'!$D$9</f>
        <v>900</v>
      </c>
      <c r="H39" s="95">
        <f ca="1">IF(F39&lt;G39,0,F39-G39)</f>
        <v>1500</v>
      </c>
      <c r="K39" s="57">
        <f ca="1">(SUMIF('Les normes-données de base'!E$45:F$52,'BU-janv'!$D$8,'Les normes-données de base'!F$45:F$52))/'BU-janv'!$D$8*'BU-janv'!$D$9</f>
        <v>0</v>
      </c>
    </row>
    <row r="40" spans="1:11" x14ac:dyDescent="0.3">
      <c r="A40" s="63" t="s">
        <v>79</v>
      </c>
      <c r="B40" s="12" t="s">
        <v>43</v>
      </c>
      <c r="C40" s="8"/>
      <c r="D40" s="13"/>
      <c r="E40" s="78">
        <f>E36</f>
        <v>0</v>
      </c>
      <c r="F40" s="78">
        <f t="shared" ref="F40" si="39">F36</f>
        <v>270</v>
      </c>
      <c r="G40" s="57">
        <f>F40+E40</f>
        <v>270</v>
      </c>
      <c r="H40" s="95">
        <f>IF(F40&lt;G40,0,F40-G40)</f>
        <v>0</v>
      </c>
      <c r="K40" s="57">
        <f>J40+I40</f>
        <v>0</v>
      </c>
    </row>
    <row r="41" spans="1:11" x14ac:dyDescent="0.3">
      <c r="B41" s="14" t="s">
        <v>44</v>
      </c>
      <c r="C41" s="15"/>
      <c r="D41" s="16"/>
      <c r="E41" s="79">
        <f>SUM(E39:E40)</f>
        <v>0</v>
      </c>
      <c r="F41" s="79">
        <f t="shared" ref="F41" si="40">SUM(F39:F40)</f>
        <v>2670</v>
      </c>
      <c r="G41" s="93">
        <f t="shared" ref="G41" ca="1" si="41">SUM(G39:G40)</f>
        <v>1170</v>
      </c>
      <c r="H41" s="79">
        <f t="shared" ref="H41" ca="1" si="42">SUM(H39:H40)</f>
        <v>1500</v>
      </c>
    </row>
    <row r="42" spans="1:11" x14ac:dyDescent="0.3">
      <c r="A42" s="63" t="s">
        <v>80</v>
      </c>
      <c r="B42" s="9" t="s">
        <v>38</v>
      </c>
      <c r="C42" s="10"/>
      <c r="D42" s="63"/>
      <c r="E42" s="76"/>
      <c r="F42" s="76"/>
      <c r="G42" s="92"/>
      <c r="H42" s="77"/>
    </row>
    <row r="43" spans="1:11" x14ac:dyDescent="0.3">
      <c r="A43" s="63" t="s">
        <v>80</v>
      </c>
      <c r="B43" s="12" t="s">
        <v>51</v>
      </c>
      <c r="C43" s="8"/>
      <c r="D43" s="13"/>
      <c r="E43" s="78">
        <f>E39</f>
        <v>0</v>
      </c>
      <c r="F43" s="78">
        <f t="shared" ref="F43" si="43">F39</f>
        <v>2400</v>
      </c>
      <c r="G43" s="57">
        <f ca="1">(SUMIF('Les normes-données de base'!A$45:B$52,'BU-janv'!$D$8,'Les normes-données de base'!B$45:B$52))/'BU-janv'!$D$8*'BU-janv'!$D$9</f>
        <v>900</v>
      </c>
      <c r="H43" s="95">
        <f ca="1">IF(F43&lt;G43,0,F43-G43)</f>
        <v>1500</v>
      </c>
    </row>
    <row r="44" spans="1:11" x14ac:dyDescent="0.3">
      <c r="A44" s="63" t="s">
        <v>80</v>
      </c>
      <c r="B44" s="12" t="s">
        <v>43</v>
      </c>
      <c r="C44" s="8"/>
      <c r="D44" s="13"/>
      <c r="E44" s="78">
        <f>E40</f>
        <v>0</v>
      </c>
      <c r="F44" s="78">
        <f t="shared" ref="F44" si="44">F40</f>
        <v>270</v>
      </c>
      <c r="G44" s="57">
        <f>F44+E44</f>
        <v>270</v>
      </c>
      <c r="H44" s="95">
        <f>IF(F44&lt;G44,0,F44-G44)</f>
        <v>0</v>
      </c>
    </row>
    <row r="45" spans="1:11" x14ac:dyDescent="0.3">
      <c r="B45" s="14" t="s">
        <v>44</v>
      </c>
      <c r="C45" s="15"/>
      <c r="D45" s="16"/>
      <c r="E45" s="79">
        <f>SUM(E43:E44)</f>
        <v>0</v>
      </c>
      <c r="F45" s="79">
        <f t="shared" ref="F45" si="45">SUM(F43:F44)</f>
        <v>2670</v>
      </c>
      <c r="G45" s="93">
        <f t="shared" ref="G45" ca="1" si="46">SUM(G43:G44)</f>
        <v>1170</v>
      </c>
      <c r="H45" s="79">
        <f t="shared" ref="H45" ca="1" si="47">SUM(H43:H44)</f>
        <v>1500</v>
      </c>
    </row>
    <row r="46" spans="1:11" x14ac:dyDescent="0.3">
      <c r="A46" s="63" t="s">
        <v>81</v>
      </c>
      <c r="B46" s="9" t="s">
        <v>38</v>
      </c>
      <c r="C46" s="10"/>
      <c r="D46" s="63"/>
      <c r="E46" s="76"/>
      <c r="F46" s="76"/>
      <c r="G46" s="92"/>
      <c r="H46" s="77"/>
    </row>
    <row r="47" spans="1:11" x14ac:dyDescent="0.3">
      <c r="A47" s="63" t="s">
        <v>81</v>
      </c>
      <c r="B47" s="12" t="s">
        <v>51</v>
      </c>
      <c r="C47" s="8"/>
      <c r="D47" s="13"/>
      <c r="E47" s="78">
        <f>E43</f>
        <v>0</v>
      </c>
      <c r="F47" s="78">
        <f t="shared" ref="F47" si="48">F43</f>
        <v>2400</v>
      </c>
      <c r="G47" s="57">
        <f ca="1">(SUMIF('Les normes-données de base'!A$45:B$52,'BU-janv'!$D$8,'Les normes-données de base'!B$45:B$52))/'BU-janv'!$D$8*'BU-janv'!$D$9</f>
        <v>900</v>
      </c>
      <c r="H47" s="95">
        <f ca="1">IF(F47&lt;G47,0,F47-G47)</f>
        <v>1500</v>
      </c>
    </row>
    <row r="48" spans="1:11" x14ac:dyDescent="0.3">
      <c r="A48" s="63" t="s">
        <v>81</v>
      </c>
      <c r="B48" s="12" t="s">
        <v>43</v>
      </c>
      <c r="C48" s="8"/>
      <c r="D48" s="13"/>
      <c r="E48" s="78">
        <f>E44</f>
        <v>0</v>
      </c>
      <c r="F48" s="78">
        <f t="shared" ref="F48" si="49">F44</f>
        <v>270</v>
      </c>
      <c r="G48" s="57">
        <f>F48+E48</f>
        <v>270</v>
      </c>
      <c r="H48" s="95">
        <f>IF(F48&lt;G48,0,F48-G48)</f>
        <v>0</v>
      </c>
    </row>
    <row r="49" spans="2:8" x14ac:dyDescent="0.3">
      <c r="B49" s="14" t="s">
        <v>44</v>
      </c>
      <c r="C49" s="15"/>
      <c r="D49" s="16"/>
      <c r="E49" s="79">
        <f>SUM(E47:E48)</f>
        <v>0</v>
      </c>
      <c r="F49" s="79">
        <f t="shared" ref="F49" si="50">SUM(F47:F48)</f>
        <v>2670</v>
      </c>
      <c r="G49" s="93">
        <f t="shared" ref="G49" ca="1" si="51">SUM(G47:G48)</f>
        <v>1170</v>
      </c>
      <c r="H49" s="79">
        <f t="shared" ref="H49" ca="1" si="52">SUM(H47:H48)</f>
        <v>1500</v>
      </c>
    </row>
    <row r="50" spans="2:8" x14ac:dyDescent="0.3">
      <c r="E50" s="40"/>
      <c r="F50" s="40"/>
      <c r="G50" s="4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50"/>
  <sheetViews>
    <sheetView topLeftCell="A2" workbookViewId="0">
      <selection activeCell="I7" sqref="I7"/>
    </sheetView>
  </sheetViews>
  <sheetFormatPr baseColWidth="10" defaultRowHeight="15" x14ac:dyDescent="0.25"/>
  <cols>
    <col min="2" max="2" width="27" customWidth="1"/>
  </cols>
  <sheetData>
    <row r="1" spans="1:6" ht="15.75" thickBot="1" x14ac:dyDescent="0.3"/>
    <row r="2" spans="1:6" ht="20.25" thickTop="1" thickBot="1" x14ac:dyDescent="0.3">
      <c r="B2" s="28" t="s">
        <v>90</v>
      </c>
      <c r="C2" s="30"/>
      <c r="D2" s="55" t="s">
        <v>70</v>
      </c>
      <c r="E2" s="100"/>
      <c r="F2" s="101"/>
    </row>
    <row r="3" spans="1:6" ht="30.75" thickTop="1" x14ac:dyDescent="0.25">
      <c r="B3" s="50"/>
      <c r="C3" s="51" t="s">
        <v>87</v>
      </c>
      <c r="D3" s="52" t="s">
        <v>88</v>
      </c>
      <c r="E3" s="29" t="s">
        <v>110</v>
      </c>
      <c r="F3" s="30" t="s">
        <v>89</v>
      </c>
    </row>
    <row r="4" spans="1:6" x14ac:dyDescent="0.25">
      <c r="A4" t="s">
        <v>70</v>
      </c>
      <c r="B4" s="34" t="s">
        <v>45</v>
      </c>
      <c r="C4" s="44" t="s">
        <v>109</v>
      </c>
      <c r="D4" s="53">
        <v>352.8</v>
      </c>
      <c r="E4" s="46" t="s">
        <v>111</v>
      </c>
      <c r="F4" s="47">
        <v>12.8</v>
      </c>
    </row>
    <row r="5" spans="1:6" ht="15.75" thickBot="1" x14ac:dyDescent="0.3">
      <c r="A5" t="s">
        <v>70</v>
      </c>
      <c r="B5" s="35" t="s">
        <v>46</v>
      </c>
      <c r="C5" s="45" t="s">
        <v>109</v>
      </c>
      <c r="D5" s="54">
        <v>12.4</v>
      </c>
      <c r="E5" s="48" t="s">
        <v>111</v>
      </c>
      <c r="F5" s="49">
        <v>0</v>
      </c>
    </row>
    <row r="6" spans="1:6" ht="16.5" customHeight="1" thickTop="1" thickBot="1" x14ac:dyDescent="0.3">
      <c r="B6" s="56"/>
      <c r="D6" s="55" t="s">
        <v>71</v>
      </c>
      <c r="E6" s="100"/>
      <c r="F6" s="101"/>
    </row>
    <row r="7" spans="1:6" ht="30.75" thickTop="1" x14ac:dyDescent="0.25">
      <c r="B7" s="50"/>
      <c r="C7" s="51" t="s">
        <v>87</v>
      </c>
      <c r="D7" s="52" t="s">
        <v>88</v>
      </c>
      <c r="E7" s="29" t="s">
        <v>110</v>
      </c>
      <c r="F7" s="30" t="s">
        <v>89</v>
      </c>
    </row>
    <row r="8" spans="1:6" x14ac:dyDescent="0.25">
      <c r="A8" t="str">
        <f t="shared" ref="A8" si="0">D6</f>
        <v>Février</v>
      </c>
      <c r="B8" s="34" t="s">
        <v>45</v>
      </c>
      <c r="C8" s="64" t="str">
        <f t="shared" ref="C8:F9" si="1">C4</f>
        <v>CSS</v>
      </c>
      <c r="D8" s="65">
        <f t="shared" si="1"/>
        <v>352.8</v>
      </c>
      <c r="E8" s="66" t="str">
        <f t="shared" si="1"/>
        <v>oui</v>
      </c>
      <c r="F8" s="67">
        <f t="shared" si="1"/>
        <v>12.8</v>
      </c>
    </row>
    <row r="9" spans="1:6" ht="15.75" thickBot="1" x14ac:dyDescent="0.3">
      <c r="A9" t="str">
        <f t="shared" ref="A9" si="2">D6</f>
        <v>Février</v>
      </c>
      <c r="B9" s="35" t="s">
        <v>46</v>
      </c>
      <c r="C9" s="68" t="str">
        <f t="shared" si="1"/>
        <v>CSS</v>
      </c>
      <c r="D9" s="69">
        <f t="shared" si="1"/>
        <v>12.4</v>
      </c>
      <c r="E9" s="70" t="str">
        <f t="shared" si="1"/>
        <v>oui</v>
      </c>
      <c r="F9" s="71">
        <f t="shared" si="1"/>
        <v>0</v>
      </c>
    </row>
    <row r="10" spans="1:6" ht="16.5" customHeight="1" thickTop="1" thickBot="1" x14ac:dyDescent="0.3">
      <c r="B10" s="56"/>
      <c r="C10" s="40"/>
      <c r="D10" s="55" t="s">
        <v>72</v>
      </c>
      <c r="E10" s="100"/>
      <c r="F10" s="101"/>
    </row>
    <row r="11" spans="1:6" ht="30.75" thickTop="1" x14ac:dyDescent="0.25">
      <c r="B11" s="50"/>
      <c r="C11" s="72" t="s">
        <v>87</v>
      </c>
      <c r="D11" s="73" t="s">
        <v>88</v>
      </c>
      <c r="E11" s="74" t="s">
        <v>110</v>
      </c>
      <c r="F11" s="75" t="s">
        <v>89</v>
      </c>
    </row>
    <row r="12" spans="1:6" x14ac:dyDescent="0.25">
      <c r="A12" t="str">
        <f t="shared" ref="A12" si="3">D10</f>
        <v>Mars</v>
      </c>
      <c r="B12" s="34" t="s">
        <v>45</v>
      </c>
      <c r="C12" s="64" t="str">
        <f t="shared" ref="C12:F13" si="4">C8</f>
        <v>CSS</v>
      </c>
      <c r="D12" s="65">
        <f t="shared" si="4"/>
        <v>352.8</v>
      </c>
      <c r="E12" s="66" t="str">
        <f t="shared" si="4"/>
        <v>oui</v>
      </c>
      <c r="F12" s="67">
        <f t="shared" si="4"/>
        <v>12.8</v>
      </c>
    </row>
    <row r="13" spans="1:6" ht="15.75" thickBot="1" x14ac:dyDescent="0.3">
      <c r="A13" t="str">
        <f t="shared" ref="A13" si="5">D10</f>
        <v>Mars</v>
      </c>
      <c r="B13" s="35" t="s">
        <v>46</v>
      </c>
      <c r="C13" s="68" t="str">
        <f t="shared" si="4"/>
        <v>CSS</v>
      </c>
      <c r="D13" s="69">
        <f t="shared" si="4"/>
        <v>12.4</v>
      </c>
      <c r="E13" s="70" t="str">
        <f t="shared" si="4"/>
        <v>oui</v>
      </c>
      <c r="F13" s="71">
        <f t="shared" si="4"/>
        <v>0</v>
      </c>
    </row>
    <row r="14" spans="1:6" ht="16.5" customHeight="1" thickTop="1" thickBot="1" x14ac:dyDescent="0.3">
      <c r="B14" s="56"/>
      <c r="C14" s="40"/>
      <c r="D14" s="55" t="s">
        <v>73</v>
      </c>
      <c r="E14" s="100"/>
      <c r="F14" s="101"/>
    </row>
    <row r="15" spans="1:6" ht="30.75" thickTop="1" x14ac:dyDescent="0.25">
      <c r="B15" s="50"/>
      <c r="C15" s="72" t="s">
        <v>87</v>
      </c>
      <c r="D15" s="73" t="s">
        <v>88</v>
      </c>
      <c r="E15" s="74" t="s">
        <v>110</v>
      </c>
      <c r="F15" s="75" t="s">
        <v>89</v>
      </c>
    </row>
    <row r="16" spans="1:6" x14ac:dyDescent="0.25">
      <c r="A16" t="str">
        <f t="shared" ref="A16" si="6">D14</f>
        <v>Avril</v>
      </c>
      <c r="B16" s="34" t="s">
        <v>45</v>
      </c>
      <c r="C16" s="64" t="str">
        <f t="shared" ref="C16:F17" si="7">C12</f>
        <v>CSS</v>
      </c>
      <c r="D16" s="65">
        <f t="shared" si="7"/>
        <v>352.8</v>
      </c>
      <c r="E16" s="66" t="str">
        <f t="shared" si="7"/>
        <v>oui</v>
      </c>
      <c r="F16" s="67">
        <f t="shared" si="7"/>
        <v>12.8</v>
      </c>
    </row>
    <row r="17" spans="1:6" ht="15.75" thickBot="1" x14ac:dyDescent="0.3">
      <c r="A17" t="str">
        <f t="shared" ref="A17" si="8">D14</f>
        <v>Avril</v>
      </c>
      <c r="B17" s="35" t="s">
        <v>46</v>
      </c>
      <c r="C17" s="68" t="str">
        <f t="shared" si="7"/>
        <v>CSS</v>
      </c>
      <c r="D17" s="69">
        <f t="shared" si="7"/>
        <v>12.4</v>
      </c>
      <c r="E17" s="70" t="str">
        <f t="shared" si="7"/>
        <v>oui</v>
      </c>
      <c r="F17" s="71">
        <f t="shared" si="7"/>
        <v>0</v>
      </c>
    </row>
    <row r="18" spans="1:6" ht="16.5" customHeight="1" thickTop="1" thickBot="1" x14ac:dyDescent="0.3">
      <c r="B18" s="56"/>
      <c r="C18" s="40"/>
      <c r="D18" s="55" t="s">
        <v>74</v>
      </c>
      <c r="E18" s="100"/>
      <c r="F18" s="101"/>
    </row>
    <row r="19" spans="1:6" ht="30.75" thickTop="1" x14ac:dyDescent="0.25">
      <c r="B19" s="50"/>
      <c r="C19" s="72" t="s">
        <v>87</v>
      </c>
      <c r="D19" s="73" t="s">
        <v>88</v>
      </c>
      <c r="E19" s="74" t="s">
        <v>110</v>
      </c>
      <c r="F19" s="75" t="s">
        <v>89</v>
      </c>
    </row>
    <row r="20" spans="1:6" x14ac:dyDescent="0.25">
      <c r="A20" t="str">
        <f t="shared" ref="A20" si="9">D18</f>
        <v>Mai</v>
      </c>
      <c r="B20" s="34" t="s">
        <v>45</v>
      </c>
      <c r="C20" s="64" t="str">
        <f t="shared" ref="C20:F21" si="10">C16</f>
        <v>CSS</v>
      </c>
      <c r="D20" s="65">
        <f t="shared" si="10"/>
        <v>352.8</v>
      </c>
      <c r="E20" s="66" t="str">
        <f t="shared" si="10"/>
        <v>oui</v>
      </c>
      <c r="F20" s="67">
        <f t="shared" si="10"/>
        <v>12.8</v>
      </c>
    </row>
    <row r="21" spans="1:6" ht="15.75" thickBot="1" x14ac:dyDescent="0.3">
      <c r="A21" t="str">
        <f t="shared" ref="A21" si="11">D18</f>
        <v>Mai</v>
      </c>
      <c r="B21" s="35" t="s">
        <v>46</v>
      </c>
      <c r="C21" s="68" t="str">
        <f t="shared" si="10"/>
        <v>CSS</v>
      </c>
      <c r="D21" s="69">
        <f t="shared" si="10"/>
        <v>12.4</v>
      </c>
      <c r="E21" s="70" t="str">
        <f t="shared" si="10"/>
        <v>oui</v>
      </c>
      <c r="F21" s="71">
        <f t="shared" si="10"/>
        <v>0</v>
      </c>
    </row>
    <row r="22" spans="1:6" ht="16.5" customHeight="1" thickTop="1" thickBot="1" x14ac:dyDescent="0.3">
      <c r="B22" s="56"/>
      <c r="C22" s="40"/>
      <c r="D22" s="55" t="s">
        <v>75</v>
      </c>
      <c r="E22" s="100"/>
      <c r="F22" s="101"/>
    </row>
    <row r="23" spans="1:6" ht="30.75" thickTop="1" x14ac:dyDescent="0.25">
      <c r="B23" s="50"/>
      <c r="C23" s="72" t="s">
        <v>87</v>
      </c>
      <c r="D23" s="73" t="s">
        <v>88</v>
      </c>
      <c r="E23" s="74" t="s">
        <v>110</v>
      </c>
      <c r="F23" s="75" t="s">
        <v>89</v>
      </c>
    </row>
    <row r="24" spans="1:6" x14ac:dyDescent="0.25">
      <c r="A24" t="str">
        <f t="shared" ref="A24" si="12">D22</f>
        <v>Juin</v>
      </c>
      <c r="B24" s="34" t="s">
        <v>45</v>
      </c>
      <c r="C24" s="64" t="str">
        <f t="shared" ref="C24:F25" si="13">C20</f>
        <v>CSS</v>
      </c>
      <c r="D24" s="65">
        <f t="shared" si="13"/>
        <v>352.8</v>
      </c>
      <c r="E24" s="66" t="str">
        <f t="shared" si="13"/>
        <v>oui</v>
      </c>
      <c r="F24" s="67">
        <f t="shared" si="13"/>
        <v>12.8</v>
      </c>
    </row>
    <row r="25" spans="1:6" ht="15.75" thickBot="1" x14ac:dyDescent="0.3">
      <c r="A25" t="str">
        <f t="shared" ref="A25" si="14">D22</f>
        <v>Juin</v>
      </c>
      <c r="B25" s="35" t="s">
        <v>46</v>
      </c>
      <c r="C25" s="68" t="str">
        <f t="shared" si="13"/>
        <v>CSS</v>
      </c>
      <c r="D25" s="69">
        <f t="shared" si="13"/>
        <v>12.4</v>
      </c>
      <c r="E25" s="70" t="str">
        <f t="shared" si="13"/>
        <v>oui</v>
      </c>
      <c r="F25" s="71">
        <f t="shared" si="13"/>
        <v>0</v>
      </c>
    </row>
    <row r="26" spans="1:6" ht="16.5" customHeight="1" thickTop="1" thickBot="1" x14ac:dyDescent="0.3">
      <c r="B26" s="56"/>
      <c r="C26" s="40"/>
      <c r="D26" s="55" t="s">
        <v>76</v>
      </c>
      <c r="E26" s="100"/>
      <c r="F26" s="101"/>
    </row>
    <row r="27" spans="1:6" ht="30.75" thickTop="1" x14ac:dyDescent="0.25">
      <c r="B27" s="50"/>
      <c r="C27" s="72" t="s">
        <v>87</v>
      </c>
      <c r="D27" s="73" t="s">
        <v>88</v>
      </c>
      <c r="E27" s="74" t="s">
        <v>110</v>
      </c>
      <c r="F27" s="75" t="s">
        <v>89</v>
      </c>
    </row>
    <row r="28" spans="1:6" x14ac:dyDescent="0.25">
      <c r="A28" t="str">
        <f t="shared" ref="A28" si="15">D26</f>
        <v>Juillet</v>
      </c>
      <c r="B28" s="34" t="s">
        <v>45</v>
      </c>
      <c r="C28" s="64" t="str">
        <f t="shared" ref="C28:F29" si="16">C24</f>
        <v>CSS</v>
      </c>
      <c r="D28" s="65">
        <f t="shared" si="16"/>
        <v>352.8</v>
      </c>
      <c r="E28" s="66" t="str">
        <f t="shared" si="16"/>
        <v>oui</v>
      </c>
      <c r="F28" s="67">
        <f t="shared" si="16"/>
        <v>12.8</v>
      </c>
    </row>
    <row r="29" spans="1:6" ht="15.75" thickBot="1" x14ac:dyDescent="0.3">
      <c r="A29" t="str">
        <f t="shared" ref="A29" si="17">D26</f>
        <v>Juillet</v>
      </c>
      <c r="B29" s="35" t="s">
        <v>46</v>
      </c>
      <c r="C29" s="68" t="str">
        <f t="shared" si="16"/>
        <v>CSS</v>
      </c>
      <c r="D29" s="69">
        <f t="shared" si="16"/>
        <v>12.4</v>
      </c>
      <c r="E29" s="70" t="str">
        <f t="shared" si="16"/>
        <v>oui</v>
      </c>
      <c r="F29" s="71">
        <f t="shared" si="16"/>
        <v>0</v>
      </c>
    </row>
    <row r="30" spans="1:6" ht="16.5" customHeight="1" thickTop="1" thickBot="1" x14ac:dyDescent="0.3">
      <c r="B30" s="56"/>
      <c r="C30" s="40"/>
      <c r="D30" s="55" t="s">
        <v>77</v>
      </c>
      <c r="E30" s="100"/>
      <c r="F30" s="101"/>
    </row>
    <row r="31" spans="1:6" ht="30.75" thickTop="1" x14ac:dyDescent="0.25">
      <c r="B31" s="50"/>
      <c r="C31" s="72" t="s">
        <v>87</v>
      </c>
      <c r="D31" s="73" t="s">
        <v>88</v>
      </c>
      <c r="E31" s="74" t="s">
        <v>110</v>
      </c>
      <c r="F31" s="75" t="s">
        <v>89</v>
      </c>
    </row>
    <row r="32" spans="1:6" x14ac:dyDescent="0.25">
      <c r="A32" t="str">
        <f t="shared" ref="A32" si="18">D30</f>
        <v>Août</v>
      </c>
      <c r="B32" s="34" t="s">
        <v>45</v>
      </c>
      <c r="C32" s="64" t="str">
        <f t="shared" ref="C32:F33" si="19">C28</f>
        <v>CSS</v>
      </c>
      <c r="D32" s="65">
        <f t="shared" si="19"/>
        <v>352.8</v>
      </c>
      <c r="E32" s="66" t="str">
        <f t="shared" si="19"/>
        <v>oui</v>
      </c>
      <c r="F32" s="67">
        <f t="shared" si="19"/>
        <v>12.8</v>
      </c>
    </row>
    <row r="33" spans="1:6" ht="15.75" thickBot="1" x14ac:dyDescent="0.3">
      <c r="A33" t="str">
        <f t="shared" ref="A33" si="20">D30</f>
        <v>Août</v>
      </c>
      <c r="B33" s="35" t="s">
        <v>46</v>
      </c>
      <c r="C33" s="68" t="str">
        <f t="shared" si="19"/>
        <v>CSS</v>
      </c>
      <c r="D33" s="69">
        <f t="shared" si="19"/>
        <v>12.4</v>
      </c>
      <c r="E33" s="70" t="str">
        <f t="shared" si="19"/>
        <v>oui</v>
      </c>
      <c r="F33" s="71">
        <f t="shared" si="19"/>
        <v>0</v>
      </c>
    </row>
    <row r="34" spans="1:6" ht="20.25" customHeight="1" thickTop="1" thickBot="1" x14ac:dyDescent="0.3">
      <c r="B34" s="56"/>
      <c r="C34" s="40"/>
      <c r="D34" s="55" t="s">
        <v>78</v>
      </c>
      <c r="E34" s="100"/>
      <c r="F34" s="101"/>
    </row>
    <row r="35" spans="1:6" ht="30.75" thickTop="1" x14ac:dyDescent="0.25">
      <c r="B35" s="50"/>
      <c r="C35" s="72" t="s">
        <v>87</v>
      </c>
      <c r="D35" s="73" t="s">
        <v>88</v>
      </c>
      <c r="E35" s="74" t="s">
        <v>110</v>
      </c>
      <c r="F35" s="75" t="s">
        <v>89</v>
      </c>
    </row>
    <row r="36" spans="1:6" x14ac:dyDescent="0.25">
      <c r="A36" t="str">
        <f t="shared" ref="A36" si="21">D34</f>
        <v>Septembre</v>
      </c>
      <c r="B36" s="34" t="s">
        <v>45</v>
      </c>
      <c r="C36" s="64" t="str">
        <f t="shared" ref="C36:F37" si="22">C32</f>
        <v>CSS</v>
      </c>
      <c r="D36" s="65">
        <f t="shared" si="22"/>
        <v>352.8</v>
      </c>
      <c r="E36" s="66" t="str">
        <f t="shared" si="22"/>
        <v>oui</v>
      </c>
      <c r="F36" s="67">
        <f t="shared" si="22"/>
        <v>12.8</v>
      </c>
    </row>
    <row r="37" spans="1:6" ht="15.75" thickBot="1" x14ac:dyDescent="0.3">
      <c r="A37" t="str">
        <f t="shared" ref="A37" si="23">D34</f>
        <v>Septembre</v>
      </c>
      <c r="B37" s="35" t="s">
        <v>46</v>
      </c>
      <c r="C37" s="68" t="str">
        <f t="shared" si="22"/>
        <v>CSS</v>
      </c>
      <c r="D37" s="69">
        <f t="shared" si="22"/>
        <v>12.4</v>
      </c>
      <c r="E37" s="70" t="str">
        <f t="shared" si="22"/>
        <v>oui</v>
      </c>
      <c r="F37" s="71">
        <f t="shared" si="22"/>
        <v>0</v>
      </c>
    </row>
    <row r="38" spans="1:6" ht="16.5" customHeight="1" thickTop="1" thickBot="1" x14ac:dyDescent="0.3">
      <c r="B38" s="56"/>
      <c r="C38" s="40"/>
      <c r="D38" s="55" t="s">
        <v>79</v>
      </c>
      <c r="E38" s="100"/>
      <c r="F38" s="101"/>
    </row>
    <row r="39" spans="1:6" ht="30.75" thickTop="1" x14ac:dyDescent="0.25">
      <c r="B39" s="50"/>
      <c r="C39" s="72" t="s">
        <v>87</v>
      </c>
      <c r="D39" s="73" t="s">
        <v>88</v>
      </c>
      <c r="E39" s="74" t="s">
        <v>110</v>
      </c>
      <c r="F39" s="75" t="s">
        <v>89</v>
      </c>
    </row>
    <row r="40" spans="1:6" x14ac:dyDescent="0.25">
      <c r="A40" t="str">
        <f t="shared" ref="A40" si="24">D38</f>
        <v>Octobre</v>
      </c>
      <c r="B40" s="34" t="s">
        <v>45</v>
      </c>
      <c r="C40" s="64" t="str">
        <f t="shared" ref="C40:F41" si="25">C36</f>
        <v>CSS</v>
      </c>
      <c r="D40" s="65">
        <f t="shared" si="25"/>
        <v>352.8</v>
      </c>
      <c r="E40" s="66" t="str">
        <f t="shared" si="25"/>
        <v>oui</v>
      </c>
      <c r="F40" s="67">
        <f t="shared" si="25"/>
        <v>12.8</v>
      </c>
    </row>
    <row r="41" spans="1:6" ht="15.75" thickBot="1" x14ac:dyDescent="0.3">
      <c r="A41" t="str">
        <f t="shared" ref="A41" si="26">D38</f>
        <v>Octobre</v>
      </c>
      <c r="B41" s="35" t="s">
        <v>46</v>
      </c>
      <c r="C41" s="68" t="str">
        <f t="shared" si="25"/>
        <v>CSS</v>
      </c>
      <c r="D41" s="69">
        <f t="shared" si="25"/>
        <v>12.4</v>
      </c>
      <c r="E41" s="70" t="str">
        <f t="shared" si="25"/>
        <v>oui</v>
      </c>
      <c r="F41" s="71">
        <f t="shared" si="25"/>
        <v>0</v>
      </c>
    </row>
    <row r="42" spans="1:6" ht="20.25" customHeight="1" thickTop="1" thickBot="1" x14ac:dyDescent="0.3">
      <c r="B42" s="56"/>
      <c r="C42" s="40"/>
      <c r="D42" s="55" t="s">
        <v>80</v>
      </c>
      <c r="E42" s="100"/>
      <c r="F42" s="101"/>
    </row>
    <row r="43" spans="1:6" ht="30.75" thickTop="1" x14ac:dyDescent="0.25">
      <c r="B43" s="50"/>
      <c r="C43" s="72" t="s">
        <v>87</v>
      </c>
      <c r="D43" s="73" t="s">
        <v>88</v>
      </c>
      <c r="E43" s="74" t="s">
        <v>110</v>
      </c>
      <c r="F43" s="75" t="s">
        <v>89</v>
      </c>
    </row>
    <row r="44" spans="1:6" x14ac:dyDescent="0.25">
      <c r="A44" t="str">
        <f t="shared" ref="A44" si="27">D42</f>
        <v>Novembre</v>
      </c>
      <c r="B44" s="34" t="s">
        <v>45</v>
      </c>
      <c r="C44" s="64" t="str">
        <f t="shared" ref="C44:F45" si="28">C40</f>
        <v>CSS</v>
      </c>
      <c r="D44" s="65">
        <f t="shared" si="28"/>
        <v>352.8</v>
      </c>
      <c r="E44" s="66" t="str">
        <f t="shared" si="28"/>
        <v>oui</v>
      </c>
      <c r="F44" s="67">
        <f t="shared" si="28"/>
        <v>12.8</v>
      </c>
    </row>
    <row r="45" spans="1:6" ht="15.75" thickBot="1" x14ac:dyDescent="0.3">
      <c r="A45" t="str">
        <f t="shared" ref="A45" si="29">D42</f>
        <v>Novembre</v>
      </c>
      <c r="B45" s="35" t="s">
        <v>46</v>
      </c>
      <c r="C45" s="68" t="str">
        <f t="shared" si="28"/>
        <v>CSS</v>
      </c>
      <c r="D45" s="69">
        <f t="shared" si="28"/>
        <v>12.4</v>
      </c>
      <c r="E45" s="70" t="str">
        <f t="shared" si="28"/>
        <v>oui</v>
      </c>
      <c r="F45" s="71">
        <f t="shared" si="28"/>
        <v>0</v>
      </c>
    </row>
    <row r="46" spans="1:6" ht="20.25" customHeight="1" thickTop="1" thickBot="1" x14ac:dyDescent="0.3">
      <c r="B46" s="56"/>
      <c r="C46" s="40"/>
      <c r="D46" s="55" t="s">
        <v>81</v>
      </c>
      <c r="E46" s="100"/>
      <c r="F46" s="101"/>
    </row>
    <row r="47" spans="1:6" ht="30.75" thickTop="1" x14ac:dyDescent="0.25">
      <c r="B47" s="50"/>
      <c r="C47" s="72" t="s">
        <v>87</v>
      </c>
      <c r="D47" s="73" t="s">
        <v>88</v>
      </c>
      <c r="E47" s="74" t="s">
        <v>110</v>
      </c>
      <c r="F47" s="75" t="s">
        <v>89</v>
      </c>
    </row>
    <row r="48" spans="1:6" x14ac:dyDescent="0.25">
      <c r="A48" t="str">
        <f t="shared" ref="A48" si="30">D46</f>
        <v>Décembre</v>
      </c>
      <c r="B48" s="34" t="s">
        <v>45</v>
      </c>
      <c r="C48" s="64" t="str">
        <f t="shared" ref="C48:F49" si="31">C44</f>
        <v>CSS</v>
      </c>
      <c r="D48" s="65">
        <f t="shared" si="31"/>
        <v>352.8</v>
      </c>
      <c r="E48" s="66" t="str">
        <f t="shared" si="31"/>
        <v>oui</v>
      </c>
      <c r="F48" s="67">
        <f t="shared" si="31"/>
        <v>12.8</v>
      </c>
    </row>
    <row r="49" spans="1:6" ht="15.75" thickBot="1" x14ac:dyDescent="0.3">
      <c r="A49" t="str">
        <f t="shared" ref="A49" si="32">D46</f>
        <v>Décembre</v>
      </c>
      <c r="B49" s="35" t="s">
        <v>46</v>
      </c>
      <c r="C49" s="68" t="str">
        <f t="shared" si="31"/>
        <v>CSS</v>
      </c>
      <c r="D49" s="69">
        <f t="shared" si="31"/>
        <v>12.4</v>
      </c>
      <c r="E49" s="70" t="str">
        <f t="shared" si="31"/>
        <v>oui</v>
      </c>
      <c r="F49" s="71">
        <f t="shared" si="31"/>
        <v>0</v>
      </c>
    </row>
    <row r="50" spans="1:6" ht="15.75" thickTop="1" x14ac:dyDescent="0.25">
      <c r="C50" s="40"/>
      <c r="D50" s="40"/>
      <c r="E50" s="40"/>
      <c r="F50" s="40"/>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01"/>
  <sheetViews>
    <sheetView showZeros="0" topLeftCell="A182" workbookViewId="0">
      <selection activeCell="M190" sqref="M190"/>
    </sheetView>
  </sheetViews>
  <sheetFormatPr baseColWidth="10" defaultRowHeight="15" x14ac:dyDescent="0.25"/>
  <cols>
    <col min="2" max="2" width="5" customWidth="1"/>
    <col min="3" max="3" width="25.7109375" customWidth="1"/>
    <col min="4" max="4" width="24.42578125" customWidth="1"/>
    <col min="5" max="5" width="13.85546875" customWidth="1"/>
    <col min="6" max="6" width="10.5703125" customWidth="1"/>
    <col min="7" max="7" width="2.85546875" style="152" customWidth="1"/>
    <col min="8" max="8" width="34.42578125" customWidth="1"/>
    <col min="9" max="9" width="22.7109375" customWidth="1"/>
    <col min="10" max="10" width="27.5703125" customWidth="1"/>
    <col min="11" max="11" width="12.85546875" customWidth="1"/>
    <col min="12" max="18" width="10.28515625" customWidth="1"/>
    <col min="19" max="19" width="13.140625" customWidth="1"/>
  </cols>
  <sheetData>
    <row r="1" spans="1:12" ht="21" x14ac:dyDescent="0.25">
      <c r="B1" s="25"/>
      <c r="C1" s="162" t="s">
        <v>69</v>
      </c>
      <c r="D1" s="25"/>
      <c r="E1" s="25"/>
      <c r="F1" s="25"/>
      <c r="G1" s="168"/>
      <c r="H1" s="162" t="s">
        <v>199</v>
      </c>
      <c r="I1" s="25"/>
      <c r="J1" s="25"/>
      <c r="K1" s="25"/>
      <c r="L1" s="25"/>
    </row>
    <row r="2" spans="1:12" ht="36" customHeight="1" x14ac:dyDescent="0.25">
      <c r="B2" s="25"/>
      <c r="C2" s="163" t="s">
        <v>65</v>
      </c>
      <c r="D2" s="163" t="s">
        <v>200</v>
      </c>
      <c r="E2" s="163" t="s">
        <v>201</v>
      </c>
      <c r="F2" s="175" t="s">
        <v>205</v>
      </c>
      <c r="G2" s="168"/>
      <c r="H2" s="163" t="s">
        <v>65</v>
      </c>
      <c r="I2" s="163" t="s">
        <v>200</v>
      </c>
      <c r="J2" s="163" t="s">
        <v>201</v>
      </c>
      <c r="K2" s="175" t="s">
        <v>205</v>
      </c>
      <c r="L2" s="25"/>
    </row>
    <row r="3" spans="1:12" ht="15" customHeight="1" x14ac:dyDescent="0.25">
      <c r="A3" t="s">
        <v>133</v>
      </c>
      <c r="B3" s="345" t="str">
        <f>A3</f>
        <v>janvier</v>
      </c>
      <c r="C3" s="102" t="s">
        <v>195</v>
      </c>
      <c r="D3" s="169" t="s">
        <v>203</v>
      </c>
      <c r="E3" s="170">
        <v>81.5</v>
      </c>
      <c r="F3" s="172" t="s">
        <v>182</v>
      </c>
      <c r="G3" s="171"/>
      <c r="H3" s="102" t="s">
        <v>189</v>
      </c>
      <c r="I3" s="169" t="s">
        <v>204</v>
      </c>
      <c r="J3" s="170">
        <v>12</v>
      </c>
      <c r="K3" s="213" t="s">
        <v>111</v>
      </c>
      <c r="L3" s="173"/>
    </row>
    <row r="4" spans="1:12" ht="15" customHeight="1" x14ac:dyDescent="0.25">
      <c r="A4" t="s">
        <v>133</v>
      </c>
      <c r="B4" s="346"/>
      <c r="C4" s="102" t="s">
        <v>196</v>
      </c>
      <c r="D4" s="169" t="s">
        <v>202</v>
      </c>
      <c r="E4" s="170">
        <v>82.3</v>
      </c>
      <c r="F4" s="213" t="s">
        <v>111</v>
      </c>
      <c r="G4" s="171"/>
      <c r="H4" s="102" t="s">
        <v>190</v>
      </c>
      <c r="I4" s="169" t="s">
        <v>206</v>
      </c>
      <c r="J4" s="170"/>
      <c r="K4" s="213"/>
      <c r="L4" s="173"/>
    </row>
    <row r="5" spans="1:12" ht="15" customHeight="1" x14ac:dyDescent="0.25">
      <c r="A5" t="s">
        <v>133</v>
      </c>
      <c r="B5" s="346"/>
      <c r="C5" s="64" t="s">
        <v>191</v>
      </c>
      <c r="D5" s="169"/>
      <c r="E5" s="170"/>
      <c r="F5" s="172"/>
      <c r="G5" s="171"/>
      <c r="H5" s="64" t="s">
        <v>207</v>
      </c>
      <c r="I5" s="169" t="s">
        <v>192</v>
      </c>
      <c r="J5" s="170">
        <v>28</v>
      </c>
      <c r="K5" s="213" t="s">
        <v>111</v>
      </c>
      <c r="L5" s="173"/>
    </row>
    <row r="6" spans="1:12" ht="15" customHeight="1" x14ac:dyDescent="0.25">
      <c r="A6" t="s">
        <v>133</v>
      </c>
      <c r="B6" s="346"/>
      <c r="C6" s="41"/>
      <c r="D6" s="169"/>
      <c r="E6" s="170"/>
      <c r="F6" s="172"/>
      <c r="G6" s="171"/>
      <c r="H6" s="102" t="s">
        <v>193</v>
      </c>
      <c r="I6" s="169"/>
      <c r="J6" s="170"/>
      <c r="K6" s="213"/>
      <c r="L6" s="173"/>
    </row>
    <row r="7" spans="1:12" ht="15" customHeight="1" x14ac:dyDescent="0.25">
      <c r="A7" t="s">
        <v>133</v>
      </c>
      <c r="B7" s="346"/>
      <c r="C7" s="41"/>
      <c r="D7" s="169"/>
      <c r="E7" s="170"/>
      <c r="F7" s="172"/>
      <c r="G7" s="171"/>
      <c r="H7" s="102" t="s">
        <v>194</v>
      </c>
      <c r="I7" s="169"/>
      <c r="J7" s="170">
        <v>15</v>
      </c>
      <c r="K7" s="213" t="s">
        <v>111</v>
      </c>
      <c r="L7" s="173"/>
    </row>
    <row r="8" spans="1:12" ht="15" customHeight="1" x14ac:dyDescent="0.25">
      <c r="A8" t="s">
        <v>133</v>
      </c>
      <c r="B8" s="346"/>
      <c r="C8" s="41"/>
      <c r="D8" s="169"/>
      <c r="E8" s="170"/>
      <c r="F8" s="172"/>
      <c r="G8" s="171"/>
      <c r="H8" s="222" t="s">
        <v>252</v>
      </c>
      <c r="I8" s="169"/>
      <c r="J8" s="170"/>
      <c r="K8" s="172"/>
      <c r="L8" s="173"/>
    </row>
    <row r="9" spans="1:12" ht="15" customHeight="1" x14ac:dyDescent="0.25">
      <c r="A9" t="s">
        <v>133</v>
      </c>
      <c r="B9" s="346"/>
      <c r="C9" s="41" t="s">
        <v>231</v>
      </c>
      <c r="D9" s="169"/>
      <c r="E9" s="170">
        <v>12</v>
      </c>
      <c r="F9" s="172" t="s">
        <v>111</v>
      </c>
      <c r="G9" s="171"/>
      <c r="H9" s="222"/>
      <c r="I9" s="169"/>
      <c r="J9" s="170"/>
      <c r="K9" s="172"/>
      <c r="L9" s="173"/>
    </row>
    <row r="10" spans="1:12" ht="15" customHeight="1" x14ac:dyDescent="0.25">
      <c r="A10" t="s">
        <v>133</v>
      </c>
      <c r="B10" s="346"/>
      <c r="C10" s="41"/>
      <c r="D10" s="169"/>
      <c r="E10" s="170"/>
      <c r="F10" s="172"/>
      <c r="G10" s="171"/>
      <c r="H10" s="222"/>
      <c r="I10" s="169"/>
      <c r="J10" s="170"/>
      <c r="K10" s="172"/>
      <c r="L10" s="173"/>
    </row>
    <row r="11" spans="1:12" ht="15" customHeight="1" x14ac:dyDescent="0.25">
      <c r="A11" t="s">
        <v>133</v>
      </c>
      <c r="B11" s="346"/>
      <c r="C11" s="174"/>
      <c r="D11" s="169"/>
      <c r="E11" s="170"/>
      <c r="F11" s="172"/>
      <c r="G11" s="171"/>
      <c r="H11" s="222"/>
      <c r="I11" s="169"/>
      <c r="J11" s="170"/>
      <c r="K11" s="172"/>
      <c r="L11" s="173"/>
    </row>
    <row r="12" spans="1:12" ht="15" customHeight="1" x14ac:dyDescent="0.25">
      <c r="A12" t="s">
        <v>133</v>
      </c>
      <c r="B12" s="346"/>
      <c r="C12" s="174"/>
      <c r="D12" s="169"/>
      <c r="E12" s="170"/>
      <c r="F12" s="172"/>
      <c r="G12" s="171"/>
      <c r="H12" s="222"/>
      <c r="I12" s="169"/>
      <c r="J12" s="170"/>
      <c r="K12" s="172"/>
      <c r="L12" s="173"/>
    </row>
    <row r="13" spans="1:12" ht="15" customHeight="1" x14ac:dyDescent="0.25">
      <c r="A13" t="s">
        <v>133</v>
      </c>
      <c r="B13" s="346"/>
      <c r="C13" s="174"/>
      <c r="D13" s="169"/>
      <c r="E13" s="170"/>
      <c r="F13" s="172"/>
      <c r="G13" s="171"/>
      <c r="H13" s="222"/>
      <c r="I13" s="169"/>
      <c r="J13" s="170"/>
      <c r="K13" s="172"/>
      <c r="L13" s="173"/>
    </row>
    <row r="14" spans="1:12" ht="15" customHeight="1" x14ac:dyDescent="0.25">
      <c r="A14" t="s">
        <v>133</v>
      </c>
      <c r="B14" s="346"/>
      <c r="C14" s="174"/>
      <c r="D14" s="169"/>
      <c r="E14" s="170"/>
      <c r="F14" s="172"/>
      <c r="G14" s="171"/>
      <c r="H14" s="222"/>
      <c r="I14" s="169"/>
      <c r="J14" s="170"/>
      <c r="K14" s="172"/>
      <c r="L14" s="173"/>
    </row>
    <row r="15" spans="1:12" ht="15" customHeight="1" x14ac:dyDescent="0.25">
      <c r="A15" t="s">
        <v>133</v>
      </c>
      <c r="B15" s="346"/>
      <c r="C15" s="164"/>
      <c r="D15" s="165"/>
      <c r="E15" s="166"/>
      <c r="F15" s="167"/>
      <c r="G15" s="168"/>
      <c r="H15" s="223"/>
      <c r="I15" s="169"/>
      <c r="J15" s="170"/>
      <c r="K15" s="167"/>
      <c r="L15" s="25"/>
    </row>
    <row r="16" spans="1:12" ht="15" customHeight="1" x14ac:dyDescent="0.25">
      <c r="A16" t="s">
        <v>133</v>
      </c>
      <c r="B16" s="346"/>
      <c r="C16" s="164"/>
      <c r="D16" s="165"/>
      <c r="E16" s="166"/>
      <c r="F16" s="167"/>
      <c r="G16" s="168"/>
      <c r="H16" s="223"/>
      <c r="I16" s="169"/>
      <c r="J16" s="170"/>
      <c r="K16" s="167"/>
      <c r="L16" s="25"/>
    </row>
    <row r="17" spans="1:12" s="152" customFormat="1" ht="15" customHeight="1" x14ac:dyDescent="0.25">
      <c r="B17" s="176"/>
      <c r="C17" s="168"/>
      <c r="D17" s="168"/>
      <c r="E17" s="168"/>
      <c r="F17" s="168"/>
      <c r="G17" s="168"/>
      <c r="H17" s="168"/>
      <c r="I17" s="168"/>
      <c r="J17" s="168"/>
      <c r="K17" s="168"/>
      <c r="L17" s="168"/>
    </row>
    <row r="18" spans="1:12" ht="15" customHeight="1" x14ac:dyDescent="0.25">
      <c r="A18" t="s">
        <v>135</v>
      </c>
      <c r="B18" s="345" t="str">
        <f>A18</f>
        <v>février</v>
      </c>
      <c r="C18" s="102" t="str">
        <f>C3</f>
        <v>Impôts communaux</v>
      </c>
      <c r="D18" s="169" t="str">
        <f>D3</f>
        <v>Commune de Farvagny</v>
      </c>
      <c r="E18" s="170">
        <f>E3</f>
        <v>81.5</v>
      </c>
      <c r="F18" s="172" t="str">
        <f>F3</f>
        <v>non</v>
      </c>
      <c r="G18" s="171"/>
      <c r="H18" s="102" t="str">
        <f>H3</f>
        <v>Assurance ménage</v>
      </c>
      <c r="I18" s="169" t="str">
        <f>I3</f>
        <v>Générali</v>
      </c>
      <c r="J18" s="170">
        <f>J3</f>
        <v>12</v>
      </c>
      <c r="K18" s="213" t="str">
        <f>K3</f>
        <v>oui</v>
      </c>
      <c r="L18" s="173"/>
    </row>
    <row r="19" spans="1:12" ht="15" customHeight="1" x14ac:dyDescent="0.25">
      <c r="A19" t="s">
        <v>135</v>
      </c>
      <c r="B19" s="346"/>
      <c r="C19" s="102" t="str">
        <f t="shared" ref="C19:F19" si="0">C4</f>
        <v>Impôts cantonaux</v>
      </c>
      <c r="D19" s="169" t="str">
        <f t="shared" si="0"/>
        <v>SCC</v>
      </c>
      <c r="E19" s="170">
        <f t="shared" si="0"/>
        <v>82.3</v>
      </c>
      <c r="F19" s="172" t="str">
        <f t="shared" si="0"/>
        <v>oui</v>
      </c>
      <c r="G19" s="171"/>
      <c r="H19" s="102" t="str">
        <f t="shared" ref="H19:K19" si="1">H4</f>
        <v>Electricité</v>
      </c>
      <c r="I19" s="169" t="str">
        <f t="shared" si="1"/>
        <v>Groupe E</v>
      </c>
      <c r="J19" s="170">
        <f t="shared" si="1"/>
        <v>0</v>
      </c>
      <c r="K19" s="213">
        <f t="shared" si="1"/>
        <v>0</v>
      </c>
      <c r="L19" s="173"/>
    </row>
    <row r="20" spans="1:12" ht="15" customHeight="1" x14ac:dyDescent="0.25">
      <c r="A20" t="s">
        <v>135</v>
      </c>
      <c r="B20" s="346"/>
      <c r="C20" s="102" t="str">
        <f t="shared" ref="C20:F20" si="2">C5</f>
        <v>Téléphone</v>
      </c>
      <c r="D20" s="169">
        <f t="shared" si="2"/>
        <v>0</v>
      </c>
      <c r="E20" s="170">
        <f t="shared" si="2"/>
        <v>0</v>
      </c>
      <c r="F20" s="172">
        <f t="shared" si="2"/>
        <v>0</v>
      </c>
      <c r="G20" s="171"/>
      <c r="H20" s="64" t="str">
        <f t="shared" ref="H20:K20" si="3">H5</f>
        <v>Impôt véhicule</v>
      </c>
      <c r="I20" s="169" t="str">
        <f t="shared" si="3"/>
        <v>OCN</v>
      </c>
      <c r="J20" s="170">
        <f t="shared" si="3"/>
        <v>28</v>
      </c>
      <c r="K20" s="213" t="str">
        <f t="shared" si="3"/>
        <v>oui</v>
      </c>
      <c r="L20" s="173"/>
    </row>
    <row r="21" spans="1:12" ht="15" customHeight="1" x14ac:dyDescent="0.25">
      <c r="A21" t="s">
        <v>135</v>
      </c>
      <c r="B21" s="346"/>
      <c r="C21" s="102">
        <f t="shared" ref="C21:F21" si="4">C6</f>
        <v>0</v>
      </c>
      <c r="D21" s="169">
        <f t="shared" si="4"/>
        <v>0</v>
      </c>
      <c r="E21" s="170">
        <f t="shared" si="4"/>
        <v>0</v>
      </c>
      <c r="F21" s="172">
        <f t="shared" si="4"/>
        <v>0</v>
      </c>
      <c r="G21" s="171"/>
      <c r="H21" s="102" t="str">
        <f t="shared" ref="H21:K21" si="5">H6</f>
        <v>Assurance véhicule</v>
      </c>
      <c r="I21" s="169">
        <f t="shared" si="5"/>
        <v>0</v>
      </c>
      <c r="J21" s="170">
        <f t="shared" si="5"/>
        <v>0</v>
      </c>
      <c r="K21" s="213">
        <f t="shared" si="5"/>
        <v>0</v>
      </c>
      <c r="L21" s="173"/>
    </row>
    <row r="22" spans="1:12" ht="15" customHeight="1" x14ac:dyDescent="0.25">
      <c r="A22" t="s">
        <v>135</v>
      </c>
      <c r="B22" s="346"/>
      <c r="C22" s="102">
        <f t="shared" ref="C22:F22" si="6">C7</f>
        <v>0</v>
      </c>
      <c r="D22" s="169">
        <f t="shared" si="6"/>
        <v>0</v>
      </c>
      <c r="E22" s="170">
        <f t="shared" si="6"/>
        <v>0</v>
      </c>
      <c r="F22" s="172">
        <f t="shared" si="6"/>
        <v>0</v>
      </c>
      <c r="G22" s="171"/>
      <c r="H22" s="102" t="str">
        <f t="shared" ref="H22:K22" si="7">H7</f>
        <v>Billag</v>
      </c>
      <c r="I22" s="169">
        <f t="shared" si="7"/>
        <v>0</v>
      </c>
      <c r="J22" s="170">
        <f t="shared" si="7"/>
        <v>15</v>
      </c>
      <c r="K22" s="213" t="str">
        <f t="shared" si="7"/>
        <v>oui</v>
      </c>
      <c r="L22" s="173"/>
    </row>
    <row r="23" spans="1:12" ht="15" customHeight="1" x14ac:dyDescent="0.25">
      <c r="A23" t="s">
        <v>135</v>
      </c>
      <c r="B23" s="346"/>
      <c r="C23" s="102">
        <f t="shared" ref="C23:F23" si="8">C8</f>
        <v>0</v>
      </c>
      <c r="D23" s="169">
        <f t="shared" si="8"/>
        <v>0</v>
      </c>
      <c r="E23" s="170">
        <f t="shared" si="8"/>
        <v>0</v>
      </c>
      <c r="F23" s="172">
        <f t="shared" si="8"/>
        <v>0</v>
      </c>
      <c r="G23" s="171"/>
      <c r="H23" s="102" t="str">
        <f t="shared" ref="H23:K23" si="9">H8</f>
        <v>kk</v>
      </c>
      <c r="I23" s="169">
        <f t="shared" si="9"/>
        <v>0</v>
      </c>
      <c r="J23" s="170">
        <f t="shared" si="9"/>
        <v>0</v>
      </c>
      <c r="K23" s="172">
        <f t="shared" si="9"/>
        <v>0</v>
      </c>
      <c r="L23" s="173"/>
    </row>
    <row r="24" spans="1:12" ht="15" customHeight="1" x14ac:dyDescent="0.25">
      <c r="A24" t="s">
        <v>135</v>
      </c>
      <c r="B24" s="346"/>
      <c r="C24" s="102" t="str">
        <f t="shared" ref="C24:F24" si="10">C9</f>
        <v>tutu</v>
      </c>
      <c r="D24" s="169">
        <f t="shared" si="10"/>
        <v>0</v>
      </c>
      <c r="E24" s="170">
        <f t="shared" si="10"/>
        <v>12</v>
      </c>
      <c r="F24" s="172" t="str">
        <f t="shared" si="10"/>
        <v>oui</v>
      </c>
      <c r="G24" s="171"/>
      <c r="H24" s="102">
        <f t="shared" ref="H24:K24" si="11">H9</f>
        <v>0</v>
      </c>
      <c r="I24" s="169">
        <f t="shared" si="11"/>
        <v>0</v>
      </c>
      <c r="J24" s="170">
        <f t="shared" si="11"/>
        <v>0</v>
      </c>
      <c r="K24" s="172">
        <f t="shared" si="11"/>
        <v>0</v>
      </c>
      <c r="L24" s="173"/>
    </row>
    <row r="25" spans="1:12" ht="15" customHeight="1" x14ac:dyDescent="0.25">
      <c r="A25" t="s">
        <v>135</v>
      </c>
      <c r="B25" s="346"/>
      <c r="C25" s="102">
        <f t="shared" ref="C25:F25" si="12">C10</f>
        <v>0</v>
      </c>
      <c r="D25" s="169">
        <f t="shared" si="12"/>
        <v>0</v>
      </c>
      <c r="E25" s="170">
        <f t="shared" si="12"/>
        <v>0</v>
      </c>
      <c r="F25" s="172">
        <f t="shared" si="12"/>
        <v>0</v>
      </c>
      <c r="G25" s="171"/>
      <c r="H25" s="102">
        <f t="shared" ref="H25:K25" si="13">H10</f>
        <v>0</v>
      </c>
      <c r="I25" s="169">
        <f t="shared" si="13"/>
        <v>0</v>
      </c>
      <c r="J25" s="170">
        <f t="shared" si="13"/>
        <v>0</v>
      </c>
      <c r="K25" s="172">
        <f t="shared" si="13"/>
        <v>0</v>
      </c>
      <c r="L25" s="173"/>
    </row>
    <row r="26" spans="1:12" ht="15" customHeight="1" x14ac:dyDescent="0.25">
      <c r="A26" t="s">
        <v>135</v>
      </c>
      <c r="B26" s="346"/>
      <c r="C26" s="102">
        <f t="shared" ref="C26:F26" si="14">C11</f>
        <v>0</v>
      </c>
      <c r="D26" s="169">
        <f t="shared" si="14"/>
        <v>0</v>
      </c>
      <c r="E26" s="170">
        <f t="shared" si="14"/>
        <v>0</v>
      </c>
      <c r="F26" s="172">
        <f t="shared" si="14"/>
        <v>0</v>
      </c>
      <c r="G26" s="171"/>
      <c r="H26" s="102">
        <f t="shared" ref="H26:K26" si="15">H11</f>
        <v>0</v>
      </c>
      <c r="I26" s="169">
        <f t="shared" si="15"/>
        <v>0</v>
      </c>
      <c r="J26" s="170">
        <f t="shared" si="15"/>
        <v>0</v>
      </c>
      <c r="K26" s="172">
        <f t="shared" si="15"/>
        <v>0</v>
      </c>
      <c r="L26" s="173"/>
    </row>
    <row r="27" spans="1:12" ht="15" customHeight="1" x14ac:dyDescent="0.25">
      <c r="A27" t="s">
        <v>135</v>
      </c>
      <c r="B27" s="346"/>
      <c r="C27" s="102">
        <f t="shared" ref="C27:F27" si="16">C12</f>
        <v>0</v>
      </c>
      <c r="D27" s="169">
        <f t="shared" si="16"/>
        <v>0</v>
      </c>
      <c r="E27" s="170">
        <f t="shared" si="16"/>
        <v>0</v>
      </c>
      <c r="F27" s="172">
        <f t="shared" si="16"/>
        <v>0</v>
      </c>
      <c r="G27" s="171"/>
      <c r="H27" s="102">
        <f t="shared" ref="H27:K27" si="17">H12</f>
        <v>0</v>
      </c>
      <c r="I27" s="169">
        <f t="shared" si="17"/>
        <v>0</v>
      </c>
      <c r="J27" s="170">
        <f t="shared" si="17"/>
        <v>0</v>
      </c>
      <c r="K27" s="172">
        <f t="shared" si="17"/>
        <v>0</v>
      </c>
      <c r="L27" s="173"/>
    </row>
    <row r="28" spans="1:12" ht="15" customHeight="1" x14ac:dyDescent="0.25">
      <c r="A28" t="s">
        <v>135</v>
      </c>
      <c r="B28" s="346"/>
      <c r="C28" s="102">
        <f t="shared" ref="C28:F28" si="18">C13</f>
        <v>0</v>
      </c>
      <c r="D28" s="169">
        <f t="shared" si="18"/>
        <v>0</v>
      </c>
      <c r="E28" s="170">
        <f t="shared" si="18"/>
        <v>0</v>
      </c>
      <c r="F28" s="172">
        <f t="shared" si="18"/>
        <v>0</v>
      </c>
      <c r="G28" s="171"/>
      <c r="H28" s="102">
        <f t="shared" ref="H28:K28" si="19">H13</f>
        <v>0</v>
      </c>
      <c r="I28" s="169">
        <f t="shared" si="19"/>
        <v>0</v>
      </c>
      <c r="J28" s="170">
        <f t="shared" si="19"/>
        <v>0</v>
      </c>
      <c r="K28" s="172">
        <f t="shared" si="19"/>
        <v>0</v>
      </c>
      <c r="L28" s="173"/>
    </row>
    <row r="29" spans="1:12" ht="15" customHeight="1" x14ac:dyDescent="0.25">
      <c r="A29" t="s">
        <v>135</v>
      </c>
      <c r="B29" s="346"/>
      <c r="C29" s="102">
        <f t="shared" ref="C29:F29" si="20">C14</f>
        <v>0</v>
      </c>
      <c r="D29" s="169">
        <f t="shared" si="20"/>
        <v>0</v>
      </c>
      <c r="E29" s="170">
        <f t="shared" si="20"/>
        <v>0</v>
      </c>
      <c r="F29" s="172">
        <f t="shared" si="20"/>
        <v>0</v>
      </c>
      <c r="G29" s="171"/>
      <c r="H29" s="102">
        <f t="shared" ref="H29:K29" si="21">H14</f>
        <v>0</v>
      </c>
      <c r="I29" s="169">
        <f t="shared" si="21"/>
        <v>0</v>
      </c>
      <c r="J29" s="170">
        <f t="shared" si="21"/>
        <v>0</v>
      </c>
      <c r="K29" s="172">
        <f t="shared" si="21"/>
        <v>0</v>
      </c>
      <c r="L29" s="173"/>
    </row>
    <row r="30" spans="1:12" ht="15" customHeight="1" x14ac:dyDescent="0.25">
      <c r="A30" t="s">
        <v>135</v>
      </c>
      <c r="B30" s="346"/>
      <c r="C30" s="102">
        <f t="shared" ref="C30:F30" si="22">C15</f>
        <v>0</v>
      </c>
      <c r="D30" s="169">
        <f t="shared" si="22"/>
        <v>0</v>
      </c>
      <c r="E30" s="170">
        <f t="shared" si="22"/>
        <v>0</v>
      </c>
      <c r="F30" s="172">
        <f t="shared" si="22"/>
        <v>0</v>
      </c>
      <c r="G30" s="168"/>
      <c r="H30" s="102">
        <f t="shared" ref="H30:K30" si="23">H15</f>
        <v>0</v>
      </c>
      <c r="I30" s="169">
        <f t="shared" si="23"/>
        <v>0</v>
      </c>
      <c r="J30" s="170">
        <f t="shared" si="23"/>
        <v>0</v>
      </c>
      <c r="K30" s="167">
        <f t="shared" si="23"/>
        <v>0</v>
      </c>
      <c r="L30" s="25"/>
    </row>
    <row r="31" spans="1:12" ht="15" customHeight="1" x14ac:dyDescent="0.25">
      <c r="A31" t="s">
        <v>135</v>
      </c>
      <c r="B31" s="346"/>
      <c r="C31" s="102">
        <f t="shared" ref="C31:F31" si="24">C16</f>
        <v>0</v>
      </c>
      <c r="D31" s="169">
        <f t="shared" si="24"/>
        <v>0</v>
      </c>
      <c r="E31" s="170">
        <f t="shared" si="24"/>
        <v>0</v>
      </c>
      <c r="F31" s="172">
        <f t="shared" si="24"/>
        <v>0</v>
      </c>
      <c r="G31" s="168"/>
      <c r="H31" s="102">
        <f t="shared" ref="H31:K31" si="25">H16</f>
        <v>0</v>
      </c>
      <c r="I31" s="169">
        <f t="shared" si="25"/>
        <v>0</v>
      </c>
      <c r="J31" s="170">
        <f t="shared" si="25"/>
        <v>0</v>
      </c>
      <c r="K31" s="167">
        <f t="shared" si="25"/>
        <v>0</v>
      </c>
      <c r="L31" s="25"/>
    </row>
    <row r="32" spans="1:12" s="152" customFormat="1" ht="15" customHeight="1" x14ac:dyDescent="0.25">
      <c r="B32" s="176"/>
      <c r="C32" s="168"/>
      <c r="D32" s="168"/>
      <c r="E32" s="168"/>
      <c r="F32" s="168"/>
      <c r="G32" s="168"/>
      <c r="H32" s="168"/>
      <c r="I32" s="168"/>
      <c r="J32" s="168"/>
      <c r="K32" s="168"/>
      <c r="L32" s="168"/>
    </row>
    <row r="33" spans="1:12" ht="15" customHeight="1" x14ac:dyDescent="0.25">
      <c r="A33" t="s">
        <v>166</v>
      </c>
      <c r="B33" s="345" t="str">
        <f>A33</f>
        <v>mars</v>
      </c>
      <c r="C33" s="102" t="str">
        <f>C18</f>
        <v>Impôts communaux</v>
      </c>
      <c r="D33" s="169" t="str">
        <f>D18</f>
        <v>Commune de Farvagny</v>
      </c>
      <c r="E33" s="170">
        <f>E18</f>
        <v>81.5</v>
      </c>
      <c r="F33" s="172" t="str">
        <f>F18</f>
        <v>non</v>
      </c>
      <c r="G33" s="171"/>
      <c r="H33" s="102" t="str">
        <f>H18</f>
        <v>Assurance ménage</v>
      </c>
      <c r="I33" s="169" t="str">
        <f>I18</f>
        <v>Générali</v>
      </c>
      <c r="J33" s="170">
        <f>J18</f>
        <v>12</v>
      </c>
      <c r="K33" s="213" t="str">
        <f>K18</f>
        <v>oui</v>
      </c>
      <c r="L33" s="173"/>
    </row>
    <row r="34" spans="1:12" ht="15" customHeight="1" x14ac:dyDescent="0.25">
      <c r="A34" t="s">
        <v>166</v>
      </c>
      <c r="B34" s="346"/>
      <c r="C34" s="102" t="str">
        <f t="shared" ref="C34:F34" si="26">C19</f>
        <v>Impôts cantonaux</v>
      </c>
      <c r="D34" s="169" t="str">
        <f t="shared" si="26"/>
        <v>SCC</v>
      </c>
      <c r="E34" s="170">
        <f t="shared" si="26"/>
        <v>82.3</v>
      </c>
      <c r="F34" s="172" t="str">
        <f t="shared" si="26"/>
        <v>oui</v>
      </c>
      <c r="G34" s="171"/>
      <c r="H34" s="102" t="str">
        <f t="shared" ref="H34:K34" si="27">H19</f>
        <v>Electricité</v>
      </c>
      <c r="I34" s="169" t="str">
        <f t="shared" si="27"/>
        <v>Groupe E</v>
      </c>
      <c r="J34" s="170">
        <f t="shared" si="27"/>
        <v>0</v>
      </c>
      <c r="K34" s="213">
        <f t="shared" si="27"/>
        <v>0</v>
      </c>
      <c r="L34" s="173"/>
    </row>
    <row r="35" spans="1:12" ht="15" customHeight="1" x14ac:dyDescent="0.25">
      <c r="A35" t="s">
        <v>166</v>
      </c>
      <c r="B35" s="346"/>
      <c r="C35" s="102" t="str">
        <f t="shared" ref="C35:F35" si="28">C20</f>
        <v>Téléphone</v>
      </c>
      <c r="D35" s="169">
        <f t="shared" si="28"/>
        <v>0</v>
      </c>
      <c r="E35" s="170">
        <f t="shared" si="28"/>
        <v>0</v>
      </c>
      <c r="F35" s="172">
        <f t="shared" si="28"/>
        <v>0</v>
      </c>
      <c r="G35" s="171"/>
      <c r="H35" s="64" t="str">
        <f t="shared" ref="H35:K35" si="29">H20</f>
        <v>Impôt véhicule</v>
      </c>
      <c r="I35" s="169" t="str">
        <f t="shared" si="29"/>
        <v>OCN</v>
      </c>
      <c r="J35" s="170">
        <f t="shared" si="29"/>
        <v>28</v>
      </c>
      <c r="K35" s="213" t="str">
        <f t="shared" si="29"/>
        <v>oui</v>
      </c>
      <c r="L35" s="173"/>
    </row>
    <row r="36" spans="1:12" ht="15" customHeight="1" x14ac:dyDescent="0.25">
      <c r="A36" t="s">
        <v>166</v>
      </c>
      <c r="B36" s="346"/>
      <c r="C36" s="102">
        <f t="shared" ref="C36:F36" si="30">C21</f>
        <v>0</v>
      </c>
      <c r="D36" s="169">
        <f t="shared" si="30"/>
        <v>0</v>
      </c>
      <c r="E36" s="170">
        <f t="shared" si="30"/>
        <v>0</v>
      </c>
      <c r="F36" s="172">
        <f t="shared" si="30"/>
        <v>0</v>
      </c>
      <c r="G36" s="171"/>
      <c r="H36" s="102" t="str">
        <f t="shared" ref="H36:K36" si="31">H21</f>
        <v>Assurance véhicule</v>
      </c>
      <c r="I36" s="169">
        <f t="shared" si="31"/>
        <v>0</v>
      </c>
      <c r="J36" s="170">
        <f t="shared" si="31"/>
        <v>0</v>
      </c>
      <c r="K36" s="213">
        <f t="shared" si="31"/>
        <v>0</v>
      </c>
      <c r="L36" s="173"/>
    </row>
    <row r="37" spans="1:12" ht="15" customHeight="1" x14ac:dyDescent="0.25">
      <c r="A37" t="s">
        <v>166</v>
      </c>
      <c r="B37" s="346"/>
      <c r="C37" s="102">
        <f t="shared" ref="C37:F37" si="32">C22</f>
        <v>0</v>
      </c>
      <c r="D37" s="169">
        <f t="shared" si="32"/>
        <v>0</v>
      </c>
      <c r="E37" s="170">
        <f t="shared" si="32"/>
        <v>0</v>
      </c>
      <c r="F37" s="172">
        <f t="shared" si="32"/>
        <v>0</v>
      </c>
      <c r="G37" s="171"/>
      <c r="H37" s="102" t="str">
        <f t="shared" ref="H37:K37" si="33">H22</f>
        <v>Billag</v>
      </c>
      <c r="I37" s="169">
        <f t="shared" si="33"/>
        <v>0</v>
      </c>
      <c r="J37" s="170">
        <f t="shared" si="33"/>
        <v>15</v>
      </c>
      <c r="K37" s="213" t="str">
        <f t="shared" si="33"/>
        <v>oui</v>
      </c>
      <c r="L37" s="173"/>
    </row>
    <row r="38" spans="1:12" ht="15" customHeight="1" x14ac:dyDescent="0.25">
      <c r="A38" t="s">
        <v>166</v>
      </c>
      <c r="B38" s="346"/>
      <c r="C38" s="102">
        <f t="shared" ref="C38:F38" si="34">C23</f>
        <v>0</v>
      </c>
      <c r="D38" s="169">
        <f t="shared" si="34"/>
        <v>0</v>
      </c>
      <c r="E38" s="170">
        <f t="shared" si="34"/>
        <v>0</v>
      </c>
      <c r="F38" s="172">
        <f t="shared" si="34"/>
        <v>0</v>
      </c>
      <c r="G38" s="171"/>
      <c r="H38" s="102" t="str">
        <f t="shared" ref="H38:K38" si="35">H23</f>
        <v>kk</v>
      </c>
      <c r="I38" s="169">
        <f t="shared" si="35"/>
        <v>0</v>
      </c>
      <c r="J38" s="170">
        <f t="shared" si="35"/>
        <v>0</v>
      </c>
      <c r="K38" s="172">
        <f t="shared" si="35"/>
        <v>0</v>
      </c>
      <c r="L38" s="173"/>
    </row>
    <row r="39" spans="1:12" ht="15" customHeight="1" x14ac:dyDescent="0.25">
      <c r="A39" t="s">
        <v>166</v>
      </c>
      <c r="B39" s="346"/>
      <c r="C39" s="102" t="str">
        <f t="shared" ref="C39:F39" si="36">C24</f>
        <v>tutu</v>
      </c>
      <c r="D39" s="169">
        <f t="shared" si="36"/>
        <v>0</v>
      </c>
      <c r="E39" s="170">
        <f t="shared" si="36"/>
        <v>12</v>
      </c>
      <c r="F39" s="172" t="str">
        <f t="shared" si="36"/>
        <v>oui</v>
      </c>
      <c r="G39" s="171"/>
      <c r="H39" s="102">
        <f t="shared" ref="H39:K39" si="37">H24</f>
        <v>0</v>
      </c>
      <c r="I39" s="169">
        <f t="shared" si="37"/>
        <v>0</v>
      </c>
      <c r="J39" s="170">
        <f t="shared" si="37"/>
        <v>0</v>
      </c>
      <c r="K39" s="172">
        <f t="shared" si="37"/>
        <v>0</v>
      </c>
      <c r="L39" s="173"/>
    </row>
    <row r="40" spans="1:12" ht="15" customHeight="1" x14ac:dyDescent="0.25">
      <c r="A40" t="s">
        <v>166</v>
      </c>
      <c r="B40" s="346"/>
      <c r="C40" s="102">
        <f t="shared" ref="C40:F40" si="38">C25</f>
        <v>0</v>
      </c>
      <c r="D40" s="169">
        <f t="shared" si="38"/>
        <v>0</v>
      </c>
      <c r="E40" s="170">
        <f t="shared" si="38"/>
        <v>0</v>
      </c>
      <c r="F40" s="172">
        <f t="shared" si="38"/>
        <v>0</v>
      </c>
      <c r="G40" s="171"/>
      <c r="H40" s="102">
        <f t="shared" ref="H40:K40" si="39">H25</f>
        <v>0</v>
      </c>
      <c r="I40" s="169">
        <f t="shared" si="39"/>
        <v>0</v>
      </c>
      <c r="J40" s="170">
        <f t="shared" si="39"/>
        <v>0</v>
      </c>
      <c r="K40" s="172">
        <f t="shared" si="39"/>
        <v>0</v>
      </c>
      <c r="L40" s="173"/>
    </row>
    <row r="41" spans="1:12" ht="15" customHeight="1" x14ac:dyDescent="0.25">
      <c r="A41" t="s">
        <v>166</v>
      </c>
      <c r="B41" s="346"/>
      <c r="C41" s="102">
        <f t="shared" ref="C41:F41" si="40">C26</f>
        <v>0</v>
      </c>
      <c r="D41" s="169">
        <f t="shared" si="40"/>
        <v>0</v>
      </c>
      <c r="E41" s="170">
        <f t="shared" si="40"/>
        <v>0</v>
      </c>
      <c r="F41" s="172">
        <f t="shared" si="40"/>
        <v>0</v>
      </c>
      <c r="G41" s="171"/>
      <c r="H41" s="102">
        <f t="shared" ref="H41:K41" si="41">H26</f>
        <v>0</v>
      </c>
      <c r="I41" s="169">
        <f t="shared" si="41"/>
        <v>0</v>
      </c>
      <c r="J41" s="170">
        <f t="shared" si="41"/>
        <v>0</v>
      </c>
      <c r="K41" s="172">
        <f t="shared" si="41"/>
        <v>0</v>
      </c>
      <c r="L41" s="173"/>
    </row>
    <row r="42" spans="1:12" ht="15" customHeight="1" x14ac:dyDescent="0.25">
      <c r="A42" t="s">
        <v>166</v>
      </c>
      <c r="B42" s="346"/>
      <c r="C42" s="102">
        <f t="shared" ref="C42:F42" si="42">C27</f>
        <v>0</v>
      </c>
      <c r="D42" s="169">
        <f t="shared" si="42"/>
        <v>0</v>
      </c>
      <c r="E42" s="170">
        <f t="shared" si="42"/>
        <v>0</v>
      </c>
      <c r="F42" s="172">
        <f t="shared" si="42"/>
        <v>0</v>
      </c>
      <c r="G42" s="171"/>
      <c r="H42" s="102">
        <f t="shared" ref="H42:K42" si="43">H27</f>
        <v>0</v>
      </c>
      <c r="I42" s="169">
        <f t="shared" si="43"/>
        <v>0</v>
      </c>
      <c r="J42" s="170">
        <f t="shared" si="43"/>
        <v>0</v>
      </c>
      <c r="K42" s="172">
        <f t="shared" si="43"/>
        <v>0</v>
      </c>
      <c r="L42" s="173"/>
    </row>
    <row r="43" spans="1:12" ht="15" customHeight="1" x14ac:dyDescent="0.25">
      <c r="A43" t="s">
        <v>166</v>
      </c>
      <c r="B43" s="346"/>
      <c r="C43" s="102">
        <f t="shared" ref="C43:F43" si="44">C28</f>
        <v>0</v>
      </c>
      <c r="D43" s="169">
        <f t="shared" si="44"/>
        <v>0</v>
      </c>
      <c r="E43" s="170">
        <f t="shared" si="44"/>
        <v>0</v>
      </c>
      <c r="F43" s="172">
        <f t="shared" si="44"/>
        <v>0</v>
      </c>
      <c r="G43" s="171"/>
      <c r="H43" s="102">
        <f t="shared" ref="H43:K43" si="45">H28</f>
        <v>0</v>
      </c>
      <c r="I43" s="169">
        <f t="shared" si="45"/>
        <v>0</v>
      </c>
      <c r="J43" s="170">
        <f t="shared" si="45"/>
        <v>0</v>
      </c>
      <c r="K43" s="172">
        <f t="shared" si="45"/>
        <v>0</v>
      </c>
      <c r="L43" s="173"/>
    </row>
    <row r="44" spans="1:12" ht="15" customHeight="1" x14ac:dyDescent="0.25">
      <c r="A44" t="s">
        <v>166</v>
      </c>
      <c r="B44" s="346"/>
      <c r="C44" s="102">
        <f t="shared" ref="C44:F44" si="46">C29</f>
        <v>0</v>
      </c>
      <c r="D44" s="169">
        <f t="shared" si="46"/>
        <v>0</v>
      </c>
      <c r="E44" s="170">
        <f t="shared" si="46"/>
        <v>0</v>
      </c>
      <c r="F44" s="172">
        <f t="shared" si="46"/>
        <v>0</v>
      </c>
      <c r="G44" s="171"/>
      <c r="H44" s="102">
        <f t="shared" ref="H44:K44" si="47">H29</f>
        <v>0</v>
      </c>
      <c r="I44" s="169">
        <f t="shared" si="47"/>
        <v>0</v>
      </c>
      <c r="J44" s="170">
        <f t="shared" si="47"/>
        <v>0</v>
      </c>
      <c r="K44" s="172">
        <f t="shared" si="47"/>
        <v>0</v>
      </c>
      <c r="L44" s="173"/>
    </row>
    <row r="45" spans="1:12" ht="15" customHeight="1" x14ac:dyDescent="0.25">
      <c r="A45" t="s">
        <v>166</v>
      </c>
      <c r="B45" s="346"/>
      <c r="C45" s="102">
        <f t="shared" ref="C45:F45" si="48">C30</f>
        <v>0</v>
      </c>
      <c r="D45" s="169">
        <f t="shared" si="48"/>
        <v>0</v>
      </c>
      <c r="E45" s="170">
        <f t="shared" si="48"/>
        <v>0</v>
      </c>
      <c r="F45" s="172">
        <f t="shared" si="48"/>
        <v>0</v>
      </c>
      <c r="G45" s="168"/>
      <c r="H45" s="102">
        <f t="shared" ref="H45:K45" si="49">H30</f>
        <v>0</v>
      </c>
      <c r="I45" s="169">
        <f t="shared" si="49"/>
        <v>0</v>
      </c>
      <c r="J45" s="170">
        <f t="shared" si="49"/>
        <v>0</v>
      </c>
      <c r="K45" s="167">
        <f t="shared" si="49"/>
        <v>0</v>
      </c>
      <c r="L45" s="25"/>
    </row>
    <row r="46" spans="1:12" ht="15" customHeight="1" x14ac:dyDescent="0.25">
      <c r="A46" t="s">
        <v>166</v>
      </c>
      <c r="B46" s="346"/>
      <c r="C46" s="102">
        <f t="shared" ref="C46:F46" si="50">C31</f>
        <v>0</v>
      </c>
      <c r="D46" s="169">
        <f t="shared" si="50"/>
        <v>0</v>
      </c>
      <c r="E46" s="170">
        <f t="shared" si="50"/>
        <v>0</v>
      </c>
      <c r="F46" s="172">
        <f t="shared" si="50"/>
        <v>0</v>
      </c>
      <c r="G46" s="168"/>
      <c r="H46" s="102">
        <f t="shared" ref="H46:K46" si="51">H31</f>
        <v>0</v>
      </c>
      <c r="I46" s="169">
        <f t="shared" si="51"/>
        <v>0</v>
      </c>
      <c r="J46" s="170">
        <f t="shared" si="51"/>
        <v>0</v>
      </c>
      <c r="K46" s="167">
        <f t="shared" si="51"/>
        <v>0</v>
      </c>
      <c r="L46" s="25"/>
    </row>
    <row r="47" spans="1:12" s="152" customFormat="1" ht="15" customHeight="1" x14ac:dyDescent="0.25">
      <c r="B47" s="176"/>
      <c r="C47" s="168"/>
      <c r="D47" s="168"/>
      <c r="E47" s="168"/>
      <c r="F47" s="168"/>
      <c r="G47" s="168"/>
      <c r="H47" s="168"/>
      <c r="I47" s="168"/>
      <c r="J47" s="168"/>
      <c r="K47" s="168"/>
      <c r="L47" s="168"/>
    </row>
    <row r="48" spans="1:12" ht="15" customHeight="1" x14ac:dyDescent="0.25">
      <c r="A48" t="s">
        <v>167</v>
      </c>
      <c r="B48" s="345" t="str">
        <f>A48</f>
        <v>avril</v>
      </c>
      <c r="C48" s="102" t="str">
        <f>C33</f>
        <v>Impôts communaux</v>
      </c>
      <c r="D48" s="169" t="str">
        <f>D33</f>
        <v>Commune de Farvagny</v>
      </c>
      <c r="E48" s="170">
        <f>E33</f>
        <v>81.5</v>
      </c>
      <c r="F48" s="172" t="str">
        <f>F33</f>
        <v>non</v>
      </c>
      <c r="G48" s="171"/>
      <c r="H48" s="102" t="str">
        <f>H33</f>
        <v>Assurance ménage</v>
      </c>
      <c r="I48" s="169" t="str">
        <f>I33</f>
        <v>Générali</v>
      </c>
      <c r="J48" s="170">
        <f>J33</f>
        <v>12</v>
      </c>
      <c r="K48" s="213" t="str">
        <f>K33</f>
        <v>oui</v>
      </c>
      <c r="L48" s="173"/>
    </row>
    <row r="49" spans="1:12" ht="15" customHeight="1" x14ac:dyDescent="0.25">
      <c r="A49" t="s">
        <v>167</v>
      </c>
      <c r="B49" s="346"/>
      <c r="C49" s="102" t="str">
        <f t="shared" ref="C49:F49" si="52">C34</f>
        <v>Impôts cantonaux</v>
      </c>
      <c r="D49" s="169" t="str">
        <f t="shared" si="52"/>
        <v>SCC</v>
      </c>
      <c r="E49" s="170">
        <f t="shared" si="52"/>
        <v>82.3</v>
      </c>
      <c r="F49" s="172" t="str">
        <f t="shared" si="52"/>
        <v>oui</v>
      </c>
      <c r="G49" s="171"/>
      <c r="H49" s="102" t="str">
        <f t="shared" ref="H49:K49" si="53">H34</f>
        <v>Electricité</v>
      </c>
      <c r="I49" s="169" t="str">
        <f t="shared" si="53"/>
        <v>Groupe E</v>
      </c>
      <c r="J49" s="170">
        <f t="shared" si="53"/>
        <v>0</v>
      </c>
      <c r="K49" s="213">
        <f t="shared" si="53"/>
        <v>0</v>
      </c>
      <c r="L49" s="173"/>
    </row>
    <row r="50" spans="1:12" ht="15" customHeight="1" x14ac:dyDescent="0.25">
      <c r="A50" t="s">
        <v>167</v>
      </c>
      <c r="B50" s="346"/>
      <c r="C50" s="102" t="str">
        <f t="shared" ref="C50:F50" si="54">C35</f>
        <v>Téléphone</v>
      </c>
      <c r="D50" s="169">
        <f t="shared" si="54"/>
        <v>0</v>
      </c>
      <c r="E50" s="170">
        <f t="shared" si="54"/>
        <v>0</v>
      </c>
      <c r="F50" s="172">
        <f t="shared" si="54"/>
        <v>0</v>
      </c>
      <c r="G50" s="171"/>
      <c r="H50" s="64" t="str">
        <f t="shared" ref="H50:K50" si="55">H35</f>
        <v>Impôt véhicule</v>
      </c>
      <c r="I50" s="169" t="str">
        <f t="shared" si="55"/>
        <v>OCN</v>
      </c>
      <c r="J50" s="170">
        <f t="shared" si="55"/>
        <v>28</v>
      </c>
      <c r="K50" s="213" t="str">
        <f t="shared" si="55"/>
        <v>oui</v>
      </c>
      <c r="L50" s="173"/>
    </row>
    <row r="51" spans="1:12" ht="15" customHeight="1" x14ac:dyDescent="0.25">
      <c r="A51" t="s">
        <v>167</v>
      </c>
      <c r="B51" s="346"/>
      <c r="C51" s="102">
        <f t="shared" ref="C51:F51" si="56">C36</f>
        <v>0</v>
      </c>
      <c r="D51" s="169">
        <f t="shared" si="56"/>
        <v>0</v>
      </c>
      <c r="E51" s="170">
        <f t="shared" si="56"/>
        <v>0</v>
      </c>
      <c r="F51" s="172">
        <f t="shared" si="56"/>
        <v>0</v>
      </c>
      <c r="G51" s="171"/>
      <c r="H51" s="102" t="str">
        <f t="shared" ref="H51:K51" si="57">H36</f>
        <v>Assurance véhicule</v>
      </c>
      <c r="I51" s="169">
        <f t="shared" si="57"/>
        <v>0</v>
      </c>
      <c r="J51" s="170">
        <f t="shared" si="57"/>
        <v>0</v>
      </c>
      <c r="K51" s="213">
        <f t="shared" si="57"/>
        <v>0</v>
      </c>
      <c r="L51" s="173"/>
    </row>
    <row r="52" spans="1:12" ht="15" customHeight="1" x14ac:dyDescent="0.25">
      <c r="A52" t="s">
        <v>167</v>
      </c>
      <c r="B52" s="346"/>
      <c r="C52" s="102">
        <f t="shared" ref="C52:F52" si="58">C37</f>
        <v>0</v>
      </c>
      <c r="D52" s="169">
        <f t="shared" si="58"/>
        <v>0</v>
      </c>
      <c r="E52" s="170">
        <f t="shared" si="58"/>
        <v>0</v>
      </c>
      <c r="F52" s="172">
        <f t="shared" si="58"/>
        <v>0</v>
      </c>
      <c r="G52" s="171"/>
      <c r="H52" s="102" t="str">
        <f t="shared" ref="H52:K52" si="59">H37</f>
        <v>Billag</v>
      </c>
      <c r="I52" s="169">
        <f t="shared" si="59"/>
        <v>0</v>
      </c>
      <c r="J52" s="170">
        <f t="shared" si="59"/>
        <v>15</v>
      </c>
      <c r="K52" s="213" t="str">
        <f t="shared" si="59"/>
        <v>oui</v>
      </c>
      <c r="L52" s="173"/>
    </row>
    <row r="53" spans="1:12" ht="15" customHeight="1" x14ac:dyDescent="0.25">
      <c r="A53" t="s">
        <v>167</v>
      </c>
      <c r="B53" s="346"/>
      <c r="C53" s="102">
        <f t="shared" ref="C53:F53" si="60">C38</f>
        <v>0</v>
      </c>
      <c r="D53" s="169">
        <f t="shared" si="60"/>
        <v>0</v>
      </c>
      <c r="E53" s="170">
        <f t="shared" si="60"/>
        <v>0</v>
      </c>
      <c r="F53" s="172">
        <f t="shared" si="60"/>
        <v>0</v>
      </c>
      <c r="G53" s="171"/>
      <c r="H53" s="102" t="str">
        <f t="shared" ref="H53:K53" si="61">H38</f>
        <v>kk</v>
      </c>
      <c r="I53" s="169">
        <f t="shared" si="61"/>
        <v>0</v>
      </c>
      <c r="J53" s="170">
        <f t="shared" si="61"/>
        <v>0</v>
      </c>
      <c r="K53" s="172">
        <f t="shared" si="61"/>
        <v>0</v>
      </c>
      <c r="L53" s="173"/>
    </row>
    <row r="54" spans="1:12" ht="15" customHeight="1" x14ac:dyDescent="0.25">
      <c r="A54" t="s">
        <v>167</v>
      </c>
      <c r="B54" s="346"/>
      <c r="C54" s="102" t="str">
        <f t="shared" ref="C54:F54" si="62">C39</f>
        <v>tutu</v>
      </c>
      <c r="D54" s="169">
        <f t="shared" si="62"/>
        <v>0</v>
      </c>
      <c r="E54" s="170">
        <f t="shared" si="62"/>
        <v>12</v>
      </c>
      <c r="F54" s="172" t="str">
        <f t="shared" si="62"/>
        <v>oui</v>
      </c>
      <c r="G54" s="171"/>
      <c r="H54" s="102">
        <f t="shared" ref="H54:K54" si="63">H39</f>
        <v>0</v>
      </c>
      <c r="I54" s="169">
        <f t="shared" si="63"/>
        <v>0</v>
      </c>
      <c r="J54" s="170">
        <f t="shared" si="63"/>
        <v>0</v>
      </c>
      <c r="K54" s="172">
        <f t="shared" si="63"/>
        <v>0</v>
      </c>
      <c r="L54" s="173"/>
    </row>
    <row r="55" spans="1:12" ht="15" customHeight="1" x14ac:dyDescent="0.25">
      <c r="A55" t="s">
        <v>167</v>
      </c>
      <c r="B55" s="346"/>
      <c r="C55" s="102">
        <f t="shared" ref="C55:F55" si="64">C40</f>
        <v>0</v>
      </c>
      <c r="D55" s="169">
        <f t="shared" si="64"/>
        <v>0</v>
      </c>
      <c r="E55" s="170">
        <f t="shared" si="64"/>
        <v>0</v>
      </c>
      <c r="F55" s="172">
        <f t="shared" si="64"/>
        <v>0</v>
      </c>
      <c r="G55" s="171"/>
      <c r="H55" s="102">
        <f t="shared" ref="H55:K55" si="65">H40</f>
        <v>0</v>
      </c>
      <c r="I55" s="169">
        <f t="shared" si="65"/>
        <v>0</v>
      </c>
      <c r="J55" s="170">
        <f t="shared" si="65"/>
        <v>0</v>
      </c>
      <c r="K55" s="172">
        <f t="shared" si="65"/>
        <v>0</v>
      </c>
      <c r="L55" s="173"/>
    </row>
    <row r="56" spans="1:12" ht="15" customHeight="1" x14ac:dyDescent="0.25">
      <c r="A56" t="s">
        <v>167</v>
      </c>
      <c r="B56" s="346"/>
      <c r="C56" s="102">
        <f t="shared" ref="C56:F56" si="66">C41</f>
        <v>0</v>
      </c>
      <c r="D56" s="169">
        <f t="shared" si="66"/>
        <v>0</v>
      </c>
      <c r="E56" s="170">
        <f t="shared" si="66"/>
        <v>0</v>
      </c>
      <c r="F56" s="172">
        <f t="shared" si="66"/>
        <v>0</v>
      </c>
      <c r="G56" s="171"/>
      <c r="H56" s="102">
        <f t="shared" ref="H56:K56" si="67">H41</f>
        <v>0</v>
      </c>
      <c r="I56" s="169">
        <f t="shared" si="67"/>
        <v>0</v>
      </c>
      <c r="J56" s="170">
        <f t="shared" si="67"/>
        <v>0</v>
      </c>
      <c r="K56" s="172">
        <f t="shared" si="67"/>
        <v>0</v>
      </c>
      <c r="L56" s="173"/>
    </row>
    <row r="57" spans="1:12" ht="15" customHeight="1" x14ac:dyDescent="0.25">
      <c r="A57" t="s">
        <v>167</v>
      </c>
      <c r="B57" s="346"/>
      <c r="C57" s="102">
        <f t="shared" ref="C57:F57" si="68">C42</f>
        <v>0</v>
      </c>
      <c r="D57" s="169">
        <f t="shared" si="68"/>
        <v>0</v>
      </c>
      <c r="E57" s="170">
        <f t="shared" si="68"/>
        <v>0</v>
      </c>
      <c r="F57" s="172">
        <f t="shared" si="68"/>
        <v>0</v>
      </c>
      <c r="G57" s="171"/>
      <c r="H57" s="102">
        <f t="shared" ref="H57:K57" si="69">H42</f>
        <v>0</v>
      </c>
      <c r="I57" s="169">
        <f t="shared" si="69"/>
        <v>0</v>
      </c>
      <c r="J57" s="170">
        <f t="shared" si="69"/>
        <v>0</v>
      </c>
      <c r="K57" s="172">
        <f t="shared" si="69"/>
        <v>0</v>
      </c>
      <c r="L57" s="173"/>
    </row>
    <row r="58" spans="1:12" ht="15" customHeight="1" x14ac:dyDescent="0.25">
      <c r="A58" t="s">
        <v>167</v>
      </c>
      <c r="B58" s="346"/>
      <c r="C58" s="102">
        <f t="shared" ref="C58:F58" si="70">C43</f>
        <v>0</v>
      </c>
      <c r="D58" s="169">
        <f t="shared" si="70"/>
        <v>0</v>
      </c>
      <c r="E58" s="170">
        <f t="shared" si="70"/>
        <v>0</v>
      </c>
      <c r="F58" s="172">
        <f t="shared" si="70"/>
        <v>0</v>
      </c>
      <c r="G58" s="171"/>
      <c r="H58" s="102">
        <f t="shared" ref="H58:K58" si="71">H43</f>
        <v>0</v>
      </c>
      <c r="I58" s="169">
        <f t="shared" si="71"/>
        <v>0</v>
      </c>
      <c r="J58" s="170">
        <f t="shared" si="71"/>
        <v>0</v>
      </c>
      <c r="K58" s="172">
        <f t="shared" si="71"/>
        <v>0</v>
      </c>
      <c r="L58" s="173"/>
    </row>
    <row r="59" spans="1:12" ht="15" customHeight="1" x14ac:dyDescent="0.25">
      <c r="A59" t="s">
        <v>167</v>
      </c>
      <c r="B59" s="346"/>
      <c r="C59" s="102">
        <f t="shared" ref="C59:F59" si="72">C44</f>
        <v>0</v>
      </c>
      <c r="D59" s="169">
        <f t="shared" si="72"/>
        <v>0</v>
      </c>
      <c r="E59" s="170">
        <f t="shared" si="72"/>
        <v>0</v>
      </c>
      <c r="F59" s="172">
        <f t="shared" si="72"/>
        <v>0</v>
      </c>
      <c r="G59" s="171"/>
      <c r="H59" s="102">
        <f t="shared" ref="H59:K59" si="73">H44</f>
        <v>0</v>
      </c>
      <c r="I59" s="169">
        <f t="shared" si="73"/>
        <v>0</v>
      </c>
      <c r="J59" s="170">
        <f t="shared" si="73"/>
        <v>0</v>
      </c>
      <c r="K59" s="172">
        <f t="shared" si="73"/>
        <v>0</v>
      </c>
      <c r="L59" s="173"/>
    </row>
    <row r="60" spans="1:12" ht="15" customHeight="1" x14ac:dyDescent="0.25">
      <c r="A60" t="s">
        <v>167</v>
      </c>
      <c r="B60" s="346"/>
      <c r="C60" s="102">
        <f t="shared" ref="C60:F60" si="74">C45</f>
        <v>0</v>
      </c>
      <c r="D60" s="169">
        <f t="shared" si="74"/>
        <v>0</v>
      </c>
      <c r="E60" s="170">
        <f t="shared" si="74"/>
        <v>0</v>
      </c>
      <c r="F60" s="172">
        <f t="shared" si="74"/>
        <v>0</v>
      </c>
      <c r="G60" s="168"/>
      <c r="H60" s="102">
        <f t="shared" ref="H60:K60" si="75">H45</f>
        <v>0</v>
      </c>
      <c r="I60" s="169">
        <f t="shared" si="75"/>
        <v>0</v>
      </c>
      <c r="J60" s="170">
        <f t="shared" si="75"/>
        <v>0</v>
      </c>
      <c r="K60" s="167">
        <f t="shared" si="75"/>
        <v>0</v>
      </c>
      <c r="L60" s="25"/>
    </row>
    <row r="61" spans="1:12" ht="15" customHeight="1" x14ac:dyDescent="0.25">
      <c r="A61" t="s">
        <v>167</v>
      </c>
      <c r="B61" s="346"/>
      <c r="C61" s="102">
        <f t="shared" ref="C61:F61" si="76">C46</f>
        <v>0</v>
      </c>
      <c r="D61" s="169">
        <f t="shared" si="76"/>
        <v>0</v>
      </c>
      <c r="E61" s="170">
        <f t="shared" si="76"/>
        <v>0</v>
      </c>
      <c r="F61" s="172">
        <f t="shared" si="76"/>
        <v>0</v>
      </c>
      <c r="G61" s="168"/>
      <c r="H61" s="102">
        <f t="shared" ref="H61:K61" si="77">H46</f>
        <v>0</v>
      </c>
      <c r="I61" s="169">
        <f t="shared" si="77"/>
        <v>0</v>
      </c>
      <c r="J61" s="170">
        <f t="shared" si="77"/>
        <v>0</v>
      </c>
      <c r="K61" s="167">
        <f t="shared" si="77"/>
        <v>0</v>
      </c>
      <c r="L61" s="25"/>
    </row>
    <row r="62" spans="1:12" s="152" customFormat="1" ht="15" customHeight="1" x14ac:dyDescent="0.25">
      <c r="B62" s="176"/>
      <c r="C62" s="168"/>
      <c r="D62" s="168"/>
      <c r="E62" s="168"/>
      <c r="F62" s="168"/>
      <c r="G62" s="168"/>
      <c r="H62" s="168"/>
      <c r="I62" s="168"/>
      <c r="J62" s="168"/>
      <c r="K62" s="168"/>
      <c r="L62" s="168"/>
    </row>
    <row r="63" spans="1:12" ht="15" customHeight="1" x14ac:dyDescent="0.25">
      <c r="A63" t="s">
        <v>134</v>
      </c>
      <c r="B63" s="345" t="str">
        <f>A63</f>
        <v>mai</v>
      </c>
      <c r="C63" s="102" t="str">
        <f>C48</f>
        <v>Impôts communaux</v>
      </c>
      <c r="D63" s="169" t="str">
        <f>D48</f>
        <v>Commune de Farvagny</v>
      </c>
      <c r="E63" s="170">
        <f>E48</f>
        <v>81.5</v>
      </c>
      <c r="F63" s="172" t="str">
        <f>F48</f>
        <v>non</v>
      </c>
      <c r="G63" s="171"/>
      <c r="H63" s="102" t="str">
        <f>H48</f>
        <v>Assurance ménage</v>
      </c>
      <c r="I63" s="169" t="str">
        <f>I48</f>
        <v>Générali</v>
      </c>
      <c r="J63" s="170">
        <f>J48</f>
        <v>12</v>
      </c>
      <c r="K63" s="213" t="str">
        <f>K48</f>
        <v>oui</v>
      </c>
      <c r="L63" s="173"/>
    </row>
    <row r="64" spans="1:12" ht="15" customHeight="1" x14ac:dyDescent="0.25">
      <c r="A64" t="s">
        <v>134</v>
      </c>
      <c r="B64" s="346"/>
      <c r="C64" s="102" t="str">
        <f t="shared" ref="C64:F64" si="78">C49</f>
        <v>Impôts cantonaux</v>
      </c>
      <c r="D64" s="169" t="str">
        <f t="shared" si="78"/>
        <v>SCC</v>
      </c>
      <c r="E64" s="170">
        <f t="shared" si="78"/>
        <v>82.3</v>
      </c>
      <c r="F64" s="172" t="str">
        <f t="shared" si="78"/>
        <v>oui</v>
      </c>
      <c r="G64" s="171"/>
      <c r="H64" s="102" t="str">
        <f t="shared" ref="H64:K64" si="79">H49</f>
        <v>Electricité</v>
      </c>
      <c r="I64" s="169" t="str">
        <f t="shared" si="79"/>
        <v>Groupe E</v>
      </c>
      <c r="J64" s="170">
        <f t="shared" si="79"/>
        <v>0</v>
      </c>
      <c r="K64" s="213">
        <f t="shared" si="79"/>
        <v>0</v>
      </c>
      <c r="L64" s="173"/>
    </row>
    <row r="65" spans="1:12" ht="15" customHeight="1" x14ac:dyDescent="0.25">
      <c r="A65" t="s">
        <v>134</v>
      </c>
      <c r="B65" s="346"/>
      <c r="C65" s="102" t="str">
        <f t="shared" ref="C65:F65" si="80">C50</f>
        <v>Téléphone</v>
      </c>
      <c r="D65" s="169">
        <f t="shared" si="80"/>
        <v>0</v>
      </c>
      <c r="E65" s="170">
        <f t="shared" si="80"/>
        <v>0</v>
      </c>
      <c r="F65" s="172">
        <f t="shared" si="80"/>
        <v>0</v>
      </c>
      <c r="G65" s="171"/>
      <c r="H65" s="64" t="str">
        <f t="shared" ref="H65:K65" si="81">H50</f>
        <v>Impôt véhicule</v>
      </c>
      <c r="I65" s="169" t="str">
        <f t="shared" si="81"/>
        <v>OCN</v>
      </c>
      <c r="J65" s="170">
        <f t="shared" si="81"/>
        <v>28</v>
      </c>
      <c r="K65" s="213" t="str">
        <f t="shared" si="81"/>
        <v>oui</v>
      </c>
      <c r="L65" s="173"/>
    </row>
    <row r="66" spans="1:12" ht="15" customHeight="1" x14ac:dyDescent="0.25">
      <c r="A66" t="s">
        <v>134</v>
      </c>
      <c r="B66" s="346"/>
      <c r="C66" s="102">
        <f t="shared" ref="C66:F66" si="82">C51</f>
        <v>0</v>
      </c>
      <c r="D66" s="169">
        <f t="shared" si="82"/>
        <v>0</v>
      </c>
      <c r="E66" s="170">
        <f t="shared" si="82"/>
        <v>0</v>
      </c>
      <c r="F66" s="172">
        <f t="shared" si="82"/>
        <v>0</v>
      </c>
      <c r="G66" s="171"/>
      <c r="H66" s="102" t="str">
        <f t="shared" ref="H66:K66" si="83">H51</f>
        <v>Assurance véhicule</v>
      </c>
      <c r="I66" s="169">
        <f t="shared" si="83"/>
        <v>0</v>
      </c>
      <c r="J66" s="170">
        <f t="shared" si="83"/>
        <v>0</v>
      </c>
      <c r="K66" s="213">
        <f t="shared" si="83"/>
        <v>0</v>
      </c>
      <c r="L66" s="173"/>
    </row>
    <row r="67" spans="1:12" ht="15" customHeight="1" x14ac:dyDescent="0.25">
      <c r="A67" t="s">
        <v>134</v>
      </c>
      <c r="B67" s="346"/>
      <c r="C67" s="102">
        <f t="shared" ref="C67:F67" si="84">C52</f>
        <v>0</v>
      </c>
      <c r="D67" s="169">
        <f t="shared" si="84"/>
        <v>0</v>
      </c>
      <c r="E67" s="170">
        <f t="shared" si="84"/>
        <v>0</v>
      </c>
      <c r="F67" s="172">
        <f t="shared" si="84"/>
        <v>0</v>
      </c>
      <c r="G67" s="171"/>
      <c r="H67" s="102" t="str">
        <f t="shared" ref="H67:K67" si="85">H52</f>
        <v>Billag</v>
      </c>
      <c r="I67" s="169">
        <f t="shared" si="85"/>
        <v>0</v>
      </c>
      <c r="J67" s="170">
        <f t="shared" si="85"/>
        <v>15</v>
      </c>
      <c r="K67" s="213" t="str">
        <f t="shared" si="85"/>
        <v>oui</v>
      </c>
      <c r="L67" s="173"/>
    </row>
    <row r="68" spans="1:12" ht="15" customHeight="1" x14ac:dyDescent="0.25">
      <c r="A68" t="s">
        <v>134</v>
      </c>
      <c r="B68" s="346"/>
      <c r="C68" s="102">
        <f t="shared" ref="C68:F68" si="86">C53</f>
        <v>0</v>
      </c>
      <c r="D68" s="169">
        <f t="shared" si="86"/>
        <v>0</v>
      </c>
      <c r="E68" s="170">
        <f t="shared" si="86"/>
        <v>0</v>
      </c>
      <c r="F68" s="172">
        <f t="shared" si="86"/>
        <v>0</v>
      </c>
      <c r="G68" s="171"/>
      <c r="H68" s="102" t="str">
        <f t="shared" ref="H68:K68" si="87">H53</f>
        <v>kk</v>
      </c>
      <c r="I68" s="169">
        <f t="shared" si="87"/>
        <v>0</v>
      </c>
      <c r="J68" s="170">
        <f t="shared" si="87"/>
        <v>0</v>
      </c>
      <c r="K68" s="172">
        <f t="shared" si="87"/>
        <v>0</v>
      </c>
      <c r="L68" s="173"/>
    </row>
    <row r="69" spans="1:12" ht="15" customHeight="1" x14ac:dyDescent="0.25">
      <c r="A69" t="s">
        <v>134</v>
      </c>
      <c r="B69" s="346"/>
      <c r="C69" s="102" t="str">
        <f t="shared" ref="C69:F69" si="88">C54</f>
        <v>tutu</v>
      </c>
      <c r="D69" s="169">
        <f t="shared" si="88"/>
        <v>0</v>
      </c>
      <c r="E69" s="170">
        <f t="shared" si="88"/>
        <v>12</v>
      </c>
      <c r="F69" s="172" t="str">
        <f t="shared" si="88"/>
        <v>oui</v>
      </c>
      <c r="G69" s="171"/>
      <c r="H69" s="102">
        <f t="shared" ref="H69:K69" si="89">H54</f>
        <v>0</v>
      </c>
      <c r="I69" s="169">
        <f t="shared" si="89"/>
        <v>0</v>
      </c>
      <c r="J69" s="170">
        <f t="shared" si="89"/>
        <v>0</v>
      </c>
      <c r="K69" s="172">
        <f t="shared" si="89"/>
        <v>0</v>
      </c>
      <c r="L69" s="173"/>
    </row>
    <row r="70" spans="1:12" ht="15" customHeight="1" x14ac:dyDescent="0.25">
      <c r="A70" t="s">
        <v>134</v>
      </c>
      <c r="B70" s="346"/>
      <c r="C70" s="102">
        <f t="shared" ref="C70:F70" si="90">C55</f>
        <v>0</v>
      </c>
      <c r="D70" s="169">
        <f t="shared" si="90"/>
        <v>0</v>
      </c>
      <c r="E70" s="170">
        <f t="shared" si="90"/>
        <v>0</v>
      </c>
      <c r="F70" s="172">
        <f t="shared" si="90"/>
        <v>0</v>
      </c>
      <c r="G70" s="171"/>
      <c r="H70" s="102">
        <f t="shared" ref="H70:K70" si="91">H55</f>
        <v>0</v>
      </c>
      <c r="I70" s="169">
        <f t="shared" si="91"/>
        <v>0</v>
      </c>
      <c r="J70" s="170">
        <f t="shared" si="91"/>
        <v>0</v>
      </c>
      <c r="K70" s="172">
        <f t="shared" si="91"/>
        <v>0</v>
      </c>
      <c r="L70" s="173"/>
    </row>
    <row r="71" spans="1:12" ht="15" customHeight="1" x14ac:dyDescent="0.25">
      <c r="A71" t="s">
        <v>134</v>
      </c>
      <c r="B71" s="346"/>
      <c r="C71" s="102">
        <f t="shared" ref="C71:F71" si="92">C56</f>
        <v>0</v>
      </c>
      <c r="D71" s="169">
        <f t="shared" si="92"/>
        <v>0</v>
      </c>
      <c r="E71" s="170">
        <f t="shared" si="92"/>
        <v>0</v>
      </c>
      <c r="F71" s="172">
        <f t="shared" si="92"/>
        <v>0</v>
      </c>
      <c r="G71" s="171"/>
      <c r="H71" s="102">
        <f t="shared" ref="H71:K71" si="93">H56</f>
        <v>0</v>
      </c>
      <c r="I71" s="169">
        <f t="shared" si="93"/>
        <v>0</v>
      </c>
      <c r="J71" s="170">
        <f t="shared" si="93"/>
        <v>0</v>
      </c>
      <c r="K71" s="172">
        <f t="shared" si="93"/>
        <v>0</v>
      </c>
      <c r="L71" s="173"/>
    </row>
    <row r="72" spans="1:12" ht="15" customHeight="1" x14ac:dyDescent="0.25">
      <c r="A72" t="s">
        <v>134</v>
      </c>
      <c r="B72" s="346"/>
      <c r="C72" s="102">
        <f t="shared" ref="C72:F72" si="94">C57</f>
        <v>0</v>
      </c>
      <c r="D72" s="169">
        <f t="shared" si="94"/>
        <v>0</v>
      </c>
      <c r="E72" s="170">
        <f t="shared" si="94"/>
        <v>0</v>
      </c>
      <c r="F72" s="172">
        <f t="shared" si="94"/>
        <v>0</v>
      </c>
      <c r="G72" s="171"/>
      <c r="H72" s="102">
        <f t="shared" ref="H72:K72" si="95">H57</f>
        <v>0</v>
      </c>
      <c r="I72" s="169">
        <f t="shared" si="95"/>
        <v>0</v>
      </c>
      <c r="J72" s="170">
        <f t="shared" si="95"/>
        <v>0</v>
      </c>
      <c r="K72" s="172">
        <f t="shared" si="95"/>
        <v>0</v>
      </c>
      <c r="L72" s="173"/>
    </row>
    <row r="73" spans="1:12" ht="15" customHeight="1" x14ac:dyDescent="0.25">
      <c r="A73" t="s">
        <v>134</v>
      </c>
      <c r="B73" s="346"/>
      <c r="C73" s="102">
        <f t="shared" ref="C73:F73" si="96">C58</f>
        <v>0</v>
      </c>
      <c r="D73" s="169">
        <f t="shared" si="96"/>
        <v>0</v>
      </c>
      <c r="E73" s="170">
        <f t="shared" si="96"/>
        <v>0</v>
      </c>
      <c r="F73" s="172">
        <f t="shared" si="96"/>
        <v>0</v>
      </c>
      <c r="G73" s="171"/>
      <c r="H73" s="102">
        <f t="shared" ref="H73:K73" si="97">H58</f>
        <v>0</v>
      </c>
      <c r="I73" s="169">
        <f t="shared" si="97"/>
        <v>0</v>
      </c>
      <c r="J73" s="170">
        <f t="shared" si="97"/>
        <v>0</v>
      </c>
      <c r="K73" s="172">
        <f t="shared" si="97"/>
        <v>0</v>
      </c>
      <c r="L73" s="173"/>
    </row>
    <row r="74" spans="1:12" ht="15" customHeight="1" x14ac:dyDescent="0.25">
      <c r="A74" t="s">
        <v>134</v>
      </c>
      <c r="B74" s="346"/>
      <c r="C74" s="102">
        <f t="shared" ref="C74:F74" si="98">C59</f>
        <v>0</v>
      </c>
      <c r="D74" s="169">
        <f t="shared" si="98"/>
        <v>0</v>
      </c>
      <c r="E74" s="170">
        <f t="shared" si="98"/>
        <v>0</v>
      </c>
      <c r="F74" s="172">
        <f t="shared" si="98"/>
        <v>0</v>
      </c>
      <c r="G74" s="171"/>
      <c r="H74" s="102">
        <f t="shared" ref="H74:K74" si="99">H59</f>
        <v>0</v>
      </c>
      <c r="I74" s="169">
        <f t="shared" si="99"/>
        <v>0</v>
      </c>
      <c r="J74" s="170">
        <f t="shared" si="99"/>
        <v>0</v>
      </c>
      <c r="K74" s="172">
        <f t="shared" si="99"/>
        <v>0</v>
      </c>
      <c r="L74" s="173"/>
    </row>
    <row r="75" spans="1:12" ht="15" customHeight="1" x14ac:dyDescent="0.25">
      <c r="A75" t="s">
        <v>134</v>
      </c>
      <c r="B75" s="346"/>
      <c r="C75" s="102">
        <f t="shared" ref="C75:F75" si="100">C60</f>
        <v>0</v>
      </c>
      <c r="D75" s="169">
        <f t="shared" si="100"/>
        <v>0</v>
      </c>
      <c r="E75" s="170">
        <f t="shared" si="100"/>
        <v>0</v>
      </c>
      <c r="F75" s="172">
        <f t="shared" si="100"/>
        <v>0</v>
      </c>
      <c r="G75" s="168"/>
      <c r="H75" s="102">
        <f t="shared" ref="H75:K75" si="101">H60</f>
        <v>0</v>
      </c>
      <c r="I75" s="169">
        <f t="shared" si="101"/>
        <v>0</v>
      </c>
      <c r="J75" s="170">
        <f t="shared" si="101"/>
        <v>0</v>
      </c>
      <c r="K75" s="167">
        <f t="shared" si="101"/>
        <v>0</v>
      </c>
      <c r="L75" s="25"/>
    </row>
    <row r="76" spans="1:12" ht="15" customHeight="1" x14ac:dyDescent="0.25">
      <c r="A76" t="s">
        <v>134</v>
      </c>
      <c r="B76" s="346"/>
      <c r="C76" s="102">
        <f t="shared" ref="C76:F76" si="102">C61</f>
        <v>0</v>
      </c>
      <c r="D76" s="169">
        <f t="shared" si="102"/>
        <v>0</v>
      </c>
      <c r="E76" s="170">
        <f t="shared" si="102"/>
        <v>0</v>
      </c>
      <c r="F76" s="172">
        <f t="shared" si="102"/>
        <v>0</v>
      </c>
      <c r="G76" s="168"/>
      <c r="H76" s="102">
        <f t="shared" ref="H76:K76" si="103">H61</f>
        <v>0</v>
      </c>
      <c r="I76" s="169">
        <f t="shared" si="103"/>
        <v>0</v>
      </c>
      <c r="J76" s="170">
        <f t="shared" si="103"/>
        <v>0</v>
      </c>
      <c r="K76" s="167">
        <f t="shared" si="103"/>
        <v>0</v>
      </c>
      <c r="L76" s="25"/>
    </row>
    <row r="77" spans="1:12" s="152" customFormat="1" ht="15" customHeight="1" x14ac:dyDescent="0.25">
      <c r="B77" s="176"/>
      <c r="C77" s="168"/>
      <c r="D77" s="168"/>
      <c r="E77" s="168"/>
      <c r="F77" s="168"/>
      <c r="G77" s="168"/>
      <c r="H77" s="168"/>
      <c r="I77" s="168"/>
      <c r="J77" s="168"/>
      <c r="K77" s="168"/>
      <c r="L77" s="168"/>
    </row>
    <row r="78" spans="1:12" ht="15" customHeight="1" x14ac:dyDescent="0.25">
      <c r="A78" t="s">
        <v>168</v>
      </c>
      <c r="B78" s="345" t="str">
        <f>A78</f>
        <v>juin</v>
      </c>
      <c r="C78" s="102" t="str">
        <f>C63</f>
        <v>Impôts communaux</v>
      </c>
      <c r="D78" s="169" t="str">
        <f>D63</f>
        <v>Commune de Farvagny</v>
      </c>
      <c r="E78" s="170">
        <f>E63</f>
        <v>81.5</v>
      </c>
      <c r="F78" s="172" t="str">
        <f>F63</f>
        <v>non</v>
      </c>
      <c r="G78" s="171"/>
      <c r="H78" s="102" t="str">
        <f>H63</f>
        <v>Assurance ménage</v>
      </c>
      <c r="I78" s="169" t="str">
        <f>I63</f>
        <v>Générali</v>
      </c>
      <c r="J78" s="170">
        <f>J63</f>
        <v>12</v>
      </c>
      <c r="K78" s="213" t="str">
        <f>K63</f>
        <v>oui</v>
      </c>
      <c r="L78" s="173"/>
    </row>
    <row r="79" spans="1:12" ht="15" customHeight="1" x14ac:dyDescent="0.25">
      <c r="A79" t="s">
        <v>168</v>
      </c>
      <c r="B79" s="346"/>
      <c r="C79" s="102" t="str">
        <f t="shared" ref="C79:F79" si="104">C64</f>
        <v>Impôts cantonaux</v>
      </c>
      <c r="D79" s="169" t="str">
        <f t="shared" si="104"/>
        <v>SCC</v>
      </c>
      <c r="E79" s="170">
        <f t="shared" si="104"/>
        <v>82.3</v>
      </c>
      <c r="F79" s="172" t="str">
        <f t="shared" si="104"/>
        <v>oui</v>
      </c>
      <c r="G79" s="171"/>
      <c r="H79" s="102" t="str">
        <f t="shared" ref="H79:K79" si="105">H64</f>
        <v>Electricité</v>
      </c>
      <c r="I79" s="169" t="str">
        <f t="shared" si="105"/>
        <v>Groupe E</v>
      </c>
      <c r="J79" s="170">
        <f t="shared" si="105"/>
        <v>0</v>
      </c>
      <c r="K79" s="213">
        <f t="shared" si="105"/>
        <v>0</v>
      </c>
      <c r="L79" s="173"/>
    </row>
    <row r="80" spans="1:12" ht="15" customHeight="1" x14ac:dyDescent="0.25">
      <c r="A80" t="s">
        <v>168</v>
      </c>
      <c r="B80" s="346"/>
      <c r="C80" s="102" t="str">
        <f t="shared" ref="C80:F80" si="106">C65</f>
        <v>Téléphone</v>
      </c>
      <c r="D80" s="169">
        <f t="shared" si="106"/>
        <v>0</v>
      </c>
      <c r="E80" s="170">
        <f t="shared" si="106"/>
        <v>0</v>
      </c>
      <c r="F80" s="172">
        <f t="shared" si="106"/>
        <v>0</v>
      </c>
      <c r="G80" s="171"/>
      <c r="H80" s="64" t="str">
        <f t="shared" ref="H80:K80" si="107">H65</f>
        <v>Impôt véhicule</v>
      </c>
      <c r="I80" s="169" t="str">
        <f t="shared" si="107"/>
        <v>OCN</v>
      </c>
      <c r="J80" s="170">
        <f t="shared" si="107"/>
        <v>28</v>
      </c>
      <c r="K80" s="213" t="str">
        <f t="shared" si="107"/>
        <v>oui</v>
      </c>
      <c r="L80" s="173"/>
    </row>
    <row r="81" spans="1:12" ht="15" customHeight="1" x14ac:dyDescent="0.25">
      <c r="A81" t="s">
        <v>168</v>
      </c>
      <c r="B81" s="346"/>
      <c r="C81" s="102">
        <f t="shared" ref="C81:F81" si="108">C66</f>
        <v>0</v>
      </c>
      <c r="D81" s="169">
        <f t="shared" si="108"/>
        <v>0</v>
      </c>
      <c r="E81" s="170">
        <f t="shared" si="108"/>
        <v>0</v>
      </c>
      <c r="F81" s="172">
        <f t="shared" si="108"/>
        <v>0</v>
      </c>
      <c r="G81" s="171"/>
      <c r="H81" s="102" t="str">
        <f t="shared" ref="H81:K81" si="109">H66</f>
        <v>Assurance véhicule</v>
      </c>
      <c r="I81" s="169">
        <f t="shared" si="109"/>
        <v>0</v>
      </c>
      <c r="J81" s="170">
        <f t="shared" si="109"/>
        <v>0</v>
      </c>
      <c r="K81" s="213">
        <f t="shared" si="109"/>
        <v>0</v>
      </c>
      <c r="L81" s="173"/>
    </row>
    <row r="82" spans="1:12" ht="15" customHeight="1" x14ac:dyDescent="0.25">
      <c r="A82" t="s">
        <v>168</v>
      </c>
      <c r="B82" s="346"/>
      <c r="C82" s="102">
        <f t="shared" ref="C82:F82" si="110">C67</f>
        <v>0</v>
      </c>
      <c r="D82" s="169">
        <f t="shared" si="110"/>
        <v>0</v>
      </c>
      <c r="E82" s="170">
        <f t="shared" si="110"/>
        <v>0</v>
      </c>
      <c r="F82" s="172">
        <f t="shared" si="110"/>
        <v>0</v>
      </c>
      <c r="G82" s="171"/>
      <c r="H82" s="102" t="str">
        <f t="shared" ref="H82:K82" si="111">H67</f>
        <v>Billag</v>
      </c>
      <c r="I82" s="169">
        <f t="shared" si="111"/>
        <v>0</v>
      </c>
      <c r="J82" s="170">
        <f t="shared" si="111"/>
        <v>15</v>
      </c>
      <c r="K82" s="213" t="str">
        <f t="shared" si="111"/>
        <v>oui</v>
      </c>
      <c r="L82" s="173"/>
    </row>
    <row r="83" spans="1:12" ht="15" customHeight="1" x14ac:dyDescent="0.25">
      <c r="A83" t="s">
        <v>168</v>
      </c>
      <c r="B83" s="346"/>
      <c r="C83" s="102">
        <f t="shared" ref="C83:F83" si="112">C68</f>
        <v>0</v>
      </c>
      <c r="D83" s="169">
        <f t="shared" si="112"/>
        <v>0</v>
      </c>
      <c r="E83" s="170">
        <f t="shared" si="112"/>
        <v>0</v>
      </c>
      <c r="F83" s="172">
        <f t="shared" si="112"/>
        <v>0</v>
      </c>
      <c r="G83" s="171"/>
      <c r="H83" s="102" t="str">
        <f t="shared" ref="H83:K83" si="113">H68</f>
        <v>kk</v>
      </c>
      <c r="I83" s="169">
        <f t="shared" si="113"/>
        <v>0</v>
      </c>
      <c r="J83" s="170">
        <f t="shared" si="113"/>
        <v>0</v>
      </c>
      <c r="K83" s="172">
        <f t="shared" si="113"/>
        <v>0</v>
      </c>
      <c r="L83" s="173"/>
    </row>
    <row r="84" spans="1:12" ht="15" customHeight="1" x14ac:dyDescent="0.25">
      <c r="A84" t="s">
        <v>168</v>
      </c>
      <c r="B84" s="346"/>
      <c r="C84" s="102" t="str">
        <f t="shared" ref="C84:F84" si="114">C69</f>
        <v>tutu</v>
      </c>
      <c r="D84" s="169">
        <f t="shared" si="114"/>
        <v>0</v>
      </c>
      <c r="E84" s="170">
        <f t="shared" si="114"/>
        <v>12</v>
      </c>
      <c r="F84" s="172" t="str">
        <f t="shared" si="114"/>
        <v>oui</v>
      </c>
      <c r="G84" s="171"/>
      <c r="H84" s="102">
        <f t="shared" ref="H84:K84" si="115">H69</f>
        <v>0</v>
      </c>
      <c r="I84" s="169">
        <f t="shared" si="115"/>
        <v>0</v>
      </c>
      <c r="J84" s="170">
        <f t="shared" si="115"/>
        <v>0</v>
      </c>
      <c r="K84" s="172">
        <f t="shared" si="115"/>
        <v>0</v>
      </c>
      <c r="L84" s="173"/>
    </row>
    <row r="85" spans="1:12" ht="15" customHeight="1" x14ac:dyDescent="0.25">
      <c r="A85" t="s">
        <v>168</v>
      </c>
      <c r="B85" s="346"/>
      <c r="C85" s="102">
        <f t="shared" ref="C85:F85" si="116">C70</f>
        <v>0</v>
      </c>
      <c r="D85" s="169">
        <f t="shared" si="116"/>
        <v>0</v>
      </c>
      <c r="E85" s="170">
        <f t="shared" si="116"/>
        <v>0</v>
      </c>
      <c r="F85" s="172">
        <f t="shared" si="116"/>
        <v>0</v>
      </c>
      <c r="G85" s="171"/>
      <c r="H85" s="102">
        <f t="shared" ref="H85:K85" si="117">H70</f>
        <v>0</v>
      </c>
      <c r="I85" s="169">
        <f t="shared" si="117"/>
        <v>0</v>
      </c>
      <c r="J85" s="170">
        <f t="shared" si="117"/>
        <v>0</v>
      </c>
      <c r="K85" s="172">
        <f t="shared" si="117"/>
        <v>0</v>
      </c>
      <c r="L85" s="173"/>
    </row>
    <row r="86" spans="1:12" ht="15" customHeight="1" x14ac:dyDescent="0.25">
      <c r="A86" t="s">
        <v>168</v>
      </c>
      <c r="B86" s="346"/>
      <c r="C86" s="102">
        <f t="shared" ref="C86:F86" si="118">C71</f>
        <v>0</v>
      </c>
      <c r="D86" s="169">
        <f t="shared" si="118"/>
        <v>0</v>
      </c>
      <c r="E86" s="170">
        <f t="shared" si="118"/>
        <v>0</v>
      </c>
      <c r="F86" s="172">
        <f t="shared" si="118"/>
        <v>0</v>
      </c>
      <c r="G86" s="171"/>
      <c r="H86" s="102">
        <f t="shared" ref="H86:K86" si="119">H71</f>
        <v>0</v>
      </c>
      <c r="I86" s="169">
        <f t="shared" si="119"/>
        <v>0</v>
      </c>
      <c r="J86" s="170">
        <f t="shared" si="119"/>
        <v>0</v>
      </c>
      <c r="K86" s="172">
        <f t="shared" si="119"/>
        <v>0</v>
      </c>
      <c r="L86" s="173"/>
    </row>
    <row r="87" spans="1:12" ht="15" customHeight="1" x14ac:dyDescent="0.25">
      <c r="A87" t="s">
        <v>168</v>
      </c>
      <c r="B87" s="346"/>
      <c r="C87" s="102">
        <f t="shared" ref="C87:F87" si="120">C72</f>
        <v>0</v>
      </c>
      <c r="D87" s="169">
        <f t="shared" si="120"/>
        <v>0</v>
      </c>
      <c r="E87" s="170">
        <f t="shared" si="120"/>
        <v>0</v>
      </c>
      <c r="F87" s="172">
        <f t="shared" si="120"/>
        <v>0</v>
      </c>
      <c r="G87" s="171"/>
      <c r="H87" s="102">
        <f t="shared" ref="H87:K87" si="121">H72</f>
        <v>0</v>
      </c>
      <c r="I87" s="169">
        <f t="shared" si="121"/>
        <v>0</v>
      </c>
      <c r="J87" s="170">
        <f t="shared" si="121"/>
        <v>0</v>
      </c>
      <c r="K87" s="172">
        <f t="shared" si="121"/>
        <v>0</v>
      </c>
      <c r="L87" s="173"/>
    </row>
    <row r="88" spans="1:12" ht="15" customHeight="1" x14ac:dyDescent="0.25">
      <c r="A88" t="s">
        <v>168</v>
      </c>
      <c r="B88" s="346"/>
      <c r="C88" s="102">
        <f t="shared" ref="C88:F88" si="122">C73</f>
        <v>0</v>
      </c>
      <c r="D88" s="169">
        <f t="shared" si="122"/>
        <v>0</v>
      </c>
      <c r="E88" s="170">
        <f t="shared" si="122"/>
        <v>0</v>
      </c>
      <c r="F88" s="172">
        <f t="shared" si="122"/>
        <v>0</v>
      </c>
      <c r="G88" s="171"/>
      <c r="H88" s="102">
        <f t="shared" ref="H88:K88" si="123">H73</f>
        <v>0</v>
      </c>
      <c r="I88" s="169">
        <f t="shared" si="123"/>
        <v>0</v>
      </c>
      <c r="J88" s="170">
        <f t="shared" si="123"/>
        <v>0</v>
      </c>
      <c r="K88" s="172">
        <f t="shared" si="123"/>
        <v>0</v>
      </c>
      <c r="L88" s="173"/>
    </row>
    <row r="89" spans="1:12" ht="15" customHeight="1" x14ac:dyDescent="0.25">
      <c r="A89" t="s">
        <v>168</v>
      </c>
      <c r="B89" s="346"/>
      <c r="C89" s="102">
        <f t="shared" ref="C89:F89" si="124">C74</f>
        <v>0</v>
      </c>
      <c r="D89" s="169">
        <f t="shared" si="124"/>
        <v>0</v>
      </c>
      <c r="E89" s="170">
        <f t="shared" si="124"/>
        <v>0</v>
      </c>
      <c r="F89" s="172">
        <f t="shared" si="124"/>
        <v>0</v>
      </c>
      <c r="G89" s="171"/>
      <c r="H89" s="102">
        <f t="shared" ref="H89:K89" si="125">H74</f>
        <v>0</v>
      </c>
      <c r="I89" s="169">
        <f t="shared" si="125"/>
        <v>0</v>
      </c>
      <c r="J89" s="170">
        <f t="shared" si="125"/>
        <v>0</v>
      </c>
      <c r="K89" s="172">
        <f t="shared" si="125"/>
        <v>0</v>
      </c>
      <c r="L89" s="173"/>
    </row>
    <row r="90" spans="1:12" ht="15" customHeight="1" x14ac:dyDescent="0.25">
      <c r="A90" t="s">
        <v>168</v>
      </c>
      <c r="B90" s="346"/>
      <c r="C90" s="102">
        <f t="shared" ref="C90:F90" si="126">C75</f>
        <v>0</v>
      </c>
      <c r="D90" s="169">
        <f t="shared" si="126"/>
        <v>0</v>
      </c>
      <c r="E90" s="170">
        <f t="shared" si="126"/>
        <v>0</v>
      </c>
      <c r="F90" s="172">
        <f t="shared" si="126"/>
        <v>0</v>
      </c>
      <c r="G90" s="168"/>
      <c r="H90" s="102">
        <f t="shared" ref="H90:K90" si="127">H75</f>
        <v>0</v>
      </c>
      <c r="I90" s="169">
        <f t="shared" si="127"/>
        <v>0</v>
      </c>
      <c r="J90" s="170">
        <f t="shared" si="127"/>
        <v>0</v>
      </c>
      <c r="K90" s="167">
        <f t="shared" si="127"/>
        <v>0</v>
      </c>
      <c r="L90" s="25"/>
    </row>
    <row r="91" spans="1:12" ht="15" customHeight="1" x14ac:dyDescent="0.25">
      <c r="A91" t="s">
        <v>168</v>
      </c>
      <c r="B91" s="346"/>
      <c r="C91" s="102">
        <f t="shared" ref="C91:F91" si="128">C76</f>
        <v>0</v>
      </c>
      <c r="D91" s="169">
        <f t="shared" si="128"/>
        <v>0</v>
      </c>
      <c r="E91" s="170">
        <f t="shared" si="128"/>
        <v>0</v>
      </c>
      <c r="F91" s="172">
        <f t="shared" si="128"/>
        <v>0</v>
      </c>
      <c r="G91" s="168"/>
      <c r="H91" s="102">
        <f t="shared" ref="H91:K91" si="129">H76</f>
        <v>0</v>
      </c>
      <c r="I91" s="169">
        <f t="shared" si="129"/>
        <v>0</v>
      </c>
      <c r="J91" s="170">
        <f t="shared" si="129"/>
        <v>0</v>
      </c>
      <c r="K91" s="167">
        <f t="shared" si="129"/>
        <v>0</v>
      </c>
      <c r="L91" s="25"/>
    </row>
    <row r="92" spans="1:12" s="152" customFormat="1" ht="15" customHeight="1" x14ac:dyDescent="0.25">
      <c r="B92" s="176"/>
      <c r="C92" s="168"/>
      <c r="D92" s="168"/>
      <c r="E92" s="168"/>
      <c r="F92" s="168"/>
      <c r="G92" s="168"/>
      <c r="H92" s="168"/>
      <c r="I92" s="168"/>
      <c r="J92" s="168"/>
      <c r="K92" s="168"/>
      <c r="L92" s="168"/>
    </row>
    <row r="93" spans="1:12" ht="15" customHeight="1" x14ac:dyDescent="0.25">
      <c r="A93" t="s">
        <v>169</v>
      </c>
      <c r="B93" s="345" t="str">
        <f>A93</f>
        <v>juillet</v>
      </c>
      <c r="C93" s="102" t="str">
        <f>C78</f>
        <v>Impôts communaux</v>
      </c>
      <c r="D93" s="169" t="str">
        <f>D78</f>
        <v>Commune de Farvagny</v>
      </c>
      <c r="E93" s="170">
        <f>E78</f>
        <v>81.5</v>
      </c>
      <c r="F93" s="172" t="str">
        <f>F78</f>
        <v>non</v>
      </c>
      <c r="G93" s="171"/>
      <c r="H93" s="102" t="str">
        <f>H78</f>
        <v>Assurance ménage</v>
      </c>
      <c r="I93" s="169" t="str">
        <f>I78</f>
        <v>Générali</v>
      </c>
      <c r="J93" s="170">
        <f>J78</f>
        <v>12</v>
      </c>
      <c r="K93" s="213" t="str">
        <f>K78</f>
        <v>oui</v>
      </c>
      <c r="L93" s="173"/>
    </row>
    <row r="94" spans="1:12" ht="15" customHeight="1" x14ac:dyDescent="0.25">
      <c r="A94" t="s">
        <v>169</v>
      </c>
      <c r="B94" s="346"/>
      <c r="C94" s="102" t="str">
        <f t="shared" ref="C94:F94" si="130">C79</f>
        <v>Impôts cantonaux</v>
      </c>
      <c r="D94" s="169" t="str">
        <f t="shared" si="130"/>
        <v>SCC</v>
      </c>
      <c r="E94" s="170">
        <f t="shared" si="130"/>
        <v>82.3</v>
      </c>
      <c r="F94" s="172" t="str">
        <f t="shared" si="130"/>
        <v>oui</v>
      </c>
      <c r="G94" s="171"/>
      <c r="H94" s="102" t="str">
        <f t="shared" ref="H94:K94" si="131">H79</f>
        <v>Electricité</v>
      </c>
      <c r="I94" s="169" t="str">
        <f t="shared" si="131"/>
        <v>Groupe E</v>
      </c>
      <c r="J94" s="170">
        <f t="shared" si="131"/>
        <v>0</v>
      </c>
      <c r="K94" s="213">
        <f t="shared" si="131"/>
        <v>0</v>
      </c>
      <c r="L94" s="173"/>
    </row>
    <row r="95" spans="1:12" ht="15" customHeight="1" x14ac:dyDescent="0.25">
      <c r="A95" t="s">
        <v>169</v>
      </c>
      <c r="B95" s="346"/>
      <c r="C95" s="102" t="str">
        <f t="shared" ref="C95:F95" si="132">C80</f>
        <v>Téléphone</v>
      </c>
      <c r="D95" s="169">
        <f t="shared" si="132"/>
        <v>0</v>
      </c>
      <c r="E95" s="170">
        <f t="shared" si="132"/>
        <v>0</v>
      </c>
      <c r="F95" s="172">
        <f t="shared" si="132"/>
        <v>0</v>
      </c>
      <c r="G95" s="171"/>
      <c r="H95" s="64" t="str">
        <f t="shared" ref="H95:K95" si="133">H80</f>
        <v>Impôt véhicule</v>
      </c>
      <c r="I95" s="169" t="str">
        <f t="shared" si="133"/>
        <v>OCN</v>
      </c>
      <c r="J95" s="170">
        <f t="shared" si="133"/>
        <v>28</v>
      </c>
      <c r="K95" s="213" t="str">
        <f t="shared" si="133"/>
        <v>oui</v>
      </c>
      <c r="L95" s="173"/>
    </row>
    <row r="96" spans="1:12" ht="15" customHeight="1" x14ac:dyDescent="0.25">
      <c r="A96" t="s">
        <v>169</v>
      </c>
      <c r="B96" s="346"/>
      <c r="C96" s="102">
        <f t="shared" ref="C96:F96" si="134">C81</f>
        <v>0</v>
      </c>
      <c r="D96" s="169">
        <f t="shared" si="134"/>
        <v>0</v>
      </c>
      <c r="E96" s="170">
        <f t="shared" si="134"/>
        <v>0</v>
      </c>
      <c r="F96" s="172">
        <f t="shared" si="134"/>
        <v>0</v>
      </c>
      <c r="G96" s="171"/>
      <c r="H96" s="102" t="str">
        <f t="shared" ref="H96:K96" si="135">H81</f>
        <v>Assurance véhicule</v>
      </c>
      <c r="I96" s="169">
        <f t="shared" si="135"/>
        <v>0</v>
      </c>
      <c r="J96" s="170">
        <f t="shared" si="135"/>
        <v>0</v>
      </c>
      <c r="K96" s="213">
        <f t="shared" si="135"/>
        <v>0</v>
      </c>
      <c r="L96" s="173"/>
    </row>
    <row r="97" spans="1:12" ht="15" customHeight="1" x14ac:dyDescent="0.25">
      <c r="A97" t="s">
        <v>169</v>
      </c>
      <c r="B97" s="346"/>
      <c r="C97" s="102">
        <f t="shared" ref="C97:F97" si="136">C82</f>
        <v>0</v>
      </c>
      <c r="D97" s="169">
        <f t="shared" si="136"/>
        <v>0</v>
      </c>
      <c r="E97" s="170">
        <f t="shared" si="136"/>
        <v>0</v>
      </c>
      <c r="F97" s="172">
        <f t="shared" si="136"/>
        <v>0</v>
      </c>
      <c r="G97" s="171"/>
      <c r="H97" s="102" t="str">
        <f t="shared" ref="H97:K97" si="137">H82</f>
        <v>Billag</v>
      </c>
      <c r="I97" s="169">
        <f t="shared" si="137"/>
        <v>0</v>
      </c>
      <c r="J97" s="170">
        <f t="shared" si="137"/>
        <v>15</v>
      </c>
      <c r="K97" s="213" t="str">
        <f t="shared" si="137"/>
        <v>oui</v>
      </c>
      <c r="L97" s="173"/>
    </row>
    <row r="98" spans="1:12" ht="15" customHeight="1" x14ac:dyDescent="0.25">
      <c r="A98" t="s">
        <v>169</v>
      </c>
      <c r="B98" s="346"/>
      <c r="C98" s="102">
        <f t="shared" ref="C98:F98" si="138">C83</f>
        <v>0</v>
      </c>
      <c r="D98" s="169">
        <f t="shared" si="138"/>
        <v>0</v>
      </c>
      <c r="E98" s="170">
        <f t="shared" si="138"/>
        <v>0</v>
      </c>
      <c r="F98" s="172">
        <f t="shared" si="138"/>
        <v>0</v>
      </c>
      <c r="G98" s="171"/>
      <c r="H98" s="102" t="str">
        <f t="shared" ref="H98:K98" si="139">H83</f>
        <v>kk</v>
      </c>
      <c r="I98" s="169">
        <f t="shared" si="139"/>
        <v>0</v>
      </c>
      <c r="J98" s="170">
        <f t="shared" si="139"/>
        <v>0</v>
      </c>
      <c r="K98" s="172">
        <f t="shared" si="139"/>
        <v>0</v>
      </c>
      <c r="L98" s="173"/>
    </row>
    <row r="99" spans="1:12" ht="15" customHeight="1" x14ac:dyDescent="0.25">
      <c r="A99" t="s">
        <v>169</v>
      </c>
      <c r="B99" s="346"/>
      <c r="C99" s="102" t="str">
        <f t="shared" ref="C99:F99" si="140">C84</f>
        <v>tutu</v>
      </c>
      <c r="D99" s="169">
        <f t="shared" si="140"/>
        <v>0</v>
      </c>
      <c r="E99" s="170">
        <f t="shared" si="140"/>
        <v>12</v>
      </c>
      <c r="F99" s="172" t="str">
        <f t="shared" si="140"/>
        <v>oui</v>
      </c>
      <c r="G99" s="171"/>
      <c r="H99" s="102">
        <f t="shared" ref="H99:K99" si="141">H84</f>
        <v>0</v>
      </c>
      <c r="I99" s="169">
        <f t="shared" si="141"/>
        <v>0</v>
      </c>
      <c r="J99" s="170">
        <f t="shared" si="141"/>
        <v>0</v>
      </c>
      <c r="K99" s="172">
        <f t="shared" si="141"/>
        <v>0</v>
      </c>
      <c r="L99" s="173"/>
    </row>
    <row r="100" spans="1:12" ht="15" customHeight="1" x14ac:dyDescent="0.25">
      <c r="A100" t="s">
        <v>169</v>
      </c>
      <c r="B100" s="346"/>
      <c r="C100" s="102">
        <f t="shared" ref="C100:F100" si="142">C85</f>
        <v>0</v>
      </c>
      <c r="D100" s="169">
        <f t="shared" si="142"/>
        <v>0</v>
      </c>
      <c r="E100" s="170">
        <f t="shared" si="142"/>
        <v>0</v>
      </c>
      <c r="F100" s="172">
        <f t="shared" si="142"/>
        <v>0</v>
      </c>
      <c r="G100" s="171"/>
      <c r="H100" s="102">
        <f t="shared" ref="H100:K100" si="143">H85</f>
        <v>0</v>
      </c>
      <c r="I100" s="169">
        <f t="shared" si="143"/>
        <v>0</v>
      </c>
      <c r="J100" s="170">
        <f t="shared" si="143"/>
        <v>0</v>
      </c>
      <c r="K100" s="172">
        <f t="shared" si="143"/>
        <v>0</v>
      </c>
      <c r="L100" s="173"/>
    </row>
    <row r="101" spans="1:12" ht="15" customHeight="1" x14ac:dyDescent="0.25">
      <c r="A101" t="s">
        <v>169</v>
      </c>
      <c r="B101" s="346"/>
      <c r="C101" s="102">
        <f t="shared" ref="C101:F101" si="144">C86</f>
        <v>0</v>
      </c>
      <c r="D101" s="169">
        <f t="shared" si="144"/>
        <v>0</v>
      </c>
      <c r="E101" s="170">
        <f t="shared" si="144"/>
        <v>0</v>
      </c>
      <c r="F101" s="172">
        <f t="shared" si="144"/>
        <v>0</v>
      </c>
      <c r="G101" s="171"/>
      <c r="H101" s="102">
        <f t="shared" ref="H101:K101" si="145">H86</f>
        <v>0</v>
      </c>
      <c r="I101" s="169">
        <f t="shared" si="145"/>
        <v>0</v>
      </c>
      <c r="J101" s="170">
        <f t="shared" si="145"/>
        <v>0</v>
      </c>
      <c r="K101" s="172">
        <f t="shared" si="145"/>
        <v>0</v>
      </c>
      <c r="L101" s="173"/>
    </row>
    <row r="102" spans="1:12" ht="15" customHeight="1" x14ac:dyDescent="0.25">
      <c r="A102" t="s">
        <v>169</v>
      </c>
      <c r="B102" s="346"/>
      <c r="C102" s="102">
        <f t="shared" ref="C102:F102" si="146">C87</f>
        <v>0</v>
      </c>
      <c r="D102" s="169">
        <f t="shared" si="146"/>
        <v>0</v>
      </c>
      <c r="E102" s="170">
        <f t="shared" si="146"/>
        <v>0</v>
      </c>
      <c r="F102" s="172">
        <f t="shared" si="146"/>
        <v>0</v>
      </c>
      <c r="G102" s="171"/>
      <c r="H102" s="102">
        <f t="shared" ref="H102:K102" si="147">H87</f>
        <v>0</v>
      </c>
      <c r="I102" s="169">
        <f t="shared" si="147"/>
        <v>0</v>
      </c>
      <c r="J102" s="170">
        <f t="shared" si="147"/>
        <v>0</v>
      </c>
      <c r="K102" s="172">
        <f t="shared" si="147"/>
        <v>0</v>
      </c>
      <c r="L102" s="173"/>
    </row>
    <row r="103" spans="1:12" ht="15" customHeight="1" x14ac:dyDescent="0.25">
      <c r="A103" t="s">
        <v>169</v>
      </c>
      <c r="B103" s="346"/>
      <c r="C103" s="102">
        <f t="shared" ref="C103:F103" si="148">C88</f>
        <v>0</v>
      </c>
      <c r="D103" s="169">
        <f t="shared" si="148"/>
        <v>0</v>
      </c>
      <c r="E103" s="170">
        <f t="shared" si="148"/>
        <v>0</v>
      </c>
      <c r="F103" s="172">
        <f t="shared" si="148"/>
        <v>0</v>
      </c>
      <c r="G103" s="171"/>
      <c r="H103" s="102">
        <f t="shared" ref="H103:K103" si="149">H88</f>
        <v>0</v>
      </c>
      <c r="I103" s="169">
        <f t="shared" si="149"/>
        <v>0</v>
      </c>
      <c r="J103" s="170">
        <f t="shared" si="149"/>
        <v>0</v>
      </c>
      <c r="K103" s="172">
        <f t="shared" si="149"/>
        <v>0</v>
      </c>
      <c r="L103" s="173"/>
    </row>
    <row r="104" spans="1:12" ht="15" customHeight="1" x14ac:dyDescent="0.25">
      <c r="A104" t="s">
        <v>169</v>
      </c>
      <c r="B104" s="346"/>
      <c r="C104" s="102">
        <f t="shared" ref="C104:F104" si="150">C89</f>
        <v>0</v>
      </c>
      <c r="D104" s="169">
        <f t="shared" si="150"/>
        <v>0</v>
      </c>
      <c r="E104" s="170">
        <f t="shared" si="150"/>
        <v>0</v>
      </c>
      <c r="F104" s="172">
        <f t="shared" si="150"/>
        <v>0</v>
      </c>
      <c r="G104" s="171"/>
      <c r="H104" s="102">
        <f t="shared" ref="H104:K104" si="151">H89</f>
        <v>0</v>
      </c>
      <c r="I104" s="169">
        <f t="shared" si="151"/>
        <v>0</v>
      </c>
      <c r="J104" s="170">
        <f t="shared" si="151"/>
        <v>0</v>
      </c>
      <c r="K104" s="172">
        <f t="shared" si="151"/>
        <v>0</v>
      </c>
      <c r="L104" s="173"/>
    </row>
    <row r="105" spans="1:12" ht="15" customHeight="1" x14ac:dyDescent="0.25">
      <c r="A105" t="s">
        <v>169</v>
      </c>
      <c r="B105" s="346"/>
      <c r="C105" s="102">
        <f t="shared" ref="C105:F105" si="152">C90</f>
        <v>0</v>
      </c>
      <c r="D105" s="169">
        <f t="shared" si="152"/>
        <v>0</v>
      </c>
      <c r="E105" s="170">
        <f t="shared" si="152"/>
        <v>0</v>
      </c>
      <c r="F105" s="172">
        <f t="shared" si="152"/>
        <v>0</v>
      </c>
      <c r="G105" s="168"/>
      <c r="H105" s="102">
        <f t="shared" ref="H105:K105" si="153">H90</f>
        <v>0</v>
      </c>
      <c r="I105" s="169">
        <f t="shared" si="153"/>
        <v>0</v>
      </c>
      <c r="J105" s="170">
        <f t="shared" si="153"/>
        <v>0</v>
      </c>
      <c r="K105" s="167">
        <f t="shared" si="153"/>
        <v>0</v>
      </c>
      <c r="L105" s="25"/>
    </row>
    <row r="106" spans="1:12" ht="15" customHeight="1" x14ac:dyDescent="0.25">
      <c r="A106" t="s">
        <v>169</v>
      </c>
      <c r="B106" s="346"/>
      <c r="C106" s="102">
        <f t="shared" ref="C106:F106" si="154">C91</f>
        <v>0</v>
      </c>
      <c r="D106" s="169">
        <f t="shared" si="154"/>
        <v>0</v>
      </c>
      <c r="E106" s="170">
        <f t="shared" si="154"/>
        <v>0</v>
      </c>
      <c r="F106" s="172">
        <f t="shared" si="154"/>
        <v>0</v>
      </c>
      <c r="G106" s="168"/>
      <c r="H106" s="102">
        <f t="shared" ref="H106:K106" si="155">H91</f>
        <v>0</v>
      </c>
      <c r="I106" s="169">
        <f t="shared" si="155"/>
        <v>0</v>
      </c>
      <c r="J106" s="170">
        <f t="shared" si="155"/>
        <v>0</v>
      </c>
      <c r="K106" s="167">
        <f t="shared" si="155"/>
        <v>0</v>
      </c>
      <c r="L106" s="25"/>
    </row>
    <row r="107" spans="1:12" s="152" customFormat="1" ht="15" customHeight="1" x14ac:dyDescent="0.25">
      <c r="B107" s="176"/>
      <c r="C107" s="168"/>
      <c r="D107" s="168"/>
      <c r="E107" s="168"/>
      <c r="F107" s="168"/>
      <c r="G107" s="168"/>
      <c r="H107" s="168"/>
      <c r="I107" s="168"/>
      <c r="J107" s="168"/>
      <c r="K107" s="168"/>
      <c r="L107" s="168"/>
    </row>
    <row r="108" spans="1:12" ht="15" customHeight="1" x14ac:dyDescent="0.25">
      <c r="A108" t="s">
        <v>170</v>
      </c>
      <c r="B108" s="345" t="str">
        <f>A108</f>
        <v>août</v>
      </c>
      <c r="C108" s="102" t="str">
        <f>C93</f>
        <v>Impôts communaux</v>
      </c>
      <c r="D108" s="169" t="str">
        <f>D93</f>
        <v>Commune de Farvagny</v>
      </c>
      <c r="E108" s="170">
        <f>E93</f>
        <v>81.5</v>
      </c>
      <c r="F108" s="172" t="str">
        <f>F93</f>
        <v>non</v>
      </c>
      <c r="G108" s="171"/>
      <c r="H108" s="102" t="str">
        <f>H93</f>
        <v>Assurance ménage</v>
      </c>
      <c r="I108" s="169" t="str">
        <f>I93</f>
        <v>Générali</v>
      </c>
      <c r="J108" s="170">
        <f>J93</f>
        <v>12</v>
      </c>
      <c r="K108" s="213" t="str">
        <f>K93</f>
        <v>oui</v>
      </c>
      <c r="L108" s="173"/>
    </row>
    <row r="109" spans="1:12" ht="15" customHeight="1" x14ac:dyDescent="0.25">
      <c r="A109" t="s">
        <v>170</v>
      </c>
      <c r="B109" s="346"/>
      <c r="C109" s="102" t="str">
        <f t="shared" ref="C109:F109" si="156">C94</f>
        <v>Impôts cantonaux</v>
      </c>
      <c r="D109" s="169" t="str">
        <f t="shared" si="156"/>
        <v>SCC</v>
      </c>
      <c r="E109" s="170">
        <f t="shared" si="156"/>
        <v>82.3</v>
      </c>
      <c r="F109" s="172" t="str">
        <f t="shared" si="156"/>
        <v>oui</v>
      </c>
      <c r="G109" s="171"/>
      <c r="H109" s="102" t="str">
        <f t="shared" ref="H109:K109" si="157">H94</f>
        <v>Electricité</v>
      </c>
      <c r="I109" s="169" t="str">
        <f t="shared" si="157"/>
        <v>Groupe E</v>
      </c>
      <c r="J109" s="170">
        <f t="shared" si="157"/>
        <v>0</v>
      </c>
      <c r="K109" s="213">
        <f t="shared" si="157"/>
        <v>0</v>
      </c>
      <c r="L109" s="173"/>
    </row>
    <row r="110" spans="1:12" ht="15" customHeight="1" x14ac:dyDescent="0.25">
      <c r="A110" t="s">
        <v>170</v>
      </c>
      <c r="B110" s="346"/>
      <c r="C110" s="102" t="str">
        <f t="shared" ref="C110:F110" si="158">C95</f>
        <v>Téléphone</v>
      </c>
      <c r="D110" s="169">
        <f t="shared" si="158"/>
        <v>0</v>
      </c>
      <c r="E110" s="170">
        <f t="shared" si="158"/>
        <v>0</v>
      </c>
      <c r="F110" s="172">
        <f t="shared" si="158"/>
        <v>0</v>
      </c>
      <c r="G110" s="171"/>
      <c r="H110" s="64" t="str">
        <f t="shared" ref="H110:K110" si="159">H95</f>
        <v>Impôt véhicule</v>
      </c>
      <c r="I110" s="169" t="str">
        <f t="shared" si="159"/>
        <v>OCN</v>
      </c>
      <c r="J110" s="170">
        <f t="shared" si="159"/>
        <v>28</v>
      </c>
      <c r="K110" s="213" t="str">
        <f t="shared" si="159"/>
        <v>oui</v>
      </c>
      <c r="L110" s="173"/>
    </row>
    <row r="111" spans="1:12" ht="15" customHeight="1" x14ac:dyDescent="0.25">
      <c r="A111" t="s">
        <v>170</v>
      </c>
      <c r="B111" s="346"/>
      <c r="C111" s="102">
        <f t="shared" ref="C111:F111" si="160">C96</f>
        <v>0</v>
      </c>
      <c r="D111" s="169">
        <f t="shared" si="160"/>
        <v>0</v>
      </c>
      <c r="E111" s="170">
        <f t="shared" si="160"/>
        <v>0</v>
      </c>
      <c r="F111" s="172">
        <f t="shared" si="160"/>
        <v>0</v>
      </c>
      <c r="G111" s="171"/>
      <c r="H111" s="102" t="str">
        <f t="shared" ref="H111:K111" si="161">H96</f>
        <v>Assurance véhicule</v>
      </c>
      <c r="I111" s="169">
        <f t="shared" si="161"/>
        <v>0</v>
      </c>
      <c r="J111" s="170">
        <f t="shared" si="161"/>
        <v>0</v>
      </c>
      <c r="K111" s="213">
        <f t="shared" si="161"/>
        <v>0</v>
      </c>
      <c r="L111" s="173"/>
    </row>
    <row r="112" spans="1:12" ht="15" customHeight="1" x14ac:dyDescent="0.25">
      <c r="A112" t="s">
        <v>170</v>
      </c>
      <c r="B112" s="346"/>
      <c r="C112" s="102">
        <f t="shared" ref="C112:F112" si="162">C97</f>
        <v>0</v>
      </c>
      <c r="D112" s="169">
        <f t="shared" si="162"/>
        <v>0</v>
      </c>
      <c r="E112" s="170">
        <f t="shared" si="162"/>
        <v>0</v>
      </c>
      <c r="F112" s="172">
        <f t="shared" si="162"/>
        <v>0</v>
      </c>
      <c r="G112" s="171"/>
      <c r="H112" s="102" t="str">
        <f t="shared" ref="H112:K112" si="163">H97</f>
        <v>Billag</v>
      </c>
      <c r="I112" s="169">
        <f t="shared" si="163"/>
        <v>0</v>
      </c>
      <c r="J112" s="170">
        <f t="shared" si="163"/>
        <v>15</v>
      </c>
      <c r="K112" s="213" t="str">
        <f t="shared" si="163"/>
        <v>oui</v>
      </c>
      <c r="L112" s="173"/>
    </row>
    <row r="113" spans="1:12" ht="15" customHeight="1" x14ac:dyDescent="0.25">
      <c r="A113" t="s">
        <v>170</v>
      </c>
      <c r="B113" s="346"/>
      <c r="C113" s="102">
        <f t="shared" ref="C113:F113" si="164">C98</f>
        <v>0</v>
      </c>
      <c r="D113" s="169">
        <f t="shared" si="164"/>
        <v>0</v>
      </c>
      <c r="E113" s="170">
        <f t="shared" si="164"/>
        <v>0</v>
      </c>
      <c r="F113" s="172">
        <f t="shared" si="164"/>
        <v>0</v>
      </c>
      <c r="G113" s="171"/>
      <c r="H113" s="102" t="str">
        <f t="shared" ref="H113:K113" si="165">H98</f>
        <v>kk</v>
      </c>
      <c r="I113" s="169">
        <f t="shared" si="165"/>
        <v>0</v>
      </c>
      <c r="J113" s="170">
        <f t="shared" si="165"/>
        <v>0</v>
      </c>
      <c r="K113" s="172">
        <f t="shared" si="165"/>
        <v>0</v>
      </c>
      <c r="L113" s="173"/>
    </row>
    <row r="114" spans="1:12" ht="15" customHeight="1" x14ac:dyDescent="0.25">
      <c r="A114" t="s">
        <v>170</v>
      </c>
      <c r="B114" s="346"/>
      <c r="C114" s="102" t="str">
        <f t="shared" ref="C114:F114" si="166">C99</f>
        <v>tutu</v>
      </c>
      <c r="D114" s="169">
        <f t="shared" si="166"/>
        <v>0</v>
      </c>
      <c r="E114" s="170">
        <f t="shared" si="166"/>
        <v>12</v>
      </c>
      <c r="F114" s="172" t="str">
        <f t="shared" si="166"/>
        <v>oui</v>
      </c>
      <c r="G114" s="171"/>
      <c r="H114" s="102">
        <f t="shared" ref="H114:K114" si="167">H99</f>
        <v>0</v>
      </c>
      <c r="I114" s="169">
        <f t="shared" si="167"/>
        <v>0</v>
      </c>
      <c r="J114" s="170">
        <f t="shared" si="167"/>
        <v>0</v>
      </c>
      <c r="K114" s="172">
        <f t="shared" si="167"/>
        <v>0</v>
      </c>
      <c r="L114" s="173"/>
    </row>
    <row r="115" spans="1:12" ht="15" customHeight="1" x14ac:dyDescent="0.25">
      <c r="A115" t="s">
        <v>170</v>
      </c>
      <c r="B115" s="346"/>
      <c r="C115" s="102">
        <f t="shared" ref="C115:F115" si="168">C100</f>
        <v>0</v>
      </c>
      <c r="D115" s="169">
        <f t="shared" si="168"/>
        <v>0</v>
      </c>
      <c r="E115" s="170">
        <f t="shared" si="168"/>
        <v>0</v>
      </c>
      <c r="F115" s="172">
        <f t="shared" si="168"/>
        <v>0</v>
      </c>
      <c r="G115" s="171"/>
      <c r="H115" s="102">
        <f t="shared" ref="H115:K115" si="169">H100</f>
        <v>0</v>
      </c>
      <c r="I115" s="169">
        <f t="shared" si="169"/>
        <v>0</v>
      </c>
      <c r="J115" s="170">
        <f t="shared" si="169"/>
        <v>0</v>
      </c>
      <c r="K115" s="172">
        <f t="shared" si="169"/>
        <v>0</v>
      </c>
      <c r="L115" s="173"/>
    </row>
    <row r="116" spans="1:12" ht="15" customHeight="1" x14ac:dyDescent="0.25">
      <c r="A116" t="s">
        <v>170</v>
      </c>
      <c r="B116" s="346"/>
      <c r="C116" s="102">
        <f t="shared" ref="C116:F116" si="170">C101</f>
        <v>0</v>
      </c>
      <c r="D116" s="169">
        <f t="shared" si="170"/>
        <v>0</v>
      </c>
      <c r="E116" s="170">
        <f t="shared" si="170"/>
        <v>0</v>
      </c>
      <c r="F116" s="172">
        <f t="shared" si="170"/>
        <v>0</v>
      </c>
      <c r="G116" s="171"/>
      <c r="H116" s="102">
        <f t="shared" ref="H116:K116" si="171">H101</f>
        <v>0</v>
      </c>
      <c r="I116" s="169">
        <f t="shared" si="171"/>
        <v>0</v>
      </c>
      <c r="J116" s="170">
        <f t="shared" si="171"/>
        <v>0</v>
      </c>
      <c r="K116" s="172">
        <f t="shared" si="171"/>
        <v>0</v>
      </c>
      <c r="L116" s="173"/>
    </row>
    <row r="117" spans="1:12" ht="15" customHeight="1" x14ac:dyDescent="0.25">
      <c r="A117" t="s">
        <v>170</v>
      </c>
      <c r="B117" s="346"/>
      <c r="C117" s="102">
        <f t="shared" ref="C117:F117" si="172">C102</f>
        <v>0</v>
      </c>
      <c r="D117" s="169">
        <f t="shared" si="172"/>
        <v>0</v>
      </c>
      <c r="E117" s="170">
        <f t="shared" si="172"/>
        <v>0</v>
      </c>
      <c r="F117" s="172">
        <f t="shared" si="172"/>
        <v>0</v>
      </c>
      <c r="G117" s="171"/>
      <c r="H117" s="102">
        <f t="shared" ref="H117:K117" si="173">H102</f>
        <v>0</v>
      </c>
      <c r="I117" s="169">
        <f t="shared" si="173"/>
        <v>0</v>
      </c>
      <c r="J117" s="170">
        <f t="shared" si="173"/>
        <v>0</v>
      </c>
      <c r="K117" s="172">
        <f t="shared" si="173"/>
        <v>0</v>
      </c>
      <c r="L117" s="173"/>
    </row>
    <row r="118" spans="1:12" ht="15" customHeight="1" x14ac:dyDescent="0.25">
      <c r="A118" t="s">
        <v>170</v>
      </c>
      <c r="B118" s="346"/>
      <c r="C118" s="102">
        <f t="shared" ref="C118:F118" si="174">C103</f>
        <v>0</v>
      </c>
      <c r="D118" s="169">
        <f t="shared" si="174"/>
        <v>0</v>
      </c>
      <c r="E118" s="170">
        <f t="shared" si="174"/>
        <v>0</v>
      </c>
      <c r="F118" s="172">
        <f t="shared" si="174"/>
        <v>0</v>
      </c>
      <c r="G118" s="171"/>
      <c r="H118" s="102">
        <f t="shared" ref="H118:K118" si="175">H103</f>
        <v>0</v>
      </c>
      <c r="I118" s="169">
        <f t="shared" si="175"/>
        <v>0</v>
      </c>
      <c r="J118" s="170">
        <f t="shared" si="175"/>
        <v>0</v>
      </c>
      <c r="K118" s="172">
        <f t="shared" si="175"/>
        <v>0</v>
      </c>
      <c r="L118" s="173"/>
    </row>
    <row r="119" spans="1:12" ht="15" customHeight="1" x14ac:dyDescent="0.25">
      <c r="A119" t="s">
        <v>170</v>
      </c>
      <c r="B119" s="346"/>
      <c r="C119" s="102">
        <f t="shared" ref="C119:F119" si="176">C104</f>
        <v>0</v>
      </c>
      <c r="D119" s="169">
        <f t="shared" si="176"/>
        <v>0</v>
      </c>
      <c r="E119" s="170">
        <f t="shared" si="176"/>
        <v>0</v>
      </c>
      <c r="F119" s="172">
        <f t="shared" si="176"/>
        <v>0</v>
      </c>
      <c r="G119" s="171"/>
      <c r="H119" s="102">
        <f t="shared" ref="H119:K119" si="177">H104</f>
        <v>0</v>
      </c>
      <c r="I119" s="169">
        <f t="shared" si="177"/>
        <v>0</v>
      </c>
      <c r="J119" s="170">
        <f t="shared" si="177"/>
        <v>0</v>
      </c>
      <c r="K119" s="172">
        <f t="shared" si="177"/>
        <v>0</v>
      </c>
      <c r="L119" s="173"/>
    </row>
    <row r="120" spans="1:12" ht="15" customHeight="1" x14ac:dyDescent="0.25">
      <c r="A120" t="s">
        <v>170</v>
      </c>
      <c r="B120" s="346"/>
      <c r="C120" s="102">
        <f t="shared" ref="C120:F120" si="178">C105</f>
        <v>0</v>
      </c>
      <c r="D120" s="169">
        <f t="shared" si="178"/>
        <v>0</v>
      </c>
      <c r="E120" s="170">
        <f t="shared" si="178"/>
        <v>0</v>
      </c>
      <c r="F120" s="172">
        <f t="shared" si="178"/>
        <v>0</v>
      </c>
      <c r="G120" s="168"/>
      <c r="H120" s="102">
        <f t="shared" ref="H120:K120" si="179">H105</f>
        <v>0</v>
      </c>
      <c r="I120" s="169">
        <f t="shared" si="179"/>
        <v>0</v>
      </c>
      <c r="J120" s="170">
        <f t="shared" si="179"/>
        <v>0</v>
      </c>
      <c r="K120" s="167">
        <f t="shared" si="179"/>
        <v>0</v>
      </c>
      <c r="L120" s="25"/>
    </row>
    <row r="121" spans="1:12" ht="15" customHeight="1" x14ac:dyDescent="0.25">
      <c r="A121" t="s">
        <v>170</v>
      </c>
      <c r="B121" s="346"/>
      <c r="C121" s="102">
        <f t="shared" ref="C121:F121" si="180">C106</f>
        <v>0</v>
      </c>
      <c r="D121" s="169">
        <f t="shared" si="180"/>
        <v>0</v>
      </c>
      <c r="E121" s="170">
        <f t="shared" si="180"/>
        <v>0</v>
      </c>
      <c r="F121" s="172">
        <f t="shared" si="180"/>
        <v>0</v>
      </c>
      <c r="G121" s="168"/>
      <c r="H121" s="102">
        <f t="shared" ref="H121:K121" si="181">H106</f>
        <v>0</v>
      </c>
      <c r="I121" s="169">
        <f t="shared" si="181"/>
        <v>0</v>
      </c>
      <c r="J121" s="170">
        <f t="shared" si="181"/>
        <v>0</v>
      </c>
      <c r="K121" s="167">
        <f t="shared" si="181"/>
        <v>0</v>
      </c>
      <c r="L121" s="25"/>
    </row>
    <row r="122" spans="1:12" s="152" customFormat="1" ht="15" customHeight="1" x14ac:dyDescent="0.25">
      <c r="B122" s="176"/>
      <c r="C122" s="168"/>
      <c r="D122" s="168"/>
      <c r="E122" s="168"/>
      <c r="F122" s="168"/>
      <c r="G122" s="168"/>
      <c r="H122" s="168"/>
      <c r="I122" s="168"/>
      <c r="J122" s="168"/>
      <c r="K122" s="168"/>
      <c r="L122" s="168"/>
    </row>
    <row r="123" spans="1:12" ht="15" customHeight="1" x14ac:dyDescent="0.25">
      <c r="A123" t="s">
        <v>171</v>
      </c>
      <c r="B123" s="345" t="str">
        <f>A123</f>
        <v>septembre</v>
      </c>
      <c r="C123" s="102" t="str">
        <f>C108</f>
        <v>Impôts communaux</v>
      </c>
      <c r="D123" s="169" t="str">
        <f>D108</f>
        <v>Commune de Farvagny</v>
      </c>
      <c r="E123" s="170">
        <f>E108</f>
        <v>81.5</v>
      </c>
      <c r="F123" s="172" t="str">
        <f>F108</f>
        <v>non</v>
      </c>
      <c r="G123" s="171"/>
      <c r="H123" s="102" t="str">
        <f>H108</f>
        <v>Assurance ménage</v>
      </c>
      <c r="I123" s="169" t="str">
        <f>I108</f>
        <v>Générali</v>
      </c>
      <c r="J123" s="170">
        <f>J108</f>
        <v>12</v>
      </c>
      <c r="K123" s="213" t="str">
        <f>K108</f>
        <v>oui</v>
      </c>
      <c r="L123" s="173"/>
    </row>
    <row r="124" spans="1:12" ht="15" customHeight="1" x14ac:dyDescent="0.25">
      <c r="A124" t="s">
        <v>171</v>
      </c>
      <c r="B124" s="346"/>
      <c r="C124" s="102" t="str">
        <f t="shared" ref="C124:F124" si="182">C109</f>
        <v>Impôts cantonaux</v>
      </c>
      <c r="D124" s="169" t="str">
        <f t="shared" si="182"/>
        <v>SCC</v>
      </c>
      <c r="E124" s="170">
        <f t="shared" si="182"/>
        <v>82.3</v>
      </c>
      <c r="F124" s="172" t="str">
        <f t="shared" si="182"/>
        <v>oui</v>
      </c>
      <c r="G124" s="171"/>
      <c r="H124" s="102" t="str">
        <f t="shared" ref="H124:K124" si="183">H109</f>
        <v>Electricité</v>
      </c>
      <c r="I124" s="169" t="str">
        <f t="shared" si="183"/>
        <v>Groupe E</v>
      </c>
      <c r="J124" s="170">
        <f t="shared" si="183"/>
        <v>0</v>
      </c>
      <c r="K124" s="213">
        <f t="shared" si="183"/>
        <v>0</v>
      </c>
      <c r="L124" s="173"/>
    </row>
    <row r="125" spans="1:12" ht="15" customHeight="1" x14ac:dyDescent="0.25">
      <c r="A125" t="s">
        <v>171</v>
      </c>
      <c r="B125" s="346"/>
      <c r="C125" s="102" t="str">
        <f t="shared" ref="C125:F125" si="184">C110</f>
        <v>Téléphone</v>
      </c>
      <c r="D125" s="169">
        <f t="shared" si="184"/>
        <v>0</v>
      </c>
      <c r="E125" s="170">
        <f t="shared" si="184"/>
        <v>0</v>
      </c>
      <c r="F125" s="172">
        <f t="shared" si="184"/>
        <v>0</v>
      </c>
      <c r="G125" s="171"/>
      <c r="H125" s="64" t="str">
        <f t="shared" ref="H125:K125" si="185">H110</f>
        <v>Impôt véhicule</v>
      </c>
      <c r="I125" s="169" t="str">
        <f t="shared" si="185"/>
        <v>OCN</v>
      </c>
      <c r="J125" s="170">
        <f t="shared" si="185"/>
        <v>28</v>
      </c>
      <c r="K125" s="213" t="str">
        <f t="shared" si="185"/>
        <v>oui</v>
      </c>
      <c r="L125" s="173"/>
    </row>
    <row r="126" spans="1:12" ht="15" customHeight="1" x14ac:dyDescent="0.25">
      <c r="A126" t="s">
        <v>171</v>
      </c>
      <c r="B126" s="346"/>
      <c r="C126" s="102">
        <f t="shared" ref="C126:F126" si="186">C111</f>
        <v>0</v>
      </c>
      <c r="D126" s="169">
        <f t="shared" si="186"/>
        <v>0</v>
      </c>
      <c r="E126" s="170">
        <f t="shared" si="186"/>
        <v>0</v>
      </c>
      <c r="F126" s="172">
        <f t="shared" si="186"/>
        <v>0</v>
      </c>
      <c r="G126" s="171"/>
      <c r="H126" s="102" t="str">
        <f t="shared" ref="H126:K126" si="187">H111</f>
        <v>Assurance véhicule</v>
      </c>
      <c r="I126" s="169">
        <f t="shared" si="187"/>
        <v>0</v>
      </c>
      <c r="J126" s="170">
        <f t="shared" si="187"/>
        <v>0</v>
      </c>
      <c r="K126" s="213">
        <f t="shared" si="187"/>
        <v>0</v>
      </c>
      <c r="L126" s="173"/>
    </row>
    <row r="127" spans="1:12" ht="15" customHeight="1" x14ac:dyDescent="0.25">
      <c r="A127" t="s">
        <v>171</v>
      </c>
      <c r="B127" s="346"/>
      <c r="C127" s="102">
        <f t="shared" ref="C127:F127" si="188">C112</f>
        <v>0</v>
      </c>
      <c r="D127" s="169">
        <f t="shared" si="188"/>
        <v>0</v>
      </c>
      <c r="E127" s="170">
        <f t="shared" si="188"/>
        <v>0</v>
      </c>
      <c r="F127" s="172">
        <f t="shared" si="188"/>
        <v>0</v>
      </c>
      <c r="G127" s="171"/>
      <c r="H127" s="102" t="str">
        <f t="shared" ref="H127:K127" si="189">H112</f>
        <v>Billag</v>
      </c>
      <c r="I127" s="169">
        <f t="shared" si="189"/>
        <v>0</v>
      </c>
      <c r="J127" s="170">
        <f t="shared" si="189"/>
        <v>15</v>
      </c>
      <c r="K127" s="213" t="str">
        <f t="shared" si="189"/>
        <v>oui</v>
      </c>
      <c r="L127" s="173"/>
    </row>
    <row r="128" spans="1:12" ht="15" customHeight="1" x14ac:dyDescent="0.25">
      <c r="A128" t="s">
        <v>171</v>
      </c>
      <c r="B128" s="346"/>
      <c r="C128" s="102">
        <f t="shared" ref="C128:F128" si="190">C113</f>
        <v>0</v>
      </c>
      <c r="D128" s="169">
        <f t="shared" si="190"/>
        <v>0</v>
      </c>
      <c r="E128" s="170">
        <f t="shared" si="190"/>
        <v>0</v>
      </c>
      <c r="F128" s="172">
        <f t="shared" si="190"/>
        <v>0</v>
      </c>
      <c r="G128" s="171"/>
      <c r="H128" s="102" t="str">
        <f t="shared" ref="H128:K128" si="191">H113</f>
        <v>kk</v>
      </c>
      <c r="I128" s="169">
        <f t="shared" si="191"/>
        <v>0</v>
      </c>
      <c r="J128" s="170">
        <f t="shared" si="191"/>
        <v>0</v>
      </c>
      <c r="K128" s="172">
        <f t="shared" si="191"/>
        <v>0</v>
      </c>
      <c r="L128" s="173"/>
    </row>
    <row r="129" spans="1:12" ht="15" customHeight="1" x14ac:dyDescent="0.25">
      <c r="A129" t="s">
        <v>171</v>
      </c>
      <c r="B129" s="346"/>
      <c r="C129" s="102" t="str">
        <f t="shared" ref="C129:F129" si="192">C114</f>
        <v>tutu</v>
      </c>
      <c r="D129" s="169">
        <f t="shared" si="192"/>
        <v>0</v>
      </c>
      <c r="E129" s="170">
        <f t="shared" si="192"/>
        <v>12</v>
      </c>
      <c r="F129" s="172" t="str">
        <f t="shared" si="192"/>
        <v>oui</v>
      </c>
      <c r="G129" s="171"/>
      <c r="H129" s="102">
        <f t="shared" ref="H129:K129" si="193">H114</f>
        <v>0</v>
      </c>
      <c r="I129" s="169">
        <f t="shared" si="193"/>
        <v>0</v>
      </c>
      <c r="J129" s="170">
        <f t="shared" si="193"/>
        <v>0</v>
      </c>
      <c r="K129" s="172">
        <f t="shared" si="193"/>
        <v>0</v>
      </c>
      <c r="L129" s="173"/>
    </row>
    <row r="130" spans="1:12" ht="15" customHeight="1" x14ac:dyDescent="0.25">
      <c r="A130" t="s">
        <v>171</v>
      </c>
      <c r="B130" s="346"/>
      <c r="C130" s="102">
        <f t="shared" ref="C130:F130" si="194">C115</f>
        <v>0</v>
      </c>
      <c r="D130" s="169">
        <f t="shared" si="194"/>
        <v>0</v>
      </c>
      <c r="E130" s="170">
        <f t="shared" si="194"/>
        <v>0</v>
      </c>
      <c r="F130" s="172">
        <f t="shared" si="194"/>
        <v>0</v>
      </c>
      <c r="G130" s="171"/>
      <c r="H130" s="102">
        <f t="shared" ref="H130:K130" si="195">H115</f>
        <v>0</v>
      </c>
      <c r="I130" s="169">
        <f t="shared" si="195"/>
        <v>0</v>
      </c>
      <c r="J130" s="170">
        <f t="shared" si="195"/>
        <v>0</v>
      </c>
      <c r="K130" s="172">
        <f t="shared" si="195"/>
        <v>0</v>
      </c>
      <c r="L130" s="173"/>
    </row>
    <row r="131" spans="1:12" ht="15" customHeight="1" x14ac:dyDescent="0.25">
      <c r="A131" t="s">
        <v>171</v>
      </c>
      <c r="B131" s="346"/>
      <c r="C131" s="102">
        <f t="shared" ref="C131:F131" si="196">C116</f>
        <v>0</v>
      </c>
      <c r="D131" s="169">
        <f t="shared" si="196"/>
        <v>0</v>
      </c>
      <c r="E131" s="170">
        <f t="shared" si="196"/>
        <v>0</v>
      </c>
      <c r="F131" s="172">
        <f t="shared" si="196"/>
        <v>0</v>
      </c>
      <c r="G131" s="171"/>
      <c r="H131" s="102">
        <f t="shared" ref="H131:K131" si="197">H116</f>
        <v>0</v>
      </c>
      <c r="I131" s="169">
        <f t="shared" si="197"/>
        <v>0</v>
      </c>
      <c r="J131" s="170">
        <f t="shared" si="197"/>
        <v>0</v>
      </c>
      <c r="K131" s="172">
        <f t="shared" si="197"/>
        <v>0</v>
      </c>
      <c r="L131" s="173"/>
    </row>
    <row r="132" spans="1:12" ht="15" customHeight="1" x14ac:dyDescent="0.25">
      <c r="A132" t="s">
        <v>171</v>
      </c>
      <c r="B132" s="346"/>
      <c r="C132" s="102">
        <f t="shared" ref="C132:F132" si="198">C117</f>
        <v>0</v>
      </c>
      <c r="D132" s="169">
        <f t="shared" si="198"/>
        <v>0</v>
      </c>
      <c r="E132" s="170">
        <f t="shared" si="198"/>
        <v>0</v>
      </c>
      <c r="F132" s="172">
        <f t="shared" si="198"/>
        <v>0</v>
      </c>
      <c r="G132" s="171"/>
      <c r="H132" s="102">
        <f t="shared" ref="H132:K132" si="199">H117</f>
        <v>0</v>
      </c>
      <c r="I132" s="169">
        <f t="shared" si="199"/>
        <v>0</v>
      </c>
      <c r="J132" s="170">
        <f t="shared" si="199"/>
        <v>0</v>
      </c>
      <c r="K132" s="172">
        <f t="shared" si="199"/>
        <v>0</v>
      </c>
      <c r="L132" s="173"/>
    </row>
    <row r="133" spans="1:12" ht="15" customHeight="1" x14ac:dyDescent="0.25">
      <c r="A133" t="s">
        <v>171</v>
      </c>
      <c r="B133" s="346"/>
      <c r="C133" s="102">
        <f t="shared" ref="C133:F133" si="200">C118</f>
        <v>0</v>
      </c>
      <c r="D133" s="169">
        <f t="shared" si="200"/>
        <v>0</v>
      </c>
      <c r="E133" s="170">
        <f t="shared" si="200"/>
        <v>0</v>
      </c>
      <c r="F133" s="172">
        <f t="shared" si="200"/>
        <v>0</v>
      </c>
      <c r="G133" s="171"/>
      <c r="H133" s="102">
        <f t="shared" ref="H133:K133" si="201">H118</f>
        <v>0</v>
      </c>
      <c r="I133" s="169">
        <f t="shared" si="201"/>
        <v>0</v>
      </c>
      <c r="J133" s="170">
        <f t="shared" si="201"/>
        <v>0</v>
      </c>
      <c r="K133" s="172">
        <f t="shared" si="201"/>
        <v>0</v>
      </c>
      <c r="L133" s="173"/>
    </row>
    <row r="134" spans="1:12" ht="15" customHeight="1" x14ac:dyDescent="0.25">
      <c r="A134" t="s">
        <v>171</v>
      </c>
      <c r="B134" s="346"/>
      <c r="C134" s="102">
        <f t="shared" ref="C134:F134" si="202">C119</f>
        <v>0</v>
      </c>
      <c r="D134" s="169">
        <f t="shared" si="202"/>
        <v>0</v>
      </c>
      <c r="E134" s="170">
        <f t="shared" si="202"/>
        <v>0</v>
      </c>
      <c r="F134" s="172">
        <f t="shared" si="202"/>
        <v>0</v>
      </c>
      <c r="G134" s="171"/>
      <c r="H134" s="102">
        <f t="shared" ref="H134:K134" si="203">H119</f>
        <v>0</v>
      </c>
      <c r="I134" s="169">
        <f t="shared" si="203"/>
        <v>0</v>
      </c>
      <c r="J134" s="170">
        <f t="shared" si="203"/>
        <v>0</v>
      </c>
      <c r="K134" s="172">
        <f t="shared" si="203"/>
        <v>0</v>
      </c>
      <c r="L134" s="173"/>
    </row>
    <row r="135" spans="1:12" ht="15" customHeight="1" x14ac:dyDescent="0.25">
      <c r="A135" t="s">
        <v>171</v>
      </c>
      <c r="B135" s="346"/>
      <c r="C135" s="102">
        <f t="shared" ref="C135:F135" si="204">C120</f>
        <v>0</v>
      </c>
      <c r="D135" s="169">
        <f t="shared" si="204"/>
        <v>0</v>
      </c>
      <c r="E135" s="170">
        <f t="shared" si="204"/>
        <v>0</v>
      </c>
      <c r="F135" s="172">
        <f t="shared" si="204"/>
        <v>0</v>
      </c>
      <c r="G135" s="168"/>
      <c r="H135" s="102">
        <f t="shared" ref="H135:K135" si="205">H120</f>
        <v>0</v>
      </c>
      <c r="I135" s="169">
        <f t="shared" si="205"/>
        <v>0</v>
      </c>
      <c r="J135" s="170">
        <f t="shared" si="205"/>
        <v>0</v>
      </c>
      <c r="K135" s="167">
        <f t="shared" si="205"/>
        <v>0</v>
      </c>
      <c r="L135" s="25"/>
    </row>
    <row r="136" spans="1:12" ht="15" customHeight="1" x14ac:dyDescent="0.25">
      <c r="A136" t="s">
        <v>171</v>
      </c>
      <c r="B136" s="346"/>
      <c r="C136" s="102">
        <f t="shared" ref="C136:F136" si="206">C121</f>
        <v>0</v>
      </c>
      <c r="D136" s="169">
        <f t="shared" si="206"/>
        <v>0</v>
      </c>
      <c r="E136" s="170">
        <f t="shared" si="206"/>
        <v>0</v>
      </c>
      <c r="F136" s="172">
        <f t="shared" si="206"/>
        <v>0</v>
      </c>
      <c r="G136" s="168"/>
      <c r="H136" s="102">
        <f t="shared" ref="H136:K136" si="207">H121</f>
        <v>0</v>
      </c>
      <c r="I136" s="169">
        <f t="shared" si="207"/>
        <v>0</v>
      </c>
      <c r="J136" s="170">
        <f t="shared" si="207"/>
        <v>0</v>
      </c>
      <c r="K136" s="167">
        <f t="shared" si="207"/>
        <v>0</v>
      </c>
      <c r="L136" s="25"/>
    </row>
    <row r="137" spans="1:12" s="152" customFormat="1" ht="15" customHeight="1" x14ac:dyDescent="0.25">
      <c r="B137" s="176"/>
      <c r="C137" s="168"/>
      <c r="D137" s="168"/>
      <c r="E137" s="168"/>
      <c r="F137" s="168"/>
      <c r="G137" s="168"/>
      <c r="H137" s="168"/>
      <c r="I137" s="168"/>
      <c r="J137" s="168"/>
      <c r="K137" s="168"/>
      <c r="L137" s="168"/>
    </row>
    <row r="138" spans="1:12" ht="15" customHeight="1" x14ac:dyDescent="0.25">
      <c r="A138" t="s">
        <v>172</v>
      </c>
      <c r="B138" s="345" t="str">
        <f>A138</f>
        <v>octobre</v>
      </c>
      <c r="C138" s="102" t="str">
        <f>C123</f>
        <v>Impôts communaux</v>
      </c>
      <c r="D138" s="169" t="str">
        <f>D123</f>
        <v>Commune de Farvagny</v>
      </c>
      <c r="E138" s="170">
        <f>E123</f>
        <v>81.5</v>
      </c>
      <c r="F138" s="172" t="str">
        <f>F123</f>
        <v>non</v>
      </c>
      <c r="G138" s="171"/>
      <c r="H138" s="102" t="str">
        <f>H123</f>
        <v>Assurance ménage</v>
      </c>
      <c r="I138" s="169" t="str">
        <f>I123</f>
        <v>Générali</v>
      </c>
      <c r="J138" s="170">
        <f>J123</f>
        <v>12</v>
      </c>
      <c r="K138" s="213" t="str">
        <f>K123</f>
        <v>oui</v>
      </c>
      <c r="L138" s="173"/>
    </row>
    <row r="139" spans="1:12" ht="15" customHeight="1" x14ac:dyDescent="0.25">
      <c r="A139" t="s">
        <v>172</v>
      </c>
      <c r="B139" s="346"/>
      <c r="C139" s="102" t="str">
        <f t="shared" ref="C139:F139" si="208">C124</f>
        <v>Impôts cantonaux</v>
      </c>
      <c r="D139" s="169" t="str">
        <f t="shared" si="208"/>
        <v>SCC</v>
      </c>
      <c r="E139" s="170">
        <f t="shared" si="208"/>
        <v>82.3</v>
      </c>
      <c r="F139" s="172" t="str">
        <f t="shared" si="208"/>
        <v>oui</v>
      </c>
      <c r="G139" s="171"/>
      <c r="H139" s="102" t="str">
        <f t="shared" ref="H139:K139" si="209">H124</f>
        <v>Electricité</v>
      </c>
      <c r="I139" s="169" t="str">
        <f t="shared" si="209"/>
        <v>Groupe E</v>
      </c>
      <c r="J139" s="170">
        <f t="shared" si="209"/>
        <v>0</v>
      </c>
      <c r="K139" s="213">
        <f t="shared" si="209"/>
        <v>0</v>
      </c>
      <c r="L139" s="173"/>
    </row>
    <row r="140" spans="1:12" ht="15" customHeight="1" x14ac:dyDescent="0.25">
      <c r="A140" t="s">
        <v>172</v>
      </c>
      <c r="B140" s="346"/>
      <c r="C140" s="102" t="str">
        <f t="shared" ref="C140:F140" si="210">C125</f>
        <v>Téléphone</v>
      </c>
      <c r="D140" s="169">
        <f t="shared" si="210"/>
        <v>0</v>
      </c>
      <c r="E140" s="170">
        <f t="shared" si="210"/>
        <v>0</v>
      </c>
      <c r="F140" s="172">
        <f t="shared" si="210"/>
        <v>0</v>
      </c>
      <c r="G140" s="171"/>
      <c r="H140" s="64" t="str">
        <f t="shared" ref="H140:K140" si="211">H125</f>
        <v>Impôt véhicule</v>
      </c>
      <c r="I140" s="169" t="str">
        <f t="shared" si="211"/>
        <v>OCN</v>
      </c>
      <c r="J140" s="170">
        <f t="shared" si="211"/>
        <v>28</v>
      </c>
      <c r="K140" s="213" t="str">
        <f t="shared" si="211"/>
        <v>oui</v>
      </c>
      <c r="L140" s="173"/>
    </row>
    <row r="141" spans="1:12" ht="15" customHeight="1" x14ac:dyDescent="0.25">
      <c r="A141" t="s">
        <v>172</v>
      </c>
      <c r="B141" s="346"/>
      <c r="C141" s="102">
        <f t="shared" ref="C141:F141" si="212">C126</f>
        <v>0</v>
      </c>
      <c r="D141" s="169">
        <f t="shared" si="212"/>
        <v>0</v>
      </c>
      <c r="E141" s="170">
        <f t="shared" si="212"/>
        <v>0</v>
      </c>
      <c r="F141" s="172">
        <f t="shared" si="212"/>
        <v>0</v>
      </c>
      <c r="G141" s="171"/>
      <c r="H141" s="102" t="str">
        <f t="shared" ref="H141:K141" si="213">H126</f>
        <v>Assurance véhicule</v>
      </c>
      <c r="I141" s="169">
        <f t="shared" si="213"/>
        <v>0</v>
      </c>
      <c r="J141" s="170">
        <f t="shared" si="213"/>
        <v>0</v>
      </c>
      <c r="K141" s="213">
        <f t="shared" si="213"/>
        <v>0</v>
      </c>
      <c r="L141" s="173"/>
    </row>
    <row r="142" spans="1:12" ht="15" customHeight="1" x14ac:dyDescent="0.25">
      <c r="A142" t="s">
        <v>172</v>
      </c>
      <c r="B142" s="346"/>
      <c r="C142" s="102">
        <f t="shared" ref="C142:F142" si="214">C127</f>
        <v>0</v>
      </c>
      <c r="D142" s="169">
        <f t="shared" si="214"/>
        <v>0</v>
      </c>
      <c r="E142" s="170">
        <f t="shared" si="214"/>
        <v>0</v>
      </c>
      <c r="F142" s="172">
        <f t="shared" si="214"/>
        <v>0</v>
      </c>
      <c r="G142" s="171"/>
      <c r="H142" s="102" t="str">
        <f t="shared" ref="H142:K142" si="215">H127</f>
        <v>Billag</v>
      </c>
      <c r="I142" s="169">
        <f t="shared" si="215"/>
        <v>0</v>
      </c>
      <c r="J142" s="170">
        <f t="shared" si="215"/>
        <v>15</v>
      </c>
      <c r="K142" s="213" t="str">
        <f t="shared" si="215"/>
        <v>oui</v>
      </c>
      <c r="L142" s="173"/>
    </row>
    <row r="143" spans="1:12" ht="15" customHeight="1" x14ac:dyDescent="0.25">
      <c r="A143" t="s">
        <v>172</v>
      </c>
      <c r="B143" s="346"/>
      <c r="C143" s="102">
        <f t="shared" ref="C143:F143" si="216">C128</f>
        <v>0</v>
      </c>
      <c r="D143" s="169">
        <f t="shared" si="216"/>
        <v>0</v>
      </c>
      <c r="E143" s="170">
        <f t="shared" si="216"/>
        <v>0</v>
      </c>
      <c r="F143" s="172">
        <f t="shared" si="216"/>
        <v>0</v>
      </c>
      <c r="G143" s="171"/>
      <c r="H143" s="102" t="str">
        <f t="shared" ref="H143:K143" si="217">H128</f>
        <v>kk</v>
      </c>
      <c r="I143" s="169">
        <f t="shared" si="217"/>
        <v>0</v>
      </c>
      <c r="J143" s="170">
        <f t="shared" si="217"/>
        <v>0</v>
      </c>
      <c r="K143" s="172">
        <f t="shared" si="217"/>
        <v>0</v>
      </c>
      <c r="L143" s="173"/>
    </row>
    <row r="144" spans="1:12" ht="15" customHeight="1" x14ac:dyDescent="0.25">
      <c r="A144" t="s">
        <v>172</v>
      </c>
      <c r="B144" s="346"/>
      <c r="C144" s="102" t="str">
        <f t="shared" ref="C144:F144" si="218">C129</f>
        <v>tutu</v>
      </c>
      <c r="D144" s="169">
        <f t="shared" si="218"/>
        <v>0</v>
      </c>
      <c r="E144" s="170">
        <f t="shared" si="218"/>
        <v>12</v>
      </c>
      <c r="F144" s="172" t="str">
        <f t="shared" si="218"/>
        <v>oui</v>
      </c>
      <c r="G144" s="171"/>
      <c r="H144" s="102">
        <f t="shared" ref="H144:K144" si="219">H129</f>
        <v>0</v>
      </c>
      <c r="I144" s="169">
        <f t="shared" si="219"/>
        <v>0</v>
      </c>
      <c r="J144" s="170">
        <f t="shared" si="219"/>
        <v>0</v>
      </c>
      <c r="K144" s="172">
        <f t="shared" si="219"/>
        <v>0</v>
      </c>
      <c r="L144" s="173"/>
    </row>
    <row r="145" spans="1:12" ht="15" customHeight="1" x14ac:dyDescent="0.25">
      <c r="A145" t="s">
        <v>172</v>
      </c>
      <c r="B145" s="346"/>
      <c r="C145" s="102">
        <f t="shared" ref="C145:F145" si="220">C130</f>
        <v>0</v>
      </c>
      <c r="D145" s="169">
        <f t="shared" si="220"/>
        <v>0</v>
      </c>
      <c r="E145" s="170">
        <f t="shared" si="220"/>
        <v>0</v>
      </c>
      <c r="F145" s="172">
        <f t="shared" si="220"/>
        <v>0</v>
      </c>
      <c r="G145" s="171"/>
      <c r="H145" s="102">
        <f t="shared" ref="H145:K145" si="221">H130</f>
        <v>0</v>
      </c>
      <c r="I145" s="169">
        <f t="shared" si="221"/>
        <v>0</v>
      </c>
      <c r="J145" s="170">
        <f t="shared" si="221"/>
        <v>0</v>
      </c>
      <c r="K145" s="172">
        <f t="shared" si="221"/>
        <v>0</v>
      </c>
      <c r="L145" s="173"/>
    </row>
    <row r="146" spans="1:12" ht="15" customHeight="1" x14ac:dyDescent="0.25">
      <c r="A146" t="s">
        <v>172</v>
      </c>
      <c r="B146" s="346"/>
      <c r="C146" s="102">
        <f t="shared" ref="C146:F146" si="222">C131</f>
        <v>0</v>
      </c>
      <c r="D146" s="169">
        <f t="shared" si="222"/>
        <v>0</v>
      </c>
      <c r="E146" s="170">
        <f t="shared" si="222"/>
        <v>0</v>
      </c>
      <c r="F146" s="172">
        <f t="shared" si="222"/>
        <v>0</v>
      </c>
      <c r="G146" s="171"/>
      <c r="H146" s="102">
        <f t="shared" ref="H146:K146" si="223">H131</f>
        <v>0</v>
      </c>
      <c r="I146" s="169">
        <f t="shared" si="223"/>
        <v>0</v>
      </c>
      <c r="J146" s="170">
        <f t="shared" si="223"/>
        <v>0</v>
      </c>
      <c r="K146" s="172">
        <f t="shared" si="223"/>
        <v>0</v>
      </c>
      <c r="L146" s="173"/>
    </row>
    <row r="147" spans="1:12" ht="15" customHeight="1" x14ac:dyDescent="0.25">
      <c r="A147" t="s">
        <v>172</v>
      </c>
      <c r="B147" s="346"/>
      <c r="C147" s="102">
        <f t="shared" ref="C147:F147" si="224">C132</f>
        <v>0</v>
      </c>
      <c r="D147" s="169">
        <f t="shared" si="224"/>
        <v>0</v>
      </c>
      <c r="E147" s="170">
        <f t="shared" si="224"/>
        <v>0</v>
      </c>
      <c r="F147" s="172">
        <f t="shared" si="224"/>
        <v>0</v>
      </c>
      <c r="G147" s="171"/>
      <c r="H147" s="102">
        <f t="shared" ref="H147:K147" si="225">H132</f>
        <v>0</v>
      </c>
      <c r="I147" s="169">
        <f t="shared" si="225"/>
        <v>0</v>
      </c>
      <c r="J147" s="170">
        <f t="shared" si="225"/>
        <v>0</v>
      </c>
      <c r="K147" s="172">
        <f t="shared" si="225"/>
        <v>0</v>
      </c>
      <c r="L147" s="173"/>
    </row>
    <row r="148" spans="1:12" ht="15" customHeight="1" x14ac:dyDescent="0.25">
      <c r="A148" t="s">
        <v>172</v>
      </c>
      <c r="B148" s="346"/>
      <c r="C148" s="102">
        <f t="shared" ref="C148:F148" si="226">C133</f>
        <v>0</v>
      </c>
      <c r="D148" s="169">
        <f t="shared" si="226"/>
        <v>0</v>
      </c>
      <c r="E148" s="170">
        <f t="shared" si="226"/>
        <v>0</v>
      </c>
      <c r="F148" s="172">
        <f t="shared" si="226"/>
        <v>0</v>
      </c>
      <c r="G148" s="171"/>
      <c r="H148" s="102">
        <f t="shared" ref="H148:K148" si="227">H133</f>
        <v>0</v>
      </c>
      <c r="I148" s="169">
        <f t="shared" si="227"/>
        <v>0</v>
      </c>
      <c r="J148" s="170">
        <f t="shared" si="227"/>
        <v>0</v>
      </c>
      <c r="K148" s="172">
        <f t="shared" si="227"/>
        <v>0</v>
      </c>
      <c r="L148" s="173"/>
    </row>
    <row r="149" spans="1:12" ht="15" customHeight="1" x14ac:dyDescent="0.25">
      <c r="A149" t="s">
        <v>172</v>
      </c>
      <c r="B149" s="346"/>
      <c r="C149" s="102">
        <f t="shared" ref="C149:F149" si="228">C134</f>
        <v>0</v>
      </c>
      <c r="D149" s="169">
        <f t="shared" si="228"/>
        <v>0</v>
      </c>
      <c r="E149" s="170">
        <f t="shared" si="228"/>
        <v>0</v>
      </c>
      <c r="F149" s="172">
        <f t="shared" si="228"/>
        <v>0</v>
      </c>
      <c r="G149" s="171"/>
      <c r="H149" s="102">
        <f t="shared" ref="H149:K149" si="229">H134</f>
        <v>0</v>
      </c>
      <c r="I149" s="169">
        <f t="shared" si="229"/>
        <v>0</v>
      </c>
      <c r="J149" s="170">
        <f t="shared" si="229"/>
        <v>0</v>
      </c>
      <c r="K149" s="172">
        <f t="shared" si="229"/>
        <v>0</v>
      </c>
      <c r="L149" s="173"/>
    </row>
    <row r="150" spans="1:12" ht="15" customHeight="1" x14ac:dyDescent="0.25">
      <c r="A150" t="s">
        <v>172</v>
      </c>
      <c r="B150" s="346"/>
      <c r="C150" s="102">
        <f t="shared" ref="C150:F150" si="230">C135</f>
        <v>0</v>
      </c>
      <c r="D150" s="169">
        <f t="shared" si="230"/>
        <v>0</v>
      </c>
      <c r="E150" s="170">
        <f t="shared" si="230"/>
        <v>0</v>
      </c>
      <c r="F150" s="172">
        <f t="shared" si="230"/>
        <v>0</v>
      </c>
      <c r="G150" s="168"/>
      <c r="H150" s="102">
        <f t="shared" ref="H150:K150" si="231">H135</f>
        <v>0</v>
      </c>
      <c r="I150" s="169">
        <f t="shared" si="231"/>
        <v>0</v>
      </c>
      <c r="J150" s="170">
        <f t="shared" si="231"/>
        <v>0</v>
      </c>
      <c r="K150" s="167">
        <f t="shared" si="231"/>
        <v>0</v>
      </c>
      <c r="L150" s="25"/>
    </row>
    <row r="151" spans="1:12" ht="15" customHeight="1" x14ac:dyDescent="0.25">
      <c r="A151" t="s">
        <v>172</v>
      </c>
      <c r="B151" s="346"/>
      <c r="C151" s="102">
        <f t="shared" ref="C151:F151" si="232">C136</f>
        <v>0</v>
      </c>
      <c r="D151" s="169">
        <f t="shared" si="232"/>
        <v>0</v>
      </c>
      <c r="E151" s="170">
        <f t="shared" si="232"/>
        <v>0</v>
      </c>
      <c r="F151" s="172">
        <f t="shared" si="232"/>
        <v>0</v>
      </c>
      <c r="G151" s="168"/>
      <c r="H151" s="102">
        <f t="shared" ref="H151:K151" si="233">H136</f>
        <v>0</v>
      </c>
      <c r="I151" s="169">
        <f t="shared" si="233"/>
        <v>0</v>
      </c>
      <c r="J151" s="170">
        <f t="shared" si="233"/>
        <v>0</v>
      </c>
      <c r="K151" s="167">
        <f t="shared" si="233"/>
        <v>0</v>
      </c>
      <c r="L151" s="25"/>
    </row>
    <row r="152" spans="1:12" s="152" customFormat="1" ht="15" customHeight="1" x14ac:dyDescent="0.25">
      <c r="B152" s="176"/>
      <c r="C152" s="168"/>
      <c r="D152" s="168"/>
      <c r="E152" s="168"/>
      <c r="F152" s="168"/>
      <c r="G152" s="168"/>
      <c r="H152" s="168"/>
      <c r="I152" s="168"/>
      <c r="J152" s="168"/>
      <c r="K152" s="168"/>
      <c r="L152" s="168"/>
    </row>
    <row r="153" spans="1:12" ht="15" customHeight="1" x14ac:dyDescent="0.25">
      <c r="A153" t="s">
        <v>173</v>
      </c>
      <c r="B153" s="345" t="str">
        <f>A153</f>
        <v>novembre</v>
      </c>
      <c r="C153" s="102" t="str">
        <f>C138</f>
        <v>Impôts communaux</v>
      </c>
      <c r="D153" s="169" t="str">
        <f>D138</f>
        <v>Commune de Farvagny</v>
      </c>
      <c r="E153" s="170">
        <f>E138</f>
        <v>81.5</v>
      </c>
      <c r="F153" s="172" t="str">
        <f>F138</f>
        <v>non</v>
      </c>
      <c r="G153" s="171"/>
      <c r="H153" s="102" t="str">
        <f>H138</f>
        <v>Assurance ménage</v>
      </c>
      <c r="I153" s="169" t="str">
        <f>I138</f>
        <v>Générali</v>
      </c>
      <c r="J153" s="170">
        <f>J138</f>
        <v>12</v>
      </c>
      <c r="K153" s="213" t="str">
        <f>K138</f>
        <v>oui</v>
      </c>
      <c r="L153" s="173"/>
    </row>
    <row r="154" spans="1:12" ht="15" customHeight="1" x14ac:dyDescent="0.25">
      <c r="A154" t="s">
        <v>173</v>
      </c>
      <c r="B154" s="346"/>
      <c r="C154" s="102" t="str">
        <f t="shared" ref="C154:F154" si="234">C139</f>
        <v>Impôts cantonaux</v>
      </c>
      <c r="D154" s="169" t="str">
        <f t="shared" si="234"/>
        <v>SCC</v>
      </c>
      <c r="E154" s="170">
        <f t="shared" si="234"/>
        <v>82.3</v>
      </c>
      <c r="F154" s="172" t="str">
        <f t="shared" si="234"/>
        <v>oui</v>
      </c>
      <c r="G154" s="171"/>
      <c r="H154" s="102" t="str">
        <f t="shared" ref="H154:K154" si="235">H139</f>
        <v>Electricité</v>
      </c>
      <c r="I154" s="169" t="str">
        <f t="shared" si="235"/>
        <v>Groupe E</v>
      </c>
      <c r="J154" s="170">
        <f t="shared" si="235"/>
        <v>0</v>
      </c>
      <c r="K154" s="213">
        <f t="shared" si="235"/>
        <v>0</v>
      </c>
      <c r="L154" s="173"/>
    </row>
    <row r="155" spans="1:12" ht="15" customHeight="1" x14ac:dyDescent="0.25">
      <c r="A155" t="s">
        <v>173</v>
      </c>
      <c r="B155" s="346"/>
      <c r="C155" s="102" t="str">
        <f t="shared" ref="C155:F155" si="236">C140</f>
        <v>Téléphone</v>
      </c>
      <c r="D155" s="169">
        <f t="shared" si="236"/>
        <v>0</v>
      </c>
      <c r="E155" s="170">
        <f t="shared" si="236"/>
        <v>0</v>
      </c>
      <c r="F155" s="172">
        <f t="shared" si="236"/>
        <v>0</v>
      </c>
      <c r="G155" s="171"/>
      <c r="H155" s="64" t="str">
        <f t="shared" ref="H155:K155" si="237">H140</f>
        <v>Impôt véhicule</v>
      </c>
      <c r="I155" s="169" t="str">
        <f t="shared" si="237"/>
        <v>OCN</v>
      </c>
      <c r="J155" s="170">
        <f t="shared" si="237"/>
        <v>28</v>
      </c>
      <c r="K155" s="213" t="str">
        <f t="shared" si="237"/>
        <v>oui</v>
      </c>
      <c r="L155" s="173"/>
    </row>
    <row r="156" spans="1:12" ht="15" customHeight="1" x14ac:dyDescent="0.25">
      <c r="A156" t="s">
        <v>173</v>
      </c>
      <c r="B156" s="346"/>
      <c r="C156" s="102">
        <f t="shared" ref="C156:F156" si="238">C141</f>
        <v>0</v>
      </c>
      <c r="D156" s="169">
        <f t="shared" si="238"/>
        <v>0</v>
      </c>
      <c r="E156" s="170">
        <f t="shared" si="238"/>
        <v>0</v>
      </c>
      <c r="F156" s="172">
        <f t="shared" si="238"/>
        <v>0</v>
      </c>
      <c r="G156" s="171"/>
      <c r="H156" s="102" t="str">
        <f t="shared" ref="H156:K156" si="239">H141</f>
        <v>Assurance véhicule</v>
      </c>
      <c r="I156" s="169">
        <f t="shared" si="239"/>
        <v>0</v>
      </c>
      <c r="J156" s="170">
        <f t="shared" si="239"/>
        <v>0</v>
      </c>
      <c r="K156" s="213">
        <f t="shared" si="239"/>
        <v>0</v>
      </c>
      <c r="L156" s="173"/>
    </row>
    <row r="157" spans="1:12" ht="15" customHeight="1" x14ac:dyDescent="0.25">
      <c r="A157" t="s">
        <v>173</v>
      </c>
      <c r="B157" s="346"/>
      <c r="C157" s="102">
        <f t="shared" ref="C157:F157" si="240">C142</f>
        <v>0</v>
      </c>
      <c r="D157" s="169">
        <f t="shared" si="240"/>
        <v>0</v>
      </c>
      <c r="E157" s="170">
        <f t="shared" si="240"/>
        <v>0</v>
      </c>
      <c r="F157" s="172">
        <f t="shared" si="240"/>
        <v>0</v>
      </c>
      <c r="G157" s="171"/>
      <c r="H157" s="102" t="str">
        <f t="shared" ref="H157:K157" si="241">H142</f>
        <v>Billag</v>
      </c>
      <c r="I157" s="169">
        <f t="shared" si="241"/>
        <v>0</v>
      </c>
      <c r="J157" s="170">
        <f t="shared" si="241"/>
        <v>15</v>
      </c>
      <c r="K157" s="213" t="str">
        <f t="shared" si="241"/>
        <v>oui</v>
      </c>
      <c r="L157" s="173"/>
    </row>
    <row r="158" spans="1:12" ht="15" customHeight="1" x14ac:dyDescent="0.25">
      <c r="A158" t="s">
        <v>173</v>
      </c>
      <c r="B158" s="346"/>
      <c r="C158" s="102">
        <f t="shared" ref="C158:F158" si="242">C143</f>
        <v>0</v>
      </c>
      <c r="D158" s="169">
        <f t="shared" si="242"/>
        <v>0</v>
      </c>
      <c r="E158" s="170">
        <f t="shared" si="242"/>
        <v>0</v>
      </c>
      <c r="F158" s="172">
        <f t="shared" si="242"/>
        <v>0</v>
      </c>
      <c r="G158" s="171"/>
      <c r="H158" s="102" t="str">
        <f t="shared" ref="H158:K158" si="243">H143</f>
        <v>kk</v>
      </c>
      <c r="I158" s="169">
        <f t="shared" si="243"/>
        <v>0</v>
      </c>
      <c r="J158" s="170">
        <f t="shared" si="243"/>
        <v>0</v>
      </c>
      <c r="K158" s="172">
        <f t="shared" si="243"/>
        <v>0</v>
      </c>
      <c r="L158" s="173"/>
    </row>
    <row r="159" spans="1:12" ht="15" customHeight="1" x14ac:dyDescent="0.25">
      <c r="A159" t="s">
        <v>173</v>
      </c>
      <c r="B159" s="346"/>
      <c r="C159" s="102" t="str">
        <f t="shared" ref="C159:F159" si="244">C144</f>
        <v>tutu</v>
      </c>
      <c r="D159" s="169">
        <f t="shared" si="244"/>
        <v>0</v>
      </c>
      <c r="E159" s="170">
        <f t="shared" si="244"/>
        <v>12</v>
      </c>
      <c r="F159" s="172" t="str">
        <f t="shared" si="244"/>
        <v>oui</v>
      </c>
      <c r="G159" s="171"/>
      <c r="H159" s="102">
        <f t="shared" ref="H159:K159" si="245">H144</f>
        <v>0</v>
      </c>
      <c r="I159" s="169">
        <f t="shared" si="245"/>
        <v>0</v>
      </c>
      <c r="J159" s="170">
        <f t="shared" si="245"/>
        <v>0</v>
      </c>
      <c r="K159" s="172">
        <f t="shared" si="245"/>
        <v>0</v>
      </c>
      <c r="L159" s="173"/>
    </row>
    <row r="160" spans="1:12" ht="15" customHeight="1" x14ac:dyDescent="0.25">
      <c r="A160" t="s">
        <v>173</v>
      </c>
      <c r="B160" s="346"/>
      <c r="C160" s="102">
        <f t="shared" ref="C160:F160" si="246">C145</f>
        <v>0</v>
      </c>
      <c r="D160" s="169">
        <f t="shared" si="246"/>
        <v>0</v>
      </c>
      <c r="E160" s="170">
        <f t="shared" si="246"/>
        <v>0</v>
      </c>
      <c r="F160" s="172">
        <f t="shared" si="246"/>
        <v>0</v>
      </c>
      <c r="G160" s="171"/>
      <c r="H160" s="102">
        <f t="shared" ref="H160:K160" si="247">H145</f>
        <v>0</v>
      </c>
      <c r="I160" s="169">
        <f t="shared" si="247"/>
        <v>0</v>
      </c>
      <c r="J160" s="170">
        <f t="shared" si="247"/>
        <v>0</v>
      </c>
      <c r="K160" s="172">
        <f t="shared" si="247"/>
        <v>0</v>
      </c>
      <c r="L160" s="173"/>
    </row>
    <row r="161" spans="1:12" ht="15" customHeight="1" x14ac:dyDescent="0.25">
      <c r="A161" t="s">
        <v>173</v>
      </c>
      <c r="B161" s="346"/>
      <c r="C161" s="102">
        <f t="shared" ref="C161:F161" si="248">C146</f>
        <v>0</v>
      </c>
      <c r="D161" s="169">
        <f t="shared" si="248"/>
        <v>0</v>
      </c>
      <c r="E161" s="170">
        <f t="shared" si="248"/>
        <v>0</v>
      </c>
      <c r="F161" s="172">
        <f t="shared" si="248"/>
        <v>0</v>
      </c>
      <c r="G161" s="171"/>
      <c r="H161" s="102">
        <f t="shared" ref="H161:K161" si="249">H146</f>
        <v>0</v>
      </c>
      <c r="I161" s="169">
        <f t="shared" si="249"/>
        <v>0</v>
      </c>
      <c r="J161" s="170">
        <f t="shared" si="249"/>
        <v>0</v>
      </c>
      <c r="K161" s="172">
        <f t="shared" si="249"/>
        <v>0</v>
      </c>
      <c r="L161" s="173"/>
    </row>
    <row r="162" spans="1:12" ht="15" customHeight="1" x14ac:dyDescent="0.25">
      <c r="A162" t="s">
        <v>173</v>
      </c>
      <c r="B162" s="346"/>
      <c r="C162" s="102">
        <f t="shared" ref="C162:F162" si="250">C147</f>
        <v>0</v>
      </c>
      <c r="D162" s="169">
        <f t="shared" si="250"/>
        <v>0</v>
      </c>
      <c r="E162" s="170">
        <f t="shared" si="250"/>
        <v>0</v>
      </c>
      <c r="F162" s="172">
        <f t="shared" si="250"/>
        <v>0</v>
      </c>
      <c r="G162" s="171"/>
      <c r="H162" s="102">
        <f t="shared" ref="H162:K162" si="251">H147</f>
        <v>0</v>
      </c>
      <c r="I162" s="169">
        <f t="shared" si="251"/>
        <v>0</v>
      </c>
      <c r="J162" s="170">
        <f t="shared" si="251"/>
        <v>0</v>
      </c>
      <c r="K162" s="172">
        <f t="shared" si="251"/>
        <v>0</v>
      </c>
      <c r="L162" s="173"/>
    </row>
    <row r="163" spans="1:12" ht="15" customHeight="1" x14ac:dyDescent="0.25">
      <c r="A163" t="s">
        <v>173</v>
      </c>
      <c r="B163" s="346"/>
      <c r="C163" s="102">
        <f t="shared" ref="C163:F163" si="252">C148</f>
        <v>0</v>
      </c>
      <c r="D163" s="169">
        <f t="shared" si="252"/>
        <v>0</v>
      </c>
      <c r="E163" s="170">
        <f t="shared" si="252"/>
        <v>0</v>
      </c>
      <c r="F163" s="172">
        <f t="shared" si="252"/>
        <v>0</v>
      </c>
      <c r="G163" s="171"/>
      <c r="H163" s="102">
        <f t="shared" ref="H163:K163" si="253">H148</f>
        <v>0</v>
      </c>
      <c r="I163" s="169">
        <f t="shared" si="253"/>
        <v>0</v>
      </c>
      <c r="J163" s="170">
        <f t="shared" si="253"/>
        <v>0</v>
      </c>
      <c r="K163" s="172">
        <f t="shared" si="253"/>
        <v>0</v>
      </c>
      <c r="L163" s="173"/>
    </row>
    <row r="164" spans="1:12" ht="15" customHeight="1" x14ac:dyDescent="0.25">
      <c r="A164" t="s">
        <v>173</v>
      </c>
      <c r="B164" s="346"/>
      <c r="C164" s="102">
        <f t="shared" ref="C164:F164" si="254">C149</f>
        <v>0</v>
      </c>
      <c r="D164" s="169">
        <f t="shared" si="254"/>
        <v>0</v>
      </c>
      <c r="E164" s="170">
        <f t="shared" si="254"/>
        <v>0</v>
      </c>
      <c r="F164" s="172">
        <f t="shared" si="254"/>
        <v>0</v>
      </c>
      <c r="G164" s="171"/>
      <c r="H164" s="102">
        <f t="shared" ref="H164:K164" si="255">H149</f>
        <v>0</v>
      </c>
      <c r="I164" s="169">
        <f t="shared" si="255"/>
        <v>0</v>
      </c>
      <c r="J164" s="170">
        <f t="shared" si="255"/>
        <v>0</v>
      </c>
      <c r="K164" s="172">
        <f t="shared" si="255"/>
        <v>0</v>
      </c>
      <c r="L164" s="173"/>
    </row>
    <row r="165" spans="1:12" ht="15" customHeight="1" x14ac:dyDescent="0.25">
      <c r="A165" t="s">
        <v>173</v>
      </c>
      <c r="B165" s="346"/>
      <c r="C165" s="102">
        <f t="shared" ref="C165:F165" si="256">C150</f>
        <v>0</v>
      </c>
      <c r="D165" s="169">
        <f t="shared" si="256"/>
        <v>0</v>
      </c>
      <c r="E165" s="170">
        <f t="shared" si="256"/>
        <v>0</v>
      </c>
      <c r="F165" s="172">
        <f t="shared" si="256"/>
        <v>0</v>
      </c>
      <c r="G165" s="168"/>
      <c r="H165" s="102">
        <f t="shared" ref="H165:K165" si="257">H150</f>
        <v>0</v>
      </c>
      <c r="I165" s="169">
        <f t="shared" si="257"/>
        <v>0</v>
      </c>
      <c r="J165" s="170">
        <f t="shared" si="257"/>
        <v>0</v>
      </c>
      <c r="K165" s="167">
        <f t="shared" si="257"/>
        <v>0</v>
      </c>
      <c r="L165" s="25"/>
    </row>
    <row r="166" spans="1:12" ht="15" customHeight="1" x14ac:dyDescent="0.25">
      <c r="A166" t="s">
        <v>173</v>
      </c>
      <c r="B166" s="346"/>
      <c r="C166" s="102">
        <f t="shared" ref="C166:F166" si="258">C151</f>
        <v>0</v>
      </c>
      <c r="D166" s="169">
        <f t="shared" si="258"/>
        <v>0</v>
      </c>
      <c r="E166" s="170">
        <f t="shared" si="258"/>
        <v>0</v>
      </c>
      <c r="F166" s="172">
        <f t="shared" si="258"/>
        <v>0</v>
      </c>
      <c r="G166" s="168"/>
      <c r="H166" s="102">
        <f t="shared" ref="H166:K166" si="259">H151</f>
        <v>0</v>
      </c>
      <c r="I166" s="169">
        <f t="shared" si="259"/>
        <v>0</v>
      </c>
      <c r="J166" s="170">
        <f t="shared" si="259"/>
        <v>0</v>
      </c>
      <c r="K166" s="167">
        <f t="shared" si="259"/>
        <v>0</v>
      </c>
      <c r="L166" s="25"/>
    </row>
    <row r="167" spans="1:12" s="152" customFormat="1" ht="15" customHeight="1" x14ac:dyDescent="0.25">
      <c r="B167" s="176"/>
      <c r="C167" s="168"/>
      <c r="D167" s="168"/>
      <c r="E167" s="168"/>
      <c r="F167" s="168"/>
      <c r="G167" s="168"/>
      <c r="H167" s="168"/>
      <c r="I167" s="168"/>
      <c r="J167" s="168"/>
      <c r="K167" s="168"/>
      <c r="L167" s="168"/>
    </row>
    <row r="168" spans="1:12" ht="15" customHeight="1" x14ac:dyDescent="0.25">
      <c r="A168" t="s">
        <v>174</v>
      </c>
      <c r="B168" s="345" t="str">
        <f>A168</f>
        <v>décembre</v>
      </c>
      <c r="C168" s="102" t="str">
        <f>C153</f>
        <v>Impôts communaux</v>
      </c>
      <c r="D168" s="169" t="str">
        <f>D153</f>
        <v>Commune de Farvagny</v>
      </c>
      <c r="E168" s="170">
        <f>E153</f>
        <v>81.5</v>
      </c>
      <c r="F168" s="172" t="str">
        <f>F153</f>
        <v>non</v>
      </c>
      <c r="G168" s="171"/>
      <c r="H168" s="226" t="str">
        <f>H153</f>
        <v>Assurance ménage</v>
      </c>
      <c r="I168" s="169" t="str">
        <f>I153</f>
        <v>Générali</v>
      </c>
      <c r="J168" s="170">
        <f>J153</f>
        <v>12</v>
      </c>
      <c r="K168" s="213" t="str">
        <f>K153</f>
        <v>oui</v>
      </c>
      <c r="L168" s="173"/>
    </row>
    <row r="169" spans="1:12" ht="15" customHeight="1" x14ac:dyDescent="0.25">
      <c r="A169" t="s">
        <v>174</v>
      </c>
      <c r="B169" s="346"/>
      <c r="C169" s="102" t="str">
        <f t="shared" ref="C169:F169" si="260">C154</f>
        <v>Impôts cantonaux</v>
      </c>
      <c r="D169" s="169" t="str">
        <f t="shared" si="260"/>
        <v>SCC</v>
      </c>
      <c r="E169" s="170">
        <f t="shared" si="260"/>
        <v>82.3</v>
      </c>
      <c r="F169" s="172" t="str">
        <f t="shared" si="260"/>
        <v>oui</v>
      </c>
      <c r="G169" s="171"/>
      <c r="H169" s="226" t="str">
        <f t="shared" ref="H169:K169" si="261">H154</f>
        <v>Electricité</v>
      </c>
      <c r="I169" s="169" t="str">
        <f t="shared" si="261"/>
        <v>Groupe E</v>
      </c>
      <c r="J169" s="170">
        <f t="shared" si="261"/>
        <v>0</v>
      </c>
      <c r="K169" s="213">
        <f t="shared" si="261"/>
        <v>0</v>
      </c>
      <c r="L169" s="173"/>
    </row>
    <row r="170" spans="1:12" ht="15" customHeight="1" x14ac:dyDescent="0.25">
      <c r="A170" t="s">
        <v>174</v>
      </c>
      <c r="B170" s="346"/>
      <c r="C170" s="102" t="str">
        <f t="shared" ref="C170:F170" si="262">C155</f>
        <v>Téléphone</v>
      </c>
      <c r="D170" s="169">
        <f t="shared" si="262"/>
        <v>0</v>
      </c>
      <c r="E170" s="170">
        <f t="shared" si="262"/>
        <v>0</v>
      </c>
      <c r="F170" s="172">
        <f t="shared" si="262"/>
        <v>0</v>
      </c>
      <c r="G170" s="171"/>
      <c r="H170" s="227" t="str">
        <f t="shared" ref="H170:K170" si="263">H155</f>
        <v>Impôt véhicule</v>
      </c>
      <c r="I170" s="169" t="str">
        <f t="shared" si="263"/>
        <v>OCN</v>
      </c>
      <c r="J170" s="170">
        <f t="shared" si="263"/>
        <v>28</v>
      </c>
      <c r="K170" s="213" t="str">
        <f t="shared" si="263"/>
        <v>oui</v>
      </c>
      <c r="L170" s="173"/>
    </row>
    <row r="171" spans="1:12" ht="15" customHeight="1" x14ac:dyDescent="0.25">
      <c r="A171" t="s">
        <v>174</v>
      </c>
      <c r="B171" s="346"/>
      <c r="C171" s="102">
        <f t="shared" ref="C171:F171" si="264">C156</f>
        <v>0</v>
      </c>
      <c r="D171" s="169">
        <f t="shared" si="264"/>
        <v>0</v>
      </c>
      <c r="E171" s="170">
        <f t="shared" si="264"/>
        <v>0</v>
      </c>
      <c r="F171" s="172">
        <f t="shared" si="264"/>
        <v>0</v>
      </c>
      <c r="G171" s="171"/>
      <c r="H171" s="226" t="str">
        <f t="shared" ref="H171:K171" si="265">H156</f>
        <v>Assurance véhicule</v>
      </c>
      <c r="I171" s="169">
        <f t="shared" si="265"/>
        <v>0</v>
      </c>
      <c r="J171" s="170">
        <f t="shared" si="265"/>
        <v>0</v>
      </c>
      <c r="K171" s="213">
        <f t="shared" si="265"/>
        <v>0</v>
      </c>
      <c r="L171" s="173"/>
    </row>
    <row r="172" spans="1:12" ht="15" customHeight="1" x14ac:dyDescent="0.25">
      <c r="A172" t="s">
        <v>174</v>
      </c>
      <c r="B172" s="346"/>
      <c r="C172" s="102">
        <f t="shared" ref="C172:F172" si="266">C157</f>
        <v>0</v>
      </c>
      <c r="D172" s="169">
        <f t="shared" si="266"/>
        <v>0</v>
      </c>
      <c r="E172" s="170">
        <f t="shared" si="266"/>
        <v>0</v>
      </c>
      <c r="F172" s="172">
        <f t="shared" si="266"/>
        <v>0</v>
      </c>
      <c r="G172" s="171"/>
      <c r="H172" s="226" t="str">
        <f t="shared" ref="H172:K172" si="267">H157</f>
        <v>Billag</v>
      </c>
      <c r="I172" s="169">
        <f t="shared" si="267"/>
        <v>0</v>
      </c>
      <c r="J172" s="170">
        <f t="shared" si="267"/>
        <v>15</v>
      </c>
      <c r="K172" s="213" t="str">
        <f t="shared" si="267"/>
        <v>oui</v>
      </c>
      <c r="L172" s="173"/>
    </row>
    <row r="173" spans="1:12" ht="15" customHeight="1" x14ac:dyDescent="0.25">
      <c r="A173" t="s">
        <v>174</v>
      </c>
      <c r="B173" s="346"/>
      <c r="C173" s="102">
        <f t="shared" ref="C173:F173" si="268">C158</f>
        <v>0</v>
      </c>
      <c r="D173" s="169">
        <f t="shared" si="268"/>
        <v>0</v>
      </c>
      <c r="E173" s="170">
        <f t="shared" si="268"/>
        <v>0</v>
      </c>
      <c r="F173" s="172">
        <f t="shared" si="268"/>
        <v>0</v>
      </c>
      <c r="G173" s="171"/>
      <c r="H173" s="226" t="str">
        <f t="shared" ref="H173:K173" si="269">H158</f>
        <v>kk</v>
      </c>
      <c r="I173" s="169">
        <f t="shared" si="269"/>
        <v>0</v>
      </c>
      <c r="J173" s="170">
        <f t="shared" si="269"/>
        <v>0</v>
      </c>
      <c r="K173" s="172">
        <f t="shared" si="269"/>
        <v>0</v>
      </c>
      <c r="L173" s="173"/>
    </row>
    <row r="174" spans="1:12" ht="15" customHeight="1" x14ac:dyDescent="0.25">
      <c r="A174" t="s">
        <v>174</v>
      </c>
      <c r="B174" s="346"/>
      <c r="C174" s="102" t="str">
        <f t="shared" ref="C174:F174" si="270">C159</f>
        <v>tutu</v>
      </c>
      <c r="D174" s="169">
        <f t="shared" si="270"/>
        <v>0</v>
      </c>
      <c r="E174" s="170">
        <f t="shared" si="270"/>
        <v>12</v>
      </c>
      <c r="F174" s="172" t="str">
        <f t="shared" si="270"/>
        <v>oui</v>
      </c>
      <c r="G174" s="171"/>
      <c r="H174" s="226">
        <f t="shared" ref="H174:K174" si="271">H159</f>
        <v>0</v>
      </c>
      <c r="I174" s="169">
        <f t="shared" si="271"/>
        <v>0</v>
      </c>
      <c r="J174" s="170">
        <f t="shared" si="271"/>
        <v>0</v>
      </c>
      <c r="K174" s="172">
        <f t="shared" si="271"/>
        <v>0</v>
      </c>
      <c r="L174" s="173"/>
    </row>
    <row r="175" spans="1:12" ht="15" customHeight="1" x14ac:dyDescent="0.25">
      <c r="A175" t="s">
        <v>174</v>
      </c>
      <c r="B175" s="346"/>
      <c r="C175" s="102">
        <f t="shared" ref="C175:F175" si="272">C160</f>
        <v>0</v>
      </c>
      <c r="D175" s="169">
        <f t="shared" si="272"/>
        <v>0</v>
      </c>
      <c r="E175" s="170">
        <f t="shared" si="272"/>
        <v>0</v>
      </c>
      <c r="F175" s="172">
        <f t="shared" si="272"/>
        <v>0</v>
      </c>
      <c r="G175" s="171"/>
      <c r="H175" s="226">
        <f t="shared" ref="H175:K175" si="273">H160</f>
        <v>0</v>
      </c>
      <c r="I175" s="169">
        <f t="shared" si="273"/>
        <v>0</v>
      </c>
      <c r="J175" s="170">
        <f t="shared" si="273"/>
        <v>0</v>
      </c>
      <c r="K175" s="172">
        <f t="shared" si="273"/>
        <v>0</v>
      </c>
      <c r="L175" s="173"/>
    </row>
    <row r="176" spans="1:12" ht="15" customHeight="1" x14ac:dyDescent="0.25">
      <c r="A176" t="s">
        <v>174</v>
      </c>
      <c r="B176" s="346"/>
      <c r="C176" s="102">
        <f t="shared" ref="C176:F176" si="274">C161</f>
        <v>0</v>
      </c>
      <c r="D176" s="169">
        <f t="shared" si="274"/>
        <v>0</v>
      </c>
      <c r="E176" s="170">
        <f t="shared" si="274"/>
        <v>0</v>
      </c>
      <c r="F176" s="172">
        <f t="shared" si="274"/>
        <v>0</v>
      </c>
      <c r="G176" s="171"/>
      <c r="H176" s="226">
        <f t="shared" ref="H176:K176" si="275">H161</f>
        <v>0</v>
      </c>
      <c r="I176" s="169">
        <f t="shared" si="275"/>
        <v>0</v>
      </c>
      <c r="J176" s="170">
        <f t="shared" si="275"/>
        <v>0</v>
      </c>
      <c r="K176" s="172">
        <f t="shared" si="275"/>
        <v>0</v>
      </c>
      <c r="L176" s="173"/>
    </row>
    <row r="177" spans="1:12" ht="15" customHeight="1" x14ac:dyDescent="0.25">
      <c r="A177" t="s">
        <v>174</v>
      </c>
      <c r="B177" s="346"/>
      <c r="C177" s="102">
        <f t="shared" ref="C177:F177" si="276">C162</f>
        <v>0</v>
      </c>
      <c r="D177" s="169">
        <f t="shared" si="276"/>
        <v>0</v>
      </c>
      <c r="E177" s="170">
        <f t="shared" si="276"/>
        <v>0</v>
      </c>
      <c r="F177" s="172">
        <f t="shared" si="276"/>
        <v>0</v>
      </c>
      <c r="G177" s="171"/>
      <c r="H177" s="226">
        <f t="shared" ref="H177:K177" si="277">H162</f>
        <v>0</v>
      </c>
      <c r="I177" s="169">
        <f t="shared" si="277"/>
        <v>0</v>
      </c>
      <c r="J177" s="170">
        <f t="shared" si="277"/>
        <v>0</v>
      </c>
      <c r="K177" s="172">
        <f t="shared" si="277"/>
        <v>0</v>
      </c>
      <c r="L177" s="173"/>
    </row>
    <row r="178" spans="1:12" ht="15" customHeight="1" x14ac:dyDescent="0.25">
      <c r="A178" t="s">
        <v>174</v>
      </c>
      <c r="B178" s="346"/>
      <c r="C178" s="102">
        <f t="shared" ref="C178:F178" si="278">C163</f>
        <v>0</v>
      </c>
      <c r="D178" s="169">
        <f t="shared" si="278"/>
        <v>0</v>
      </c>
      <c r="E178" s="170">
        <f t="shared" si="278"/>
        <v>0</v>
      </c>
      <c r="F178" s="172">
        <f t="shared" si="278"/>
        <v>0</v>
      </c>
      <c r="G178" s="171"/>
      <c r="H178" s="226">
        <f t="shared" ref="H178:K178" si="279">H163</f>
        <v>0</v>
      </c>
      <c r="I178" s="169">
        <f t="shared" si="279"/>
        <v>0</v>
      </c>
      <c r="J178" s="170">
        <f t="shared" si="279"/>
        <v>0</v>
      </c>
      <c r="K178" s="172">
        <f t="shared" si="279"/>
        <v>0</v>
      </c>
      <c r="L178" s="173"/>
    </row>
    <row r="179" spans="1:12" ht="15" customHeight="1" x14ac:dyDescent="0.25">
      <c r="A179" t="s">
        <v>174</v>
      </c>
      <c r="B179" s="346"/>
      <c r="C179" s="102">
        <f t="shared" ref="C179:F179" si="280">C164</f>
        <v>0</v>
      </c>
      <c r="D179" s="169">
        <f t="shared" si="280"/>
        <v>0</v>
      </c>
      <c r="E179" s="170">
        <f t="shared" si="280"/>
        <v>0</v>
      </c>
      <c r="F179" s="172">
        <f t="shared" si="280"/>
        <v>0</v>
      </c>
      <c r="G179" s="171"/>
      <c r="H179" s="226">
        <f t="shared" ref="H179:K179" si="281">H164</f>
        <v>0</v>
      </c>
      <c r="I179" s="169">
        <f t="shared" si="281"/>
        <v>0</v>
      </c>
      <c r="J179" s="170">
        <f t="shared" si="281"/>
        <v>0</v>
      </c>
      <c r="K179" s="172">
        <f t="shared" si="281"/>
        <v>0</v>
      </c>
      <c r="L179" s="173"/>
    </row>
    <row r="180" spans="1:12" ht="15" customHeight="1" x14ac:dyDescent="0.25">
      <c r="A180" t="s">
        <v>174</v>
      </c>
      <c r="B180" s="346"/>
      <c r="C180" s="102">
        <f t="shared" ref="C180:F180" si="282">C165</f>
        <v>0</v>
      </c>
      <c r="D180" s="169">
        <f t="shared" si="282"/>
        <v>0</v>
      </c>
      <c r="E180" s="170">
        <f t="shared" si="282"/>
        <v>0</v>
      </c>
      <c r="F180" s="172">
        <f t="shared" si="282"/>
        <v>0</v>
      </c>
      <c r="G180" s="168"/>
      <c r="H180" s="226">
        <f t="shared" ref="H180:K180" si="283">H165</f>
        <v>0</v>
      </c>
      <c r="I180" s="169">
        <f t="shared" si="283"/>
        <v>0</v>
      </c>
      <c r="J180" s="170">
        <f t="shared" si="283"/>
        <v>0</v>
      </c>
      <c r="K180" s="167">
        <f t="shared" si="283"/>
        <v>0</v>
      </c>
      <c r="L180" s="25"/>
    </row>
    <row r="181" spans="1:12" ht="15" customHeight="1" x14ac:dyDescent="0.25">
      <c r="A181" t="s">
        <v>174</v>
      </c>
      <c r="B181" s="346"/>
      <c r="C181" s="102">
        <f t="shared" ref="C181:F181" si="284">C166</f>
        <v>0</v>
      </c>
      <c r="D181" s="169">
        <f t="shared" si="284"/>
        <v>0</v>
      </c>
      <c r="E181" s="170">
        <f t="shared" si="284"/>
        <v>0</v>
      </c>
      <c r="F181" s="172">
        <f t="shared" si="284"/>
        <v>0</v>
      </c>
      <c r="G181" s="168"/>
      <c r="H181" s="226">
        <f t="shared" ref="H181:K181" si="285">H166</f>
        <v>0</v>
      </c>
      <c r="I181" s="169">
        <f t="shared" si="285"/>
        <v>0</v>
      </c>
      <c r="J181" s="170">
        <f t="shared" si="285"/>
        <v>0</v>
      </c>
      <c r="K181" s="167">
        <f t="shared" si="285"/>
        <v>0</v>
      </c>
      <c r="L181" s="25"/>
    </row>
    <row r="182" spans="1:12" s="152" customFormat="1" ht="15" customHeight="1" x14ac:dyDescent="0.25">
      <c r="B182" s="176"/>
      <c r="C182" s="168"/>
      <c r="D182" s="168"/>
      <c r="E182" s="168"/>
      <c r="F182" s="168"/>
      <c r="G182" s="168"/>
      <c r="H182" s="168"/>
      <c r="I182" s="168"/>
      <c r="J182" s="168"/>
      <c r="K182" s="168"/>
      <c r="L182" s="168"/>
    </row>
    <row r="184" spans="1:12" ht="18.75" x14ac:dyDescent="0.3">
      <c r="C184" s="221" t="s">
        <v>256</v>
      </c>
      <c r="H184" s="221" t="s">
        <v>251</v>
      </c>
    </row>
    <row r="185" spans="1:12" x14ac:dyDescent="0.25">
      <c r="D185" s="169"/>
      <c r="J185" s="225" t="s">
        <v>254</v>
      </c>
      <c r="K185" s="225" t="s">
        <v>255</v>
      </c>
      <c r="L185" s="1" t="s">
        <v>258</v>
      </c>
    </row>
    <row r="186" spans="1:12" x14ac:dyDescent="0.25">
      <c r="C186" s="37" t="str">
        <f>C168</f>
        <v>Impôts communaux</v>
      </c>
      <c r="D186" s="102" t="str">
        <f>D168</f>
        <v>Commune de Farvagny</v>
      </c>
      <c r="E186" s="27">
        <f>SUMIFS(E3:E181,C3:C181,C186)</f>
        <v>978</v>
      </c>
      <c r="F186" s="172"/>
      <c r="H186" s="37" t="str">
        <f>H3</f>
        <v>Assurance ménage</v>
      </c>
      <c r="I186" s="37" t="str">
        <f t="shared" ref="I186:I199" si="286">I3</f>
        <v>Générali</v>
      </c>
      <c r="J186" s="27">
        <f>SUMIFS(J3:J181,H3:H181,H186)</f>
        <v>144</v>
      </c>
      <c r="K186" s="26"/>
    </row>
    <row r="187" spans="1:12" x14ac:dyDescent="0.25">
      <c r="C187" s="37" t="str">
        <f t="shared" ref="C187:D187" si="287">C169</f>
        <v>Impôts cantonaux</v>
      </c>
      <c r="D187" s="102" t="str">
        <f t="shared" si="287"/>
        <v>SCC</v>
      </c>
      <c r="E187" s="27">
        <f t="shared" ref="E187:E199" si="288">SUMIFS(E4:E182,C4:C182,C187)</f>
        <v>987.5999999999998</v>
      </c>
      <c r="F187" s="172"/>
      <c r="H187" s="37" t="str">
        <f t="shared" ref="H187:H199" si="289">H4</f>
        <v>Electricité</v>
      </c>
      <c r="I187" s="37" t="str">
        <f t="shared" si="286"/>
        <v>Groupe E</v>
      </c>
      <c r="J187" s="27">
        <f t="shared" ref="J187:J199" si="290">SUMIFS(J4:J182,H4:H182,H187)</f>
        <v>0</v>
      </c>
      <c r="K187" s="26"/>
    </row>
    <row r="188" spans="1:12" x14ac:dyDescent="0.25">
      <c r="C188" s="37" t="str">
        <f t="shared" ref="C188:D188" si="291">C170</f>
        <v>Téléphone</v>
      </c>
      <c r="D188" s="102">
        <f t="shared" si="291"/>
        <v>0</v>
      </c>
      <c r="E188" s="27">
        <f t="shared" si="288"/>
        <v>0</v>
      </c>
      <c r="F188" s="172"/>
      <c r="H188" s="37" t="str">
        <f t="shared" si="289"/>
        <v>Impôt véhicule</v>
      </c>
      <c r="I188" s="37" t="str">
        <f t="shared" si="286"/>
        <v>OCN</v>
      </c>
      <c r="J188" s="27">
        <f t="shared" si="290"/>
        <v>336</v>
      </c>
      <c r="K188" s="26"/>
    </row>
    <row r="189" spans="1:12" x14ac:dyDescent="0.25">
      <c r="C189" s="37">
        <f t="shared" ref="C189:D189" si="292">C171</f>
        <v>0</v>
      </c>
      <c r="D189" s="102">
        <f t="shared" si="292"/>
        <v>0</v>
      </c>
      <c r="E189" s="27">
        <f t="shared" si="288"/>
        <v>0</v>
      </c>
      <c r="F189" s="172"/>
      <c r="H189" s="37" t="str">
        <f t="shared" si="289"/>
        <v>Assurance véhicule</v>
      </c>
      <c r="I189" s="37">
        <f t="shared" si="286"/>
        <v>0</v>
      </c>
      <c r="J189" s="27">
        <f t="shared" si="290"/>
        <v>0</v>
      </c>
      <c r="K189" s="26"/>
    </row>
    <row r="190" spans="1:12" x14ac:dyDescent="0.25">
      <c r="C190" s="37">
        <f t="shared" ref="C190:D190" si="293">C172</f>
        <v>0</v>
      </c>
      <c r="D190" s="102">
        <f t="shared" si="293"/>
        <v>0</v>
      </c>
      <c r="E190" s="27">
        <f t="shared" si="288"/>
        <v>0</v>
      </c>
      <c r="F190" s="172"/>
      <c r="H190" s="37" t="str">
        <f t="shared" si="289"/>
        <v>Billag</v>
      </c>
      <c r="I190" s="37">
        <f t="shared" si="286"/>
        <v>0</v>
      </c>
      <c r="J190" s="27">
        <f t="shared" si="290"/>
        <v>180</v>
      </c>
      <c r="K190" s="26"/>
    </row>
    <row r="191" spans="1:12" x14ac:dyDescent="0.25">
      <c r="C191" s="37">
        <f t="shared" ref="C191:D191" si="294">C173</f>
        <v>0</v>
      </c>
      <c r="D191" s="102">
        <f t="shared" si="294"/>
        <v>0</v>
      </c>
      <c r="E191" s="27">
        <f t="shared" si="288"/>
        <v>0</v>
      </c>
      <c r="F191" s="172"/>
      <c r="H191" s="37" t="str">
        <f t="shared" si="289"/>
        <v>kk</v>
      </c>
      <c r="I191" s="37">
        <f t="shared" si="286"/>
        <v>0</v>
      </c>
      <c r="J191" s="27">
        <f t="shared" si="290"/>
        <v>0</v>
      </c>
      <c r="K191" s="26"/>
    </row>
    <row r="192" spans="1:12" x14ac:dyDescent="0.25">
      <c r="C192" s="37" t="str">
        <f t="shared" ref="C192:D192" si="295">C174</f>
        <v>tutu</v>
      </c>
      <c r="D192" s="102">
        <f t="shared" si="295"/>
        <v>0</v>
      </c>
      <c r="E192" s="27">
        <f t="shared" si="288"/>
        <v>144</v>
      </c>
      <c r="F192" s="172"/>
      <c r="H192" s="37">
        <f t="shared" si="289"/>
        <v>0</v>
      </c>
      <c r="I192" s="37">
        <f t="shared" si="286"/>
        <v>0</v>
      </c>
      <c r="J192" s="27">
        <f t="shared" si="290"/>
        <v>0</v>
      </c>
      <c r="K192" s="26"/>
    </row>
    <row r="193" spans="3:11" x14ac:dyDescent="0.25">
      <c r="C193" s="37">
        <f t="shared" ref="C193:D193" si="296">C175</f>
        <v>0</v>
      </c>
      <c r="D193" s="102">
        <f t="shared" si="296"/>
        <v>0</v>
      </c>
      <c r="E193" s="27">
        <f t="shared" si="288"/>
        <v>0</v>
      </c>
      <c r="F193" s="172"/>
      <c r="H193" s="37">
        <f t="shared" si="289"/>
        <v>0</v>
      </c>
      <c r="I193" s="37">
        <f t="shared" si="286"/>
        <v>0</v>
      </c>
      <c r="J193" s="27">
        <f t="shared" si="290"/>
        <v>0</v>
      </c>
      <c r="K193" s="26"/>
    </row>
    <row r="194" spans="3:11" x14ac:dyDescent="0.25">
      <c r="C194" s="37">
        <f t="shared" ref="C194:D194" si="297">C176</f>
        <v>0</v>
      </c>
      <c r="D194" s="102">
        <f t="shared" si="297"/>
        <v>0</v>
      </c>
      <c r="E194" s="27">
        <f t="shared" si="288"/>
        <v>0</v>
      </c>
      <c r="F194" s="172"/>
      <c r="H194" s="37">
        <f t="shared" si="289"/>
        <v>0</v>
      </c>
      <c r="I194" s="37">
        <f t="shared" si="286"/>
        <v>0</v>
      </c>
      <c r="J194" s="27">
        <f t="shared" si="290"/>
        <v>0</v>
      </c>
      <c r="K194" s="26"/>
    </row>
    <row r="195" spans="3:11" x14ac:dyDescent="0.25">
      <c r="C195" s="37">
        <f t="shared" ref="C195:D195" si="298">C177</f>
        <v>0</v>
      </c>
      <c r="D195" s="102">
        <f t="shared" si="298"/>
        <v>0</v>
      </c>
      <c r="E195" s="27">
        <f t="shared" si="288"/>
        <v>0</v>
      </c>
      <c r="F195" s="172"/>
      <c r="H195" s="37">
        <f t="shared" si="289"/>
        <v>0</v>
      </c>
      <c r="I195" s="37">
        <f t="shared" si="286"/>
        <v>0</v>
      </c>
      <c r="J195" s="27">
        <f t="shared" si="290"/>
        <v>0</v>
      </c>
      <c r="K195" s="26"/>
    </row>
    <row r="196" spans="3:11" x14ac:dyDescent="0.25">
      <c r="C196" s="37">
        <f t="shared" ref="C196:D196" si="299">C178</f>
        <v>0</v>
      </c>
      <c r="D196" s="102">
        <f t="shared" si="299"/>
        <v>0</v>
      </c>
      <c r="E196" s="27">
        <f t="shared" si="288"/>
        <v>0</v>
      </c>
      <c r="F196" s="172"/>
      <c r="H196" s="37">
        <f t="shared" si="289"/>
        <v>0</v>
      </c>
      <c r="I196" s="37">
        <f t="shared" si="286"/>
        <v>0</v>
      </c>
      <c r="J196" s="27">
        <f t="shared" si="290"/>
        <v>0</v>
      </c>
      <c r="K196" s="26"/>
    </row>
    <row r="197" spans="3:11" x14ac:dyDescent="0.25">
      <c r="C197" s="37">
        <f t="shared" ref="C197:D197" si="300">C179</f>
        <v>0</v>
      </c>
      <c r="D197" s="102">
        <f t="shared" si="300"/>
        <v>0</v>
      </c>
      <c r="E197" s="27">
        <f t="shared" si="288"/>
        <v>0</v>
      </c>
      <c r="F197" s="172"/>
      <c r="H197" s="37">
        <f t="shared" si="289"/>
        <v>0</v>
      </c>
      <c r="I197" s="37">
        <f t="shared" si="286"/>
        <v>0</v>
      </c>
      <c r="J197" s="27">
        <f t="shared" si="290"/>
        <v>0</v>
      </c>
      <c r="K197" s="26"/>
    </row>
    <row r="198" spans="3:11" x14ac:dyDescent="0.25">
      <c r="C198" s="37">
        <f t="shared" ref="C198:D198" si="301">C180</f>
        <v>0</v>
      </c>
      <c r="D198" s="102">
        <f t="shared" si="301"/>
        <v>0</v>
      </c>
      <c r="E198" s="27">
        <f t="shared" si="288"/>
        <v>0</v>
      </c>
      <c r="F198" s="172"/>
      <c r="H198" s="37">
        <f t="shared" si="289"/>
        <v>0</v>
      </c>
      <c r="I198" s="37">
        <f t="shared" si="286"/>
        <v>0</v>
      </c>
      <c r="J198" s="27">
        <f t="shared" si="290"/>
        <v>0</v>
      </c>
      <c r="K198" s="26"/>
    </row>
    <row r="199" spans="3:11" x14ac:dyDescent="0.25">
      <c r="C199" s="37"/>
      <c r="D199" s="169">
        <f t="shared" ref="D199" si="302">D184</f>
        <v>0</v>
      </c>
      <c r="E199" s="27">
        <f t="shared" si="288"/>
        <v>0</v>
      </c>
      <c r="F199" s="172"/>
      <c r="H199" s="37">
        <f t="shared" si="289"/>
        <v>0</v>
      </c>
      <c r="I199" s="37">
        <f t="shared" si="286"/>
        <v>0</v>
      </c>
      <c r="J199" s="27">
        <f t="shared" si="290"/>
        <v>0</v>
      </c>
      <c r="K199" s="26"/>
    </row>
    <row r="200" spans="3:11" ht="15.75" thickBot="1" x14ac:dyDescent="0.3">
      <c r="C200" s="224" t="s">
        <v>257</v>
      </c>
      <c r="D200" s="224"/>
      <c r="E200" s="217">
        <f>SUM(E186:E199)</f>
        <v>2109.6</v>
      </c>
      <c r="H200" s="224" t="s">
        <v>253</v>
      </c>
      <c r="I200" s="224"/>
      <c r="J200" s="217">
        <f>SUM(J186:J199)</f>
        <v>660</v>
      </c>
      <c r="K200" s="26"/>
    </row>
    <row r="201" spans="3:11" ht="15.75" thickTop="1" x14ac:dyDescent="0.25"/>
  </sheetData>
  <mergeCells count="12">
    <mergeCell ref="B153:B166"/>
    <mergeCell ref="B168:B181"/>
    <mergeCell ref="B48:B61"/>
    <mergeCell ref="B63:B76"/>
    <mergeCell ref="B78:B91"/>
    <mergeCell ref="B93:B106"/>
    <mergeCell ref="B108:B121"/>
    <mergeCell ref="B3:B16"/>
    <mergeCell ref="B18:B31"/>
    <mergeCell ref="B33:B46"/>
    <mergeCell ref="B123:B136"/>
    <mergeCell ref="B138:B15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16" sqref="E16"/>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A4" sqref="A4:A9"/>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6</vt:i4>
      </vt:variant>
    </vt:vector>
  </HeadingPairs>
  <TitlesOfParts>
    <vt:vector size="19" baseType="lpstr">
      <vt:lpstr>Guide utilisateur</vt:lpstr>
      <vt:lpstr>Les normes-données de base</vt:lpstr>
      <vt:lpstr>BU-janv</vt:lpstr>
      <vt:lpstr>Frais de transport</vt:lpstr>
      <vt:lpstr>Ressources</vt:lpstr>
      <vt:lpstr>Supplément</vt:lpstr>
      <vt:lpstr>Frais de logement</vt:lpstr>
      <vt:lpstr>Caisse maladie</vt:lpstr>
      <vt:lpstr>Paiements échelonnés</vt:lpstr>
      <vt:lpstr>PDF Pièces-janv.</vt:lpstr>
      <vt:lpstr>Récap annuelle</vt:lpstr>
      <vt:lpstr>question</vt:lpstr>
      <vt:lpstr>Feuil1</vt:lpstr>
      <vt:lpstr>bdlibel</vt:lpstr>
      <vt:lpstr>bdlibel1</vt:lpstr>
      <vt:lpstr>bdlibel3</vt:lpstr>
      <vt:lpstr>bdlibel4</vt:lpstr>
      <vt:lpstr>'BU-janv'!IMBU</vt:lpstr>
      <vt:lpstr>'BU-janv'!Zone_d_impression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Villet</dc:creator>
  <cp:lastModifiedBy>Nicole Villet</cp:lastModifiedBy>
  <cp:lastPrinted>2014-12-14T08:20:46Z</cp:lastPrinted>
  <dcterms:created xsi:type="dcterms:W3CDTF">2014-11-23T16:17:06Z</dcterms:created>
  <dcterms:modified xsi:type="dcterms:W3CDTF">2014-12-14T08:50:15Z</dcterms:modified>
</cp:coreProperties>
</file>