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555" yWindow="2895" windowWidth="20115" windowHeight="7500" tabRatio="698" firstSheet="2" activeTab="4"/>
  </bookViews>
  <sheets>
    <sheet name="Guide utilisateur" sheetId="7" r:id="rId1"/>
    <sheet name="BU-janv" sheetId="1" r:id="rId2"/>
    <sheet name="BU-fév" sheetId="14" r:id="rId3"/>
    <sheet name="BU-mars" sheetId="23" r:id="rId4"/>
    <sheet name="Les normes-données de base" sheetId="2" r:id="rId5"/>
    <sheet name="Frais de transport" sheetId="13" r:id="rId6"/>
    <sheet name="Ressources" sheetId="11" r:id="rId7"/>
    <sheet name="Supplément" sheetId="12" r:id="rId8"/>
    <sheet name="Frais de logement" sheetId="9" r:id="rId9"/>
    <sheet name="Caisse maladie" sheetId="8" r:id="rId10"/>
    <sheet name="Paiements échelonnés" sheetId="6" r:id="rId11"/>
    <sheet name="PDF Pièces-janv." sheetId="5" r:id="rId12"/>
    <sheet name="Récap annuelle" sheetId="3" r:id="rId13"/>
  </sheets>
  <definedNames>
    <definedName name="bdlibel">'BU-janv'!$B$36:$B$50</definedName>
    <definedName name="bdlibel1">'BU-janv'!$B$65:$B$69</definedName>
    <definedName name="bdlibel3">'BU-janv'!$B$74:$B$75</definedName>
    <definedName name="bdlibel4">'BU-janv'!$B$51:$B$64</definedName>
    <definedName name="bdlibell1">OFFSET(bdlibel1,,,,5)</definedName>
    <definedName name="bdlibell2">OFFSET(bdlibel,,,,5)</definedName>
    <definedName name="bdlibell4">OFFSET(bdlibel4,,,,5)</definedName>
    <definedName name="IMBU" comment="impression budget" localSheetId="1">'BU-janv'!$A$1:$H$218</definedName>
    <definedName name="_xlnm.Print_Area" localSheetId="1">'BU-janv'!$B$1:$H$221</definedName>
  </definedNames>
  <calcPr calcId="145621"/>
  <fileRecoveryPr repairLoad="1"/>
</workbook>
</file>

<file path=xl/calcChain.xml><?xml version="1.0" encoding="utf-8"?>
<calcChain xmlns="http://schemas.openxmlformats.org/spreadsheetml/2006/main">
  <c r="L217" i="23" l="1"/>
  <c r="D207" i="23"/>
  <c r="H205" i="23"/>
  <c r="B205" i="23"/>
  <c r="H204" i="23"/>
  <c r="G204" i="23"/>
  <c r="F204" i="23"/>
  <c r="E204" i="23"/>
  <c r="D204" i="23"/>
  <c r="C204" i="23"/>
  <c r="B204" i="23"/>
  <c r="H203" i="23"/>
  <c r="G203" i="23"/>
  <c r="F203" i="23"/>
  <c r="E203" i="23"/>
  <c r="D203" i="23"/>
  <c r="C203" i="23"/>
  <c r="B203" i="23"/>
  <c r="H202" i="23"/>
  <c r="G202" i="23"/>
  <c r="F202" i="23"/>
  <c r="E202" i="23"/>
  <c r="D202" i="23"/>
  <c r="C202" i="23"/>
  <c r="B202" i="23"/>
  <c r="H201" i="23"/>
  <c r="G201" i="23"/>
  <c r="F201" i="23"/>
  <c r="E201" i="23"/>
  <c r="D201" i="23"/>
  <c r="C201" i="23"/>
  <c r="B201" i="23"/>
  <c r="H200" i="23"/>
  <c r="G200" i="23"/>
  <c r="F200" i="23"/>
  <c r="E200" i="23"/>
  <c r="D200" i="23"/>
  <c r="C200" i="23"/>
  <c r="B200" i="23"/>
  <c r="H199" i="23"/>
  <c r="G199" i="23"/>
  <c r="F199" i="23"/>
  <c r="E199" i="23"/>
  <c r="D199" i="23"/>
  <c r="C199" i="23"/>
  <c r="B199" i="23"/>
  <c r="H198" i="23"/>
  <c r="G198" i="23"/>
  <c r="F198" i="23"/>
  <c r="E198" i="23"/>
  <c r="D198" i="23"/>
  <c r="C198" i="23"/>
  <c r="B198" i="23"/>
  <c r="H197" i="23"/>
  <c r="G197" i="23"/>
  <c r="F197" i="23"/>
  <c r="E197" i="23"/>
  <c r="D197" i="23"/>
  <c r="C197" i="23"/>
  <c r="B197" i="23"/>
  <c r="H196" i="23"/>
  <c r="G196" i="23"/>
  <c r="F196" i="23"/>
  <c r="E196" i="23"/>
  <c r="D196" i="23"/>
  <c r="C196" i="23"/>
  <c r="B196" i="23"/>
  <c r="H195" i="23"/>
  <c r="G195" i="23"/>
  <c r="F195" i="23"/>
  <c r="E195" i="23"/>
  <c r="D195" i="23"/>
  <c r="B195" i="23"/>
  <c r="H194" i="23"/>
  <c r="G194" i="23"/>
  <c r="F194" i="23"/>
  <c r="E194" i="23"/>
  <c r="D194" i="23"/>
  <c r="B194" i="23"/>
  <c r="H193" i="23"/>
  <c r="G193" i="23"/>
  <c r="F193" i="23"/>
  <c r="E193" i="23"/>
  <c r="D193" i="23"/>
  <c r="B193" i="23"/>
  <c r="H192" i="23"/>
  <c r="G192" i="23"/>
  <c r="F192" i="23"/>
  <c r="E192" i="23"/>
  <c r="D192" i="23"/>
  <c r="B192" i="23"/>
  <c r="H191" i="23"/>
  <c r="G191" i="23"/>
  <c r="F191" i="23"/>
  <c r="E191" i="23"/>
  <c r="D191" i="23"/>
  <c r="B191" i="23"/>
  <c r="G190" i="23"/>
  <c r="F190" i="23"/>
  <c r="E190" i="23"/>
  <c r="D190" i="23"/>
  <c r="C190" i="23"/>
  <c r="B190" i="23"/>
  <c r="G189" i="23"/>
  <c r="F189" i="23"/>
  <c r="E189" i="23"/>
  <c r="D189" i="23"/>
  <c r="B189" i="23"/>
  <c r="G188" i="23"/>
  <c r="F188" i="23"/>
  <c r="E188" i="23"/>
  <c r="D188" i="23"/>
  <c r="C188" i="23"/>
  <c r="B188" i="23"/>
  <c r="G187" i="23"/>
  <c r="F187" i="23"/>
  <c r="E187" i="23"/>
  <c r="D187" i="23"/>
  <c r="C187" i="23"/>
  <c r="B187" i="23"/>
  <c r="H186" i="23"/>
  <c r="G186" i="23"/>
  <c r="E186" i="23"/>
  <c r="D186" i="23"/>
  <c r="C186" i="23"/>
  <c r="B186" i="23"/>
  <c r="H185" i="23"/>
  <c r="G185" i="23"/>
  <c r="E185" i="23"/>
  <c r="D185" i="23"/>
  <c r="C185" i="23"/>
  <c r="B185" i="23"/>
  <c r="H184" i="23"/>
  <c r="G184" i="23"/>
  <c r="E184" i="23"/>
  <c r="D184" i="23"/>
  <c r="C184" i="23"/>
  <c r="B184" i="23"/>
  <c r="H183" i="23"/>
  <c r="G183" i="23"/>
  <c r="E183" i="23"/>
  <c r="D183" i="23"/>
  <c r="C183" i="23"/>
  <c r="B183" i="23"/>
  <c r="H182" i="23"/>
  <c r="G182" i="23"/>
  <c r="E182" i="23"/>
  <c r="D182" i="23"/>
  <c r="C182" i="23"/>
  <c r="B182" i="23"/>
  <c r="G181" i="23"/>
  <c r="E181" i="23"/>
  <c r="D181" i="23"/>
  <c r="B181" i="23"/>
  <c r="G180" i="23"/>
  <c r="E180" i="23"/>
  <c r="D180" i="23"/>
  <c r="B180" i="23"/>
  <c r="G179" i="23"/>
  <c r="E179" i="23"/>
  <c r="D179" i="23"/>
  <c r="B179" i="23"/>
  <c r="G178" i="23"/>
  <c r="E178" i="23"/>
  <c r="D178" i="23"/>
  <c r="B178" i="23"/>
  <c r="G177" i="23"/>
  <c r="E177" i="23"/>
  <c r="D177" i="23"/>
  <c r="B177" i="23"/>
  <c r="G176" i="23"/>
  <c r="E176" i="23"/>
  <c r="D176" i="23"/>
  <c r="B176" i="23"/>
  <c r="G175" i="23"/>
  <c r="E175" i="23"/>
  <c r="D175" i="23"/>
  <c r="B175" i="23"/>
  <c r="G174" i="23"/>
  <c r="E174" i="23"/>
  <c r="D174" i="23"/>
  <c r="B174" i="23"/>
  <c r="G173" i="23"/>
  <c r="E173" i="23"/>
  <c r="D173" i="23"/>
  <c r="B173" i="23"/>
  <c r="G172" i="23"/>
  <c r="E172" i="23"/>
  <c r="D172" i="23"/>
  <c r="B172" i="23"/>
  <c r="G171" i="23"/>
  <c r="E171" i="23"/>
  <c r="D171" i="23"/>
  <c r="B171" i="23"/>
  <c r="G170" i="23"/>
  <c r="E170" i="23"/>
  <c r="D170" i="23"/>
  <c r="B170" i="23"/>
  <c r="G169" i="23"/>
  <c r="E169" i="23"/>
  <c r="D169" i="23"/>
  <c r="B169" i="23"/>
  <c r="G168" i="23"/>
  <c r="E168" i="23"/>
  <c r="D168" i="23"/>
  <c r="B168" i="23"/>
  <c r="G167" i="23"/>
  <c r="E167" i="23"/>
  <c r="D167" i="23"/>
  <c r="B167" i="23"/>
  <c r="B165" i="23"/>
  <c r="D162" i="23"/>
  <c r="H160" i="23"/>
  <c r="B160" i="23"/>
  <c r="C159" i="23"/>
  <c r="B159" i="23"/>
  <c r="B158" i="23"/>
  <c r="B157" i="23"/>
  <c r="B156" i="23"/>
  <c r="B155" i="23"/>
  <c r="E154" i="23"/>
  <c r="C154" i="23"/>
  <c r="B154" i="23"/>
  <c r="E153" i="23"/>
  <c r="C153" i="23"/>
  <c r="B153" i="23"/>
  <c r="E152" i="23"/>
  <c r="C152" i="23"/>
  <c r="B152" i="23"/>
  <c r="F151" i="23"/>
  <c r="E151" i="23"/>
  <c r="D151" i="23"/>
  <c r="C151" i="23"/>
  <c r="B151" i="23"/>
  <c r="F150" i="23"/>
  <c r="E150" i="23"/>
  <c r="D150" i="23"/>
  <c r="C150" i="23"/>
  <c r="B150" i="23"/>
  <c r="G149" i="23"/>
  <c r="E149" i="23"/>
  <c r="D149" i="23"/>
  <c r="C149" i="23"/>
  <c r="B149" i="23"/>
  <c r="G148" i="23"/>
  <c r="F148" i="23"/>
  <c r="E148" i="23"/>
  <c r="D148" i="23"/>
  <c r="B148" i="23"/>
  <c r="G147" i="23"/>
  <c r="F147" i="23"/>
  <c r="E147" i="23"/>
  <c r="D147" i="23"/>
  <c r="B147" i="23"/>
  <c r="G146" i="23"/>
  <c r="F146" i="23"/>
  <c r="E146" i="23"/>
  <c r="D146" i="23"/>
  <c r="B146" i="23"/>
  <c r="G145" i="23"/>
  <c r="F145" i="23"/>
  <c r="E145" i="23"/>
  <c r="D145" i="23"/>
  <c r="B145" i="23"/>
  <c r="G144" i="23"/>
  <c r="F144" i="23"/>
  <c r="E144" i="23"/>
  <c r="D144" i="23"/>
  <c r="B144" i="23"/>
  <c r="G143" i="23"/>
  <c r="F143" i="23"/>
  <c r="E143" i="23"/>
  <c r="D143" i="23"/>
  <c r="B143" i="23"/>
  <c r="G142" i="23"/>
  <c r="F142" i="23"/>
  <c r="E142" i="23"/>
  <c r="D142" i="23"/>
  <c r="B142" i="23"/>
  <c r="G141" i="23"/>
  <c r="F141" i="23"/>
  <c r="E141" i="23"/>
  <c r="D141" i="23"/>
  <c r="B141" i="23"/>
  <c r="G140" i="23"/>
  <c r="F140" i="23"/>
  <c r="E140" i="23"/>
  <c r="D140" i="23"/>
  <c r="B140" i="23"/>
  <c r="G139" i="23"/>
  <c r="F139" i="23"/>
  <c r="E139" i="23"/>
  <c r="D139" i="23"/>
  <c r="B139" i="23"/>
  <c r="G138" i="23"/>
  <c r="F138" i="23"/>
  <c r="E138" i="23"/>
  <c r="D138" i="23"/>
  <c r="B138" i="23"/>
  <c r="G137" i="23"/>
  <c r="F137" i="23"/>
  <c r="E137" i="23"/>
  <c r="D137" i="23"/>
  <c r="B137" i="23"/>
  <c r="G136" i="23"/>
  <c r="F136" i="23"/>
  <c r="E136" i="23"/>
  <c r="D136" i="23"/>
  <c r="B136" i="23"/>
  <c r="G135" i="23"/>
  <c r="F135" i="23"/>
  <c r="E135" i="23"/>
  <c r="D135" i="23"/>
  <c r="B135" i="23"/>
  <c r="F134" i="23"/>
  <c r="E134" i="23"/>
  <c r="D134" i="23"/>
  <c r="C134" i="23"/>
  <c r="B134" i="23"/>
  <c r="H133" i="23"/>
  <c r="F133" i="23"/>
  <c r="E133" i="23"/>
  <c r="D133" i="23"/>
  <c r="C133" i="23"/>
  <c r="B133" i="23"/>
  <c r="F132" i="23"/>
  <c r="E132" i="23"/>
  <c r="D132" i="23"/>
  <c r="C132" i="23"/>
  <c r="B132" i="23"/>
  <c r="F131" i="23"/>
  <c r="E131" i="23"/>
  <c r="D131" i="23"/>
  <c r="C131" i="23"/>
  <c r="B131" i="23"/>
  <c r="F130" i="23"/>
  <c r="E130" i="23"/>
  <c r="D130" i="23"/>
  <c r="C130" i="23"/>
  <c r="B130" i="23"/>
  <c r="F129" i="23"/>
  <c r="E129" i="23"/>
  <c r="D129" i="23"/>
  <c r="C129" i="23"/>
  <c r="B129" i="23"/>
  <c r="F128" i="23"/>
  <c r="E128" i="23"/>
  <c r="D128" i="23"/>
  <c r="C128" i="23"/>
  <c r="B128" i="23"/>
  <c r="F127" i="23"/>
  <c r="E127" i="23"/>
  <c r="D127" i="23"/>
  <c r="C127" i="23"/>
  <c r="B127" i="23"/>
  <c r="F126" i="23"/>
  <c r="E126" i="23"/>
  <c r="D126" i="23"/>
  <c r="C126" i="23"/>
  <c r="B126" i="23"/>
  <c r="F125" i="23"/>
  <c r="E125" i="23"/>
  <c r="D125" i="23"/>
  <c r="C125" i="23"/>
  <c r="B125" i="23"/>
  <c r="F124" i="23"/>
  <c r="E124" i="23"/>
  <c r="D124" i="23"/>
  <c r="C124" i="23"/>
  <c r="B124" i="23"/>
  <c r="F123" i="23"/>
  <c r="E123" i="23"/>
  <c r="D123" i="23"/>
  <c r="C123" i="23"/>
  <c r="B123" i="23"/>
  <c r="F122" i="23"/>
  <c r="E122" i="23"/>
  <c r="D122" i="23"/>
  <c r="C122" i="23"/>
  <c r="B122" i="23"/>
  <c r="B120" i="23"/>
  <c r="H116" i="23"/>
  <c r="F115" i="23"/>
  <c r="C117" i="23" s="1"/>
  <c r="H114" i="23"/>
  <c r="F112" i="23"/>
  <c r="H111" i="23"/>
  <c r="H96" i="23"/>
  <c r="F96" i="23"/>
  <c r="E96" i="23"/>
  <c r="G95" i="23"/>
  <c r="G94" i="23"/>
  <c r="G93" i="23"/>
  <c r="G92" i="23"/>
  <c r="G91" i="23"/>
  <c r="G90" i="23"/>
  <c r="H87" i="23"/>
  <c r="G87" i="23"/>
  <c r="G86" i="23"/>
  <c r="H86" i="23" s="1"/>
  <c r="H85" i="23"/>
  <c r="G85" i="23"/>
  <c r="G84" i="23"/>
  <c r="H84" i="23" s="1"/>
  <c r="G83" i="23"/>
  <c r="H83" i="23" s="1"/>
  <c r="H82" i="23"/>
  <c r="G82" i="23"/>
  <c r="H81" i="23"/>
  <c r="G81" i="23"/>
  <c r="G80" i="23"/>
  <c r="H80" i="23" s="1"/>
  <c r="F79" i="23"/>
  <c r="H190" i="23" s="1"/>
  <c r="E79" i="23"/>
  <c r="F78" i="23"/>
  <c r="H189" i="23" s="1"/>
  <c r="E78" i="23"/>
  <c r="E88" i="23" s="1"/>
  <c r="B78" i="23" a="1"/>
  <c r="B78" i="23" s="1"/>
  <c r="N75" i="23"/>
  <c r="G75" i="23"/>
  <c r="H151" i="23" s="1"/>
  <c r="F75" i="23"/>
  <c r="E75" i="23"/>
  <c r="E76" i="23" s="1"/>
  <c r="F74" i="23"/>
  <c r="H187" i="23" s="1"/>
  <c r="C64" i="23"/>
  <c r="B64" i="23"/>
  <c r="F64" i="23" s="1"/>
  <c r="H64" i="23" s="1"/>
  <c r="H148" i="23" s="1"/>
  <c r="C63" i="23"/>
  <c r="B63" i="23"/>
  <c r="C147" i="23" s="1"/>
  <c r="C62" i="23"/>
  <c r="B62" i="23"/>
  <c r="C146" i="23" s="1"/>
  <c r="C61" i="23"/>
  <c r="B61" i="23"/>
  <c r="F61" i="23" s="1"/>
  <c r="H61" i="23" s="1"/>
  <c r="H145" i="23" s="1"/>
  <c r="C60" i="23"/>
  <c r="B60" i="23"/>
  <c r="F60" i="23" s="1"/>
  <c r="H60" i="23" s="1"/>
  <c r="H144" i="23" s="1"/>
  <c r="C59" i="23"/>
  <c r="B59" i="23"/>
  <c r="C143" i="23" s="1"/>
  <c r="C58" i="23"/>
  <c r="B58" i="23"/>
  <c r="C142" i="23" s="1"/>
  <c r="C57" i="23"/>
  <c r="B57" i="23"/>
  <c r="F57" i="23" s="1"/>
  <c r="H57" i="23" s="1"/>
  <c r="H141" i="23" s="1"/>
  <c r="C56" i="23"/>
  <c r="B56" i="23"/>
  <c r="F56" i="23" s="1"/>
  <c r="H56" i="23" s="1"/>
  <c r="H140" i="23" s="1"/>
  <c r="C55" i="23"/>
  <c r="B55" i="23"/>
  <c r="C139" i="23" s="1"/>
  <c r="C54" i="23"/>
  <c r="B54" i="23"/>
  <c r="C138" i="23" s="1"/>
  <c r="C53" i="23"/>
  <c r="B53" i="23"/>
  <c r="F53" i="23" s="1"/>
  <c r="H53" i="23" s="1"/>
  <c r="H137" i="23" s="1"/>
  <c r="C52" i="23"/>
  <c r="B52" i="23"/>
  <c r="F52" i="23" s="1"/>
  <c r="H52" i="23" s="1"/>
  <c r="H136" i="23" s="1"/>
  <c r="C51" i="23"/>
  <c r="B51" i="23"/>
  <c r="C135" i="23" s="1"/>
  <c r="C50" i="23"/>
  <c r="B50" i="23"/>
  <c r="C181" i="23" s="1"/>
  <c r="C49" i="23"/>
  <c r="B49" i="23"/>
  <c r="C180" i="23" s="1"/>
  <c r="C48" i="23"/>
  <c r="B48" i="23"/>
  <c r="C179" i="23" s="1"/>
  <c r="C47" i="23"/>
  <c r="B47" i="23"/>
  <c r="C178" i="23" s="1"/>
  <c r="C46" i="23"/>
  <c r="B46" i="23"/>
  <c r="C45" i="23"/>
  <c r="B45" i="23"/>
  <c r="C176" i="23" s="1"/>
  <c r="C44" i="23"/>
  <c r="B44" i="23"/>
  <c r="C175" i="23" s="1"/>
  <c r="C43" i="23"/>
  <c r="B43" i="23"/>
  <c r="C174" i="23" s="1"/>
  <c r="C42" i="23"/>
  <c r="B42" i="23"/>
  <c r="C173" i="23" s="1"/>
  <c r="C41" i="23"/>
  <c r="B41" i="23"/>
  <c r="C172" i="23" s="1"/>
  <c r="C40" i="23"/>
  <c r="B40" i="23"/>
  <c r="C171" i="23" s="1"/>
  <c r="C39" i="23"/>
  <c r="B39" i="23"/>
  <c r="C170" i="23" s="1"/>
  <c r="C38" i="23"/>
  <c r="B38" i="23"/>
  <c r="C169" i="23" s="1"/>
  <c r="C37" i="23"/>
  <c r="B37" i="23"/>
  <c r="C168" i="23" s="1"/>
  <c r="F36" i="23"/>
  <c r="E36" i="23"/>
  <c r="B36" i="23"/>
  <c r="C167" i="23" s="1"/>
  <c r="B36" i="23" a="1"/>
  <c r="H33" i="23"/>
  <c r="F33" i="23"/>
  <c r="E33" i="23"/>
  <c r="G32" i="23"/>
  <c r="G30" i="23"/>
  <c r="H28" i="23"/>
  <c r="H98" i="23" s="1"/>
  <c r="G27" i="23"/>
  <c r="F27" i="23"/>
  <c r="G26" i="23"/>
  <c r="F26" i="23"/>
  <c r="F25" i="23"/>
  <c r="H134" i="23" s="1"/>
  <c r="E25" i="23"/>
  <c r="F23" i="23"/>
  <c r="H132" i="23" s="1"/>
  <c r="E23" i="23"/>
  <c r="G22" i="23"/>
  <c r="F22" i="23"/>
  <c r="H131" i="23" s="1"/>
  <c r="E22" i="23"/>
  <c r="F21" i="23"/>
  <c r="H130" i="23" s="1"/>
  <c r="E21" i="23"/>
  <c r="F20" i="23"/>
  <c r="H129" i="23" s="1"/>
  <c r="E20" i="23"/>
  <c r="F19" i="23"/>
  <c r="H128" i="23" s="1"/>
  <c r="E19" i="23"/>
  <c r="F18" i="23"/>
  <c r="H127" i="23" s="1"/>
  <c r="E18" i="23"/>
  <c r="G18" i="23" s="1"/>
  <c r="F17" i="23"/>
  <c r="H126" i="23" s="1"/>
  <c r="E17" i="23"/>
  <c r="G17" i="23" s="1"/>
  <c r="F16" i="23"/>
  <c r="H125" i="23" s="1"/>
  <c r="E16" i="23"/>
  <c r="F15" i="23"/>
  <c r="H124" i="23" s="1"/>
  <c r="E15" i="23"/>
  <c r="G14" i="23"/>
  <c r="F14" i="23"/>
  <c r="H123" i="23" s="1"/>
  <c r="E14" i="23"/>
  <c r="F13" i="23"/>
  <c r="F28" i="23" s="1"/>
  <c r="F98" i="23" s="1"/>
  <c r="E13" i="23"/>
  <c r="H10" i="23"/>
  <c r="D10" i="23"/>
  <c r="H9" i="23"/>
  <c r="D9" i="23"/>
  <c r="H8" i="23"/>
  <c r="D8" i="23"/>
  <c r="H7" i="23"/>
  <c r="D7" i="23" a="1"/>
  <c r="D7" i="23" s="1"/>
  <c r="H6" i="23"/>
  <c r="D6" i="23"/>
  <c r="H5" i="23"/>
  <c r="D5" i="23"/>
  <c r="H4" i="23"/>
  <c r="D4" i="23"/>
  <c r="H3" i="23"/>
  <c r="D119" i="23" s="1"/>
  <c r="D164" i="23" s="1"/>
  <c r="D3" i="23"/>
  <c r="B119" i="23" s="1"/>
  <c r="B164" i="23" s="1"/>
  <c r="H2" i="23"/>
  <c r="E2" i="23"/>
  <c r="E165" i="23" s="1"/>
  <c r="E16" i="14"/>
  <c r="L217" i="14"/>
  <c r="D207" i="14"/>
  <c r="H205" i="14"/>
  <c r="B205" i="14"/>
  <c r="H204" i="14"/>
  <c r="G204" i="14"/>
  <c r="F204" i="14"/>
  <c r="E204" i="14"/>
  <c r="D204" i="14"/>
  <c r="C204" i="14"/>
  <c r="B204" i="14"/>
  <c r="H203" i="14"/>
  <c r="G203" i="14"/>
  <c r="F203" i="14"/>
  <c r="E203" i="14"/>
  <c r="D203" i="14"/>
  <c r="C203" i="14"/>
  <c r="B203" i="14"/>
  <c r="H202" i="14"/>
  <c r="G202" i="14"/>
  <c r="F202" i="14"/>
  <c r="E202" i="14"/>
  <c r="D202" i="14"/>
  <c r="C202" i="14"/>
  <c r="B202" i="14"/>
  <c r="H201" i="14"/>
  <c r="G201" i="14"/>
  <c r="F201" i="14"/>
  <c r="E201" i="14"/>
  <c r="D201" i="14"/>
  <c r="C201" i="14"/>
  <c r="B201" i="14"/>
  <c r="H200" i="14"/>
  <c r="G200" i="14"/>
  <c r="F200" i="14"/>
  <c r="E200" i="14"/>
  <c r="D200" i="14"/>
  <c r="C200" i="14"/>
  <c r="B200" i="14"/>
  <c r="H199" i="14"/>
  <c r="G199" i="14"/>
  <c r="F199" i="14"/>
  <c r="E199" i="14"/>
  <c r="D199" i="14"/>
  <c r="C199" i="14"/>
  <c r="B199" i="14"/>
  <c r="H198" i="14"/>
  <c r="G198" i="14"/>
  <c r="F198" i="14"/>
  <c r="E198" i="14"/>
  <c r="D198" i="14"/>
  <c r="C198" i="14"/>
  <c r="B198" i="14"/>
  <c r="H197" i="14"/>
  <c r="G197" i="14"/>
  <c r="F197" i="14"/>
  <c r="E197" i="14"/>
  <c r="D197" i="14"/>
  <c r="C197" i="14"/>
  <c r="B197" i="14"/>
  <c r="H196" i="14"/>
  <c r="G196" i="14"/>
  <c r="F196" i="14"/>
  <c r="E196" i="14"/>
  <c r="D196" i="14"/>
  <c r="C196" i="14"/>
  <c r="B196" i="14"/>
  <c r="H195" i="14"/>
  <c r="G195" i="14"/>
  <c r="F195" i="14"/>
  <c r="E195" i="14"/>
  <c r="D195" i="14"/>
  <c r="B195" i="14"/>
  <c r="H194" i="14"/>
  <c r="G194" i="14"/>
  <c r="F194" i="14"/>
  <c r="E194" i="14"/>
  <c r="D194" i="14"/>
  <c r="B194" i="14"/>
  <c r="H193" i="14"/>
  <c r="G193" i="14"/>
  <c r="F193" i="14"/>
  <c r="E193" i="14"/>
  <c r="D193" i="14"/>
  <c r="B193" i="14"/>
  <c r="H192" i="14"/>
  <c r="G192" i="14"/>
  <c r="F192" i="14"/>
  <c r="E192" i="14"/>
  <c r="D192" i="14"/>
  <c r="B192" i="14"/>
  <c r="H191" i="14"/>
  <c r="G191" i="14"/>
  <c r="F191" i="14"/>
  <c r="E191" i="14"/>
  <c r="D191" i="14"/>
  <c r="B191" i="14"/>
  <c r="G190" i="14"/>
  <c r="F190" i="14"/>
  <c r="E190" i="14"/>
  <c r="D190" i="14"/>
  <c r="C190" i="14"/>
  <c r="B190" i="14"/>
  <c r="G189" i="14"/>
  <c r="F189" i="14"/>
  <c r="E189" i="14"/>
  <c r="D189" i="14"/>
  <c r="B189" i="14"/>
  <c r="G188" i="14"/>
  <c r="F188" i="14"/>
  <c r="E188" i="14"/>
  <c r="D188" i="14"/>
  <c r="C188" i="14"/>
  <c r="B188" i="14"/>
  <c r="G187" i="14"/>
  <c r="F187" i="14"/>
  <c r="E187" i="14"/>
  <c r="D187" i="14"/>
  <c r="C187" i="14"/>
  <c r="B187" i="14"/>
  <c r="H186" i="14"/>
  <c r="G186" i="14"/>
  <c r="E186" i="14"/>
  <c r="D186" i="14"/>
  <c r="C186" i="14"/>
  <c r="B186" i="14"/>
  <c r="H185" i="14"/>
  <c r="G185" i="14"/>
  <c r="E185" i="14"/>
  <c r="D185" i="14"/>
  <c r="C185" i="14"/>
  <c r="B185" i="14"/>
  <c r="H184" i="14"/>
  <c r="G184" i="14"/>
  <c r="E184" i="14"/>
  <c r="D184" i="14"/>
  <c r="C184" i="14"/>
  <c r="B184" i="14"/>
  <c r="H183" i="14"/>
  <c r="G183" i="14"/>
  <c r="E183" i="14"/>
  <c r="D183" i="14"/>
  <c r="C183" i="14"/>
  <c r="B183" i="14"/>
  <c r="H182" i="14"/>
  <c r="G182" i="14"/>
  <c r="E182" i="14"/>
  <c r="D182" i="14"/>
  <c r="C182" i="14"/>
  <c r="B182" i="14"/>
  <c r="G181" i="14"/>
  <c r="E181" i="14"/>
  <c r="D181" i="14"/>
  <c r="B181" i="14"/>
  <c r="G180" i="14"/>
  <c r="E180" i="14"/>
  <c r="D180" i="14"/>
  <c r="B180" i="14"/>
  <c r="G179" i="14"/>
  <c r="E179" i="14"/>
  <c r="D179" i="14"/>
  <c r="B179" i="14"/>
  <c r="G178" i="14"/>
  <c r="E178" i="14"/>
  <c r="D178" i="14"/>
  <c r="B178" i="14"/>
  <c r="G177" i="14"/>
  <c r="E177" i="14"/>
  <c r="D177" i="14"/>
  <c r="B177" i="14"/>
  <c r="G176" i="14"/>
  <c r="E176" i="14"/>
  <c r="D176" i="14"/>
  <c r="B176" i="14"/>
  <c r="G175" i="14"/>
  <c r="E175" i="14"/>
  <c r="D175" i="14"/>
  <c r="B175" i="14"/>
  <c r="G174" i="14"/>
  <c r="E174" i="14"/>
  <c r="D174" i="14"/>
  <c r="B174" i="14"/>
  <c r="G173" i="14"/>
  <c r="E173" i="14"/>
  <c r="D173" i="14"/>
  <c r="B173" i="14"/>
  <c r="G172" i="14"/>
  <c r="E172" i="14"/>
  <c r="D172" i="14"/>
  <c r="B172" i="14"/>
  <c r="G171" i="14"/>
  <c r="E171" i="14"/>
  <c r="D171" i="14"/>
  <c r="B171" i="14"/>
  <c r="G170" i="14"/>
  <c r="E170" i="14"/>
  <c r="D170" i="14"/>
  <c r="B170" i="14"/>
  <c r="G169" i="14"/>
  <c r="E169" i="14"/>
  <c r="D169" i="14"/>
  <c r="B169" i="14"/>
  <c r="G168" i="14"/>
  <c r="E168" i="14"/>
  <c r="D168" i="14"/>
  <c r="B168" i="14"/>
  <c r="G167" i="14"/>
  <c r="E167" i="14"/>
  <c r="D167" i="14"/>
  <c r="B167" i="14"/>
  <c r="B165" i="14"/>
  <c r="D162" i="14"/>
  <c r="H160" i="14"/>
  <c r="B160" i="14"/>
  <c r="C159" i="14"/>
  <c r="B159" i="14"/>
  <c r="B158" i="14"/>
  <c r="B157" i="14"/>
  <c r="B156" i="14"/>
  <c r="B155" i="14"/>
  <c r="E154" i="14"/>
  <c r="C154" i="14"/>
  <c r="B154" i="14"/>
  <c r="E153" i="14"/>
  <c r="C153" i="14"/>
  <c r="B153" i="14"/>
  <c r="E152" i="14"/>
  <c r="C152" i="14"/>
  <c r="B152" i="14"/>
  <c r="F151" i="14"/>
  <c r="E151" i="14"/>
  <c r="D151" i="14"/>
  <c r="C151" i="14"/>
  <c r="B151" i="14"/>
  <c r="F150" i="14"/>
  <c r="E150" i="14"/>
  <c r="D150" i="14"/>
  <c r="C150" i="14"/>
  <c r="B150" i="14"/>
  <c r="G149" i="14"/>
  <c r="E149" i="14"/>
  <c r="D149" i="14"/>
  <c r="C149" i="14"/>
  <c r="B149" i="14"/>
  <c r="G148" i="14"/>
  <c r="F148" i="14"/>
  <c r="E148" i="14"/>
  <c r="D148" i="14"/>
  <c r="B148" i="14"/>
  <c r="G147" i="14"/>
  <c r="F147" i="14"/>
  <c r="E147" i="14"/>
  <c r="D147" i="14"/>
  <c r="B147" i="14"/>
  <c r="G146" i="14"/>
  <c r="F146" i="14"/>
  <c r="E146" i="14"/>
  <c r="D146" i="14"/>
  <c r="B146" i="14"/>
  <c r="G145" i="14"/>
  <c r="F145" i="14"/>
  <c r="E145" i="14"/>
  <c r="D145" i="14"/>
  <c r="B145" i="14"/>
  <c r="G144" i="14"/>
  <c r="F144" i="14"/>
  <c r="E144" i="14"/>
  <c r="D144" i="14"/>
  <c r="B144" i="14"/>
  <c r="G143" i="14"/>
  <c r="F143" i="14"/>
  <c r="E143" i="14"/>
  <c r="D143" i="14"/>
  <c r="B143" i="14"/>
  <c r="G142" i="14"/>
  <c r="F142" i="14"/>
  <c r="E142" i="14"/>
  <c r="D142" i="14"/>
  <c r="B142" i="14"/>
  <c r="G141" i="14"/>
  <c r="F141" i="14"/>
  <c r="E141" i="14"/>
  <c r="D141" i="14"/>
  <c r="B141" i="14"/>
  <c r="G140" i="14"/>
  <c r="F140" i="14"/>
  <c r="E140" i="14"/>
  <c r="D140" i="14"/>
  <c r="B140" i="14"/>
  <c r="G139" i="14"/>
  <c r="F139" i="14"/>
  <c r="E139" i="14"/>
  <c r="D139" i="14"/>
  <c r="B139" i="14"/>
  <c r="G138" i="14"/>
  <c r="F138" i="14"/>
  <c r="E138" i="14"/>
  <c r="D138" i="14"/>
  <c r="B138" i="14"/>
  <c r="G137" i="14"/>
  <c r="F137" i="14"/>
  <c r="E137" i="14"/>
  <c r="D137" i="14"/>
  <c r="B137" i="14"/>
  <c r="G136" i="14"/>
  <c r="F136" i="14"/>
  <c r="E136" i="14"/>
  <c r="D136" i="14"/>
  <c r="B136" i="14"/>
  <c r="G135" i="14"/>
  <c r="F135" i="14"/>
  <c r="E135" i="14"/>
  <c r="D135" i="14"/>
  <c r="B135" i="14"/>
  <c r="F134" i="14"/>
  <c r="E134" i="14"/>
  <c r="D134" i="14"/>
  <c r="C134" i="14"/>
  <c r="B134" i="14"/>
  <c r="H133" i="14"/>
  <c r="F133" i="14"/>
  <c r="E133" i="14"/>
  <c r="D133" i="14"/>
  <c r="C133" i="14"/>
  <c r="B133" i="14"/>
  <c r="F132" i="14"/>
  <c r="E132" i="14"/>
  <c r="D132" i="14"/>
  <c r="C132" i="14"/>
  <c r="B132" i="14"/>
  <c r="F131" i="14"/>
  <c r="E131" i="14"/>
  <c r="D131" i="14"/>
  <c r="C131" i="14"/>
  <c r="B131" i="14"/>
  <c r="F130" i="14"/>
  <c r="E130" i="14"/>
  <c r="D130" i="14"/>
  <c r="C130" i="14"/>
  <c r="B130" i="14"/>
  <c r="F129" i="14"/>
  <c r="E129" i="14"/>
  <c r="D129" i="14"/>
  <c r="C129" i="14"/>
  <c r="B129" i="14"/>
  <c r="F128" i="14"/>
  <c r="E128" i="14"/>
  <c r="D128" i="14"/>
  <c r="C128" i="14"/>
  <c r="B128" i="14"/>
  <c r="F127" i="14"/>
  <c r="E127" i="14"/>
  <c r="D127" i="14"/>
  <c r="C127" i="14"/>
  <c r="B127" i="14"/>
  <c r="F126" i="14"/>
  <c r="E126" i="14"/>
  <c r="D126" i="14"/>
  <c r="C126" i="14"/>
  <c r="B126" i="14"/>
  <c r="F125" i="14"/>
  <c r="E125" i="14"/>
  <c r="D125" i="14"/>
  <c r="C125" i="14"/>
  <c r="B125" i="14"/>
  <c r="F124" i="14"/>
  <c r="E124" i="14"/>
  <c r="D124" i="14"/>
  <c r="C124" i="14"/>
  <c r="B124" i="14"/>
  <c r="F123" i="14"/>
  <c r="E123" i="14"/>
  <c r="D123" i="14"/>
  <c r="C123" i="14"/>
  <c r="B123" i="14"/>
  <c r="F122" i="14"/>
  <c r="E122" i="14"/>
  <c r="D122" i="14"/>
  <c r="C122" i="14"/>
  <c r="B122" i="14"/>
  <c r="B120" i="14"/>
  <c r="H116" i="14"/>
  <c r="F115" i="14"/>
  <c r="C117" i="14" s="1"/>
  <c r="H114" i="14"/>
  <c r="F112" i="14"/>
  <c r="H111" i="14"/>
  <c r="H96" i="14"/>
  <c r="F96" i="14"/>
  <c r="E96" i="14"/>
  <c r="G95" i="14"/>
  <c r="G94" i="14"/>
  <c r="G93" i="14"/>
  <c r="G92" i="14"/>
  <c r="G91" i="14"/>
  <c r="G90" i="14"/>
  <c r="G87" i="14"/>
  <c r="H87" i="14" s="1"/>
  <c r="G86" i="14"/>
  <c r="H86" i="14" s="1"/>
  <c r="G85" i="14"/>
  <c r="H85" i="14" s="1"/>
  <c r="G84" i="14"/>
  <c r="H84" i="14" s="1"/>
  <c r="H83" i="14"/>
  <c r="G83" i="14"/>
  <c r="G82" i="14"/>
  <c r="H82" i="14" s="1"/>
  <c r="H81" i="14"/>
  <c r="G81" i="14"/>
  <c r="G80" i="14"/>
  <c r="H80" i="14" s="1"/>
  <c r="F79" i="14"/>
  <c r="H190" i="14" s="1"/>
  <c r="E79" i="14"/>
  <c r="F78" i="14"/>
  <c r="H189" i="14" s="1"/>
  <c r="E78" i="14"/>
  <c r="B78" i="14" a="1"/>
  <c r="B78" i="14" s="1"/>
  <c r="N75" i="14"/>
  <c r="G75" i="14"/>
  <c r="H151" i="14" s="1"/>
  <c r="F75" i="14"/>
  <c r="E75" i="14"/>
  <c r="E76" i="14" s="1"/>
  <c r="F74" i="14"/>
  <c r="H187" i="14" s="1"/>
  <c r="C64" i="14"/>
  <c r="B64" i="14"/>
  <c r="F64" i="14" s="1"/>
  <c r="H64" i="14" s="1"/>
  <c r="H148" i="14" s="1"/>
  <c r="C63" i="14"/>
  <c r="B63" i="14"/>
  <c r="C147" i="14" s="1"/>
  <c r="C62" i="14"/>
  <c r="B62" i="14"/>
  <c r="C146" i="14" s="1"/>
  <c r="C61" i="14"/>
  <c r="B61" i="14"/>
  <c r="E61" i="14" s="1"/>
  <c r="C60" i="14"/>
  <c r="B60" i="14"/>
  <c r="F60" i="14" s="1"/>
  <c r="H60" i="14" s="1"/>
  <c r="H144" i="14" s="1"/>
  <c r="C59" i="14"/>
  <c r="B59" i="14"/>
  <c r="C143" i="14" s="1"/>
  <c r="C58" i="14"/>
  <c r="B58" i="14"/>
  <c r="C142" i="14" s="1"/>
  <c r="C57" i="14"/>
  <c r="B57" i="14"/>
  <c r="E57" i="14" s="1"/>
  <c r="C56" i="14"/>
  <c r="B56" i="14"/>
  <c r="F56" i="14" s="1"/>
  <c r="H56" i="14" s="1"/>
  <c r="H140" i="14" s="1"/>
  <c r="C55" i="14"/>
  <c r="B55" i="14"/>
  <c r="C139" i="14" s="1"/>
  <c r="C54" i="14"/>
  <c r="B54" i="14"/>
  <c r="C138" i="14" s="1"/>
  <c r="C53" i="14"/>
  <c r="B53" i="14"/>
  <c r="E53" i="14" s="1"/>
  <c r="C52" i="14"/>
  <c r="B52" i="14"/>
  <c r="F52" i="14" s="1"/>
  <c r="H52" i="14" s="1"/>
  <c r="H136" i="14" s="1"/>
  <c r="C51" i="14"/>
  <c r="B51" i="14"/>
  <c r="C135" i="14" s="1"/>
  <c r="C50" i="14"/>
  <c r="B50" i="14"/>
  <c r="C181" i="14" s="1"/>
  <c r="C49" i="14"/>
  <c r="B49" i="14"/>
  <c r="C180" i="14" s="1"/>
  <c r="C48" i="14"/>
  <c r="B48" i="14"/>
  <c r="C179" i="14" s="1"/>
  <c r="C47" i="14"/>
  <c r="B47" i="14"/>
  <c r="C178" i="14" s="1"/>
  <c r="C46" i="14"/>
  <c r="B46" i="14"/>
  <c r="C177" i="14" s="1"/>
  <c r="C45" i="14"/>
  <c r="B45" i="14"/>
  <c r="C176" i="14" s="1"/>
  <c r="C44" i="14"/>
  <c r="B44" i="14"/>
  <c r="C175" i="14" s="1"/>
  <c r="C43" i="14"/>
  <c r="B43" i="14"/>
  <c r="C174" i="14" s="1"/>
  <c r="C42" i="14"/>
  <c r="B42" i="14"/>
  <c r="C173" i="14" s="1"/>
  <c r="C41" i="14"/>
  <c r="B41" i="14"/>
  <c r="C172" i="14" s="1"/>
  <c r="C40" i="14"/>
  <c r="B40" i="14"/>
  <c r="C171" i="14" s="1"/>
  <c r="C39" i="14"/>
  <c r="B39" i="14"/>
  <c r="C170" i="14" s="1"/>
  <c r="C38" i="14"/>
  <c r="B38" i="14"/>
  <c r="C169" i="14" s="1"/>
  <c r="C37" i="14"/>
  <c r="B37" i="14"/>
  <c r="C168" i="14" s="1"/>
  <c r="F36" i="14"/>
  <c r="E36" i="14"/>
  <c r="B36" i="14" a="1"/>
  <c r="B36" i="14" s="1"/>
  <c r="C167" i="14" s="1"/>
  <c r="H33" i="14"/>
  <c r="F33" i="14"/>
  <c r="E33" i="14"/>
  <c r="G32" i="14"/>
  <c r="G30" i="14"/>
  <c r="H28" i="14"/>
  <c r="H98" i="14" s="1"/>
  <c r="G27" i="14"/>
  <c r="F27" i="14"/>
  <c r="F26" i="14"/>
  <c r="G26" i="14" s="1"/>
  <c r="F25" i="14"/>
  <c r="E25" i="14"/>
  <c r="F23" i="14"/>
  <c r="H132" i="14" s="1"/>
  <c r="E23" i="14"/>
  <c r="G23" i="14" s="1"/>
  <c r="F22" i="14"/>
  <c r="H131" i="14" s="1"/>
  <c r="E22" i="14"/>
  <c r="G22" i="14" s="1"/>
  <c r="F21" i="14"/>
  <c r="H130" i="14" s="1"/>
  <c r="E21" i="14"/>
  <c r="G21" i="14" s="1"/>
  <c r="F20" i="14"/>
  <c r="G20" i="14" s="1"/>
  <c r="E20" i="14"/>
  <c r="F19" i="14"/>
  <c r="H128" i="14" s="1"/>
  <c r="E19" i="14"/>
  <c r="F18" i="14"/>
  <c r="H127" i="14" s="1"/>
  <c r="E18" i="14"/>
  <c r="F17" i="14"/>
  <c r="H126" i="14" s="1"/>
  <c r="E17" i="14"/>
  <c r="G17" i="14" s="1"/>
  <c r="F16" i="14"/>
  <c r="H125" i="14" s="1"/>
  <c r="F15" i="14"/>
  <c r="H124" i="14" s="1"/>
  <c r="E15" i="14"/>
  <c r="F14" i="14"/>
  <c r="H123" i="14" s="1"/>
  <c r="E14" i="14"/>
  <c r="F13" i="14"/>
  <c r="E13" i="14"/>
  <c r="E28" i="14" s="1"/>
  <c r="E98" i="14" s="1"/>
  <c r="H10" i="14"/>
  <c r="D10" i="14"/>
  <c r="H9" i="14"/>
  <c r="D9" i="14"/>
  <c r="H8" i="14"/>
  <c r="D8" i="14"/>
  <c r="H7" i="14"/>
  <c r="D7" i="14" a="1"/>
  <c r="D7" i="14" s="1"/>
  <c r="H6" i="14"/>
  <c r="D6" i="14"/>
  <c r="H5" i="14"/>
  <c r="D5" i="14"/>
  <c r="H4" i="14"/>
  <c r="D4" i="14"/>
  <c r="H3" i="14"/>
  <c r="D119" i="14" s="1"/>
  <c r="D164" i="14" s="1"/>
  <c r="D3" i="14"/>
  <c r="B119" i="14" s="1"/>
  <c r="B164" i="14" s="1"/>
  <c r="H2" i="14"/>
  <c r="E2" i="14"/>
  <c r="E165" i="14" s="1"/>
  <c r="G13" i="23" l="1"/>
  <c r="G15" i="23"/>
  <c r="G20" i="23"/>
  <c r="G21" i="23"/>
  <c r="G23" i="23"/>
  <c r="H75" i="23"/>
  <c r="H76" i="23" s="1"/>
  <c r="E28" i="23"/>
  <c r="E98" i="23" s="1"/>
  <c r="G16" i="23"/>
  <c r="G19" i="23"/>
  <c r="G25" i="23"/>
  <c r="G96" i="14"/>
  <c r="H154" i="14" s="1"/>
  <c r="G96" i="23"/>
  <c r="H154" i="23" s="1"/>
  <c r="G28" i="23"/>
  <c r="E59" i="23"/>
  <c r="E58" i="23"/>
  <c r="E41" i="23"/>
  <c r="E38" i="23"/>
  <c r="E49" i="23"/>
  <c r="F58" i="23"/>
  <c r="H58" i="23" s="1"/>
  <c r="H142" i="23" s="1"/>
  <c r="G34" i="23"/>
  <c r="G72" i="23" s="1"/>
  <c r="C177" i="23"/>
  <c r="E46" i="23"/>
  <c r="E37" i="23"/>
  <c r="E45" i="23"/>
  <c r="E42" i="23"/>
  <c r="E50" i="23"/>
  <c r="E62" i="23"/>
  <c r="E63" i="23"/>
  <c r="F62" i="23"/>
  <c r="H62" i="23" s="1"/>
  <c r="H146" i="23" s="1"/>
  <c r="E40" i="23"/>
  <c r="E44" i="23"/>
  <c r="E48" i="23"/>
  <c r="E54" i="23"/>
  <c r="E55" i="23"/>
  <c r="E39" i="23"/>
  <c r="E43" i="23"/>
  <c r="E47" i="23"/>
  <c r="E51" i="23"/>
  <c r="F54" i="23"/>
  <c r="H54" i="23" s="1"/>
  <c r="H138" i="23" s="1"/>
  <c r="G98" i="23"/>
  <c r="H152" i="23"/>
  <c r="C189" i="23"/>
  <c r="B83" i="23"/>
  <c r="C194" i="23" s="1"/>
  <c r="B84" i="23"/>
  <c r="C195" i="23" s="1"/>
  <c r="B80" i="23"/>
  <c r="C191" i="23" s="1"/>
  <c r="B81" i="23"/>
  <c r="C192" i="23" s="1"/>
  <c r="B82" i="23"/>
  <c r="C193" i="23" s="1"/>
  <c r="G78" i="23"/>
  <c r="G79" i="23"/>
  <c r="H79" i="23" s="1"/>
  <c r="F88" i="23"/>
  <c r="H122" i="23"/>
  <c r="C137" i="23"/>
  <c r="C141" i="23"/>
  <c r="C145" i="23"/>
  <c r="F37" i="23"/>
  <c r="H168" i="23" s="1"/>
  <c r="F38" i="23"/>
  <c r="H169" i="23" s="1"/>
  <c r="F39" i="23"/>
  <c r="H170" i="23" s="1"/>
  <c r="F40" i="23"/>
  <c r="H171" i="23" s="1"/>
  <c r="F41" i="23"/>
  <c r="H172" i="23" s="1"/>
  <c r="F42" i="23"/>
  <c r="H173" i="23" s="1"/>
  <c r="F43" i="23"/>
  <c r="H174" i="23" s="1"/>
  <c r="F44" i="23"/>
  <c r="H175" i="23" s="1"/>
  <c r="F45" i="23"/>
  <c r="H176" i="23" s="1"/>
  <c r="F46" i="23"/>
  <c r="H177" i="23" s="1"/>
  <c r="F47" i="23"/>
  <c r="H178" i="23" s="1"/>
  <c r="F48" i="23"/>
  <c r="H179" i="23" s="1"/>
  <c r="F49" i="23"/>
  <c r="H180" i="23" s="1"/>
  <c r="F50" i="23"/>
  <c r="H181" i="23" s="1"/>
  <c r="F51" i="23"/>
  <c r="H51" i="23" s="1"/>
  <c r="E52" i="23"/>
  <c r="F55" i="23"/>
  <c r="H55" i="23" s="1"/>
  <c r="H139" i="23" s="1"/>
  <c r="E56" i="23"/>
  <c r="F59" i="23"/>
  <c r="H59" i="23" s="1"/>
  <c r="H143" i="23" s="1"/>
  <c r="E60" i="23"/>
  <c r="F63" i="23"/>
  <c r="H63" i="23" s="1"/>
  <c r="H147" i="23" s="1"/>
  <c r="E64" i="23"/>
  <c r="F76" i="23"/>
  <c r="C136" i="23"/>
  <c r="C140" i="23"/>
  <c r="C144" i="23"/>
  <c r="C148" i="23"/>
  <c r="H167" i="23"/>
  <c r="H188" i="23"/>
  <c r="E53" i="23"/>
  <c r="E57" i="23"/>
  <c r="E61" i="23"/>
  <c r="E120" i="23"/>
  <c r="F28" i="14"/>
  <c r="F98" i="14" s="1"/>
  <c r="G15" i="14"/>
  <c r="G19" i="14"/>
  <c r="G25" i="14"/>
  <c r="G13" i="14"/>
  <c r="H75" i="14"/>
  <c r="H76" i="14" s="1"/>
  <c r="E88" i="14"/>
  <c r="G14" i="14"/>
  <c r="G18" i="14"/>
  <c r="G34" i="14"/>
  <c r="G72" i="14" s="1"/>
  <c r="F57" i="14"/>
  <c r="H57" i="14" s="1"/>
  <c r="H141" i="14" s="1"/>
  <c r="F61" i="14"/>
  <c r="H61" i="14" s="1"/>
  <c r="H145" i="14" s="1"/>
  <c r="F53" i="14"/>
  <c r="H53" i="14" s="1"/>
  <c r="H137" i="14" s="1"/>
  <c r="E55" i="14"/>
  <c r="E63" i="14"/>
  <c r="E37" i="14"/>
  <c r="E38" i="14"/>
  <c r="E39" i="14"/>
  <c r="E40" i="14"/>
  <c r="E41" i="14"/>
  <c r="E42" i="14"/>
  <c r="E43" i="14"/>
  <c r="E44" i="14"/>
  <c r="E45" i="14"/>
  <c r="E46" i="14"/>
  <c r="E47" i="14"/>
  <c r="E48" i="14"/>
  <c r="E49" i="14"/>
  <c r="E50" i="14"/>
  <c r="E51" i="14"/>
  <c r="E59" i="14"/>
  <c r="F37" i="14"/>
  <c r="H168" i="14" s="1"/>
  <c r="F38" i="14"/>
  <c r="H169" i="14" s="1"/>
  <c r="F39" i="14"/>
  <c r="H170" i="14" s="1"/>
  <c r="F40" i="14"/>
  <c r="H171" i="14" s="1"/>
  <c r="F41" i="14"/>
  <c r="H172" i="14" s="1"/>
  <c r="F42" i="14"/>
  <c r="H173" i="14" s="1"/>
  <c r="F43" i="14"/>
  <c r="H174" i="14" s="1"/>
  <c r="F44" i="14"/>
  <c r="H175" i="14" s="1"/>
  <c r="F45" i="14"/>
  <c r="H176" i="14" s="1"/>
  <c r="F46" i="14"/>
  <c r="H177" i="14" s="1"/>
  <c r="F47" i="14"/>
  <c r="H178" i="14" s="1"/>
  <c r="F48" i="14"/>
  <c r="H179" i="14" s="1"/>
  <c r="F49" i="14"/>
  <c r="H180" i="14" s="1"/>
  <c r="F50" i="14"/>
  <c r="H181" i="14" s="1"/>
  <c r="F51" i="14"/>
  <c r="H51" i="14" s="1"/>
  <c r="H135" i="14" s="1"/>
  <c r="E54" i="14"/>
  <c r="F55" i="14"/>
  <c r="H55" i="14" s="1"/>
  <c r="H139" i="14" s="1"/>
  <c r="E58" i="14"/>
  <c r="F59" i="14"/>
  <c r="H59" i="14" s="1"/>
  <c r="H143" i="14" s="1"/>
  <c r="E62" i="14"/>
  <c r="F63" i="14"/>
  <c r="H63" i="14" s="1"/>
  <c r="H147" i="14" s="1"/>
  <c r="C189" i="14"/>
  <c r="B83" i="14"/>
  <c r="C194" i="14" s="1"/>
  <c r="B84" i="14"/>
  <c r="C195" i="14" s="1"/>
  <c r="B80" i="14"/>
  <c r="C191" i="14" s="1"/>
  <c r="B81" i="14"/>
  <c r="C192" i="14" s="1"/>
  <c r="B82" i="14"/>
  <c r="C193" i="14" s="1"/>
  <c r="F54" i="14"/>
  <c r="H54" i="14" s="1"/>
  <c r="H138" i="14" s="1"/>
  <c r="F58" i="14"/>
  <c r="H58" i="14" s="1"/>
  <c r="H142" i="14" s="1"/>
  <c r="F62" i="14"/>
  <c r="H62" i="14" s="1"/>
  <c r="H146" i="14" s="1"/>
  <c r="G78" i="14"/>
  <c r="G79" i="14"/>
  <c r="H79" i="14" s="1"/>
  <c r="F88" i="14"/>
  <c r="H122" i="14"/>
  <c r="H134" i="14"/>
  <c r="C137" i="14"/>
  <c r="C141" i="14"/>
  <c r="C145" i="14"/>
  <c r="G16" i="14"/>
  <c r="G28" i="14" s="1"/>
  <c r="E52" i="14"/>
  <c r="E56" i="14"/>
  <c r="E60" i="14"/>
  <c r="E64" i="14"/>
  <c r="F76" i="14"/>
  <c r="C136" i="14"/>
  <c r="C140" i="14"/>
  <c r="C144" i="14"/>
  <c r="C148" i="14"/>
  <c r="H167" i="14"/>
  <c r="H188" i="14"/>
  <c r="E120" i="14"/>
  <c r="H129" i="14"/>
  <c r="C41" i="2"/>
  <c r="C40" i="2"/>
  <c r="C39" i="2"/>
  <c r="C38" i="2"/>
  <c r="C37" i="2"/>
  <c r="C36" i="2"/>
  <c r="C35" i="2"/>
  <c r="C34" i="2"/>
  <c r="E72" i="23" l="1"/>
  <c r="E99" i="23" s="1"/>
  <c r="E101" i="23" s="1"/>
  <c r="G88" i="23"/>
  <c r="H78" i="23"/>
  <c r="H88" i="23" s="1"/>
  <c r="F70" i="23"/>
  <c r="H149" i="23" s="1"/>
  <c r="H207" i="23"/>
  <c r="H135" i="23"/>
  <c r="H72" i="23"/>
  <c r="H99" i="23" s="1"/>
  <c r="H101" i="23" s="1"/>
  <c r="E72" i="14"/>
  <c r="E99" i="14" s="1"/>
  <c r="E101" i="14" s="1"/>
  <c r="G98" i="14"/>
  <c r="H152" i="14"/>
  <c r="G88" i="14"/>
  <c r="H78" i="14"/>
  <c r="H88" i="14" s="1"/>
  <c r="F70" i="14"/>
  <c r="H149" i="14" s="1"/>
  <c r="H72" i="14"/>
  <c r="H207" i="14"/>
  <c r="G204" i="1"/>
  <c r="G203" i="1"/>
  <c r="G202" i="1"/>
  <c r="G201" i="1"/>
  <c r="G200" i="1"/>
  <c r="G199" i="1"/>
  <c r="F204" i="1"/>
  <c r="F203" i="1"/>
  <c r="F202" i="1"/>
  <c r="F201" i="1"/>
  <c r="F200" i="1"/>
  <c r="F199" i="1"/>
  <c r="G198" i="1"/>
  <c r="G197" i="1"/>
  <c r="G196" i="1"/>
  <c r="G195" i="1"/>
  <c r="G194" i="1"/>
  <c r="G193" i="1"/>
  <c r="G192" i="1"/>
  <c r="G191" i="1"/>
  <c r="G190" i="1"/>
  <c r="G189" i="1"/>
  <c r="F198" i="1"/>
  <c r="F197" i="1"/>
  <c r="F196" i="1"/>
  <c r="F195" i="1"/>
  <c r="F194" i="1"/>
  <c r="F193" i="1"/>
  <c r="F192" i="1"/>
  <c r="F191" i="1"/>
  <c r="F190" i="1"/>
  <c r="F189" i="1"/>
  <c r="G188" i="1"/>
  <c r="G187" i="1"/>
  <c r="F188" i="1"/>
  <c r="F187" i="1"/>
  <c r="F151" i="1"/>
  <c r="F150" i="1"/>
  <c r="G148" i="1"/>
  <c r="F148" i="1"/>
  <c r="G147" i="1"/>
  <c r="F147" i="1"/>
  <c r="G146" i="1"/>
  <c r="F146" i="1"/>
  <c r="G145" i="1"/>
  <c r="F145" i="1"/>
  <c r="G144" i="1"/>
  <c r="F144" i="1"/>
  <c r="G143" i="1"/>
  <c r="F143" i="1"/>
  <c r="G142" i="1"/>
  <c r="F142" i="1"/>
  <c r="G141" i="1"/>
  <c r="F141" i="1"/>
  <c r="G140" i="1"/>
  <c r="F140" i="1"/>
  <c r="G139" i="1"/>
  <c r="F139" i="1"/>
  <c r="G138" i="1"/>
  <c r="F138" i="1"/>
  <c r="G137" i="1"/>
  <c r="F137" i="1"/>
  <c r="G136" i="1"/>
  <c r="F136" i="1"/>
  <c r="G135" i="1"/>
  <c r="F135" i="1"/>
  <c r="H205" i="1"/>
  <c r="H160" i="1"/>
  <c r="F134" i="1"/>
  <c r="F133" i="1"/>
  <c r="F132" i="1"/>
  <c r="F131" i="1"/>
  <c r="F130" i="1"/>
  <c r="F129" i="1"/>
  <c r="F128" i="1"/>
  <c r="F127" i="1"/>
  <c r="F126" i="1"/>
  <c r="F125" i="1"/>
  <c r="F124" i="1"/>
  <c r="F123" i="1"/>
  <c r="F122" i="1"/>
  <c r="E152" i="1"/>
  <c r="E153" i="1"/>
  <c r="E154" i="1"/>
  <c r="B165" i="1"/>
  <c r="B120" i="1"/>
  <c r="F72" i="23" l="1"/>
  <c r="F99" i="23" s="1"/>
  <c r="F101" i="23" s="1"/>
  <c r="H99" i="14"/>
  <c r="H101" i="14" s="1"/>
  <c r="F72" i="14"/>
  <c r="F99" i="14" s="1"/>
  <c r="F101" i="14" s="1"/>
  <c r="B205" i="1"/>
  <c r="B160" i="1"/>
  <c r="E204" i="1"/>
  <c r="D204" i="1"/>
  <c r="C204" i="1"/>
  <c r="E203" i="1"/>
  <c r="D203" i="1"/>
  <c r="C203" i="1"/>
  <c r="E202" i="1"/>
  <c r="D202" i="1"/>
  <c r="E201" i="1"/>
  <c r="D201" i="1"/>
  <c r="E200" i="1"/>
  <c r="D200" i="1"/>
  <c r="E199" i="1"/>
  <c r="D199" i="1"/>
  <c r="E198" i="1"/>
  <c r="D198" i="1"/>
  <c r="E197" i="1"/>
  <c r="D197" i="1"/>
  <c r="E196" i="1"/>
  <c r="D196" i="1"/>
  <c r="E195" i="1"/>
  <c r="D195" i="1"/>
  <c r="E194" i="1"/>
  <c r="D194" i="1"/>
  <c r="E193" i="1"/>
  <c r="D193" i="1"/>
  <c r="E192" i="1"/>
  <c r="D192" i="1"/>
  <c r="E191" i="1"/>
  <c r="D191" i="1"/>
  <c r="E190" i="1"/>
  <c r="D190" i="1"/>
  <c r="E189" i="1"/>
  <c r="D189" i="1"/>
  <c r="E188" i="1"/>
  <c r="D188" i="1"/>
  <c r="E187" i="1"/>
  <c r="D187" i="1"/>
  <c r="G186" i="1"/>
  <c r="E186" i="1"/>
  <c r="D186" i="1"/>
  <c r="G185" i="1"/>
  <c r="E185" i="1"/>
  <c r="D185" i="1"/>
  <c r="G184" i="1"/>
  <c r="E184" i="1"/>
  <c r="D184" i="1"/>
  <c r="G183" i="1"/>
  <c r="E183" i="1"/>
  <c r="D183" i="1"/>
  <c r="G182" i="1"/>
  <c r="E182" i="1"/>
  <c r="D182" i="1"/>
  <c r="G181" i="1"/>
  <c r="E181" i="1"/>
  <c r="D181" i="1"/>
  <c r="G180" i="1"/>
  <c r="E180" i="1"/>
  <c r="D180" i="1"/>
  <c r="G179" i="1"/>
  <c r="E179" i="1"/>
  <c r="D179" i="1"/>
  <c r="G178" i="1"/>
  <c r="E178" i="1"/>
  <c r="D178" i="1"/>
  <c r="G177" i="1"/>
  <c r="E177" i="1"/>
  <c r="D177" i="1"/>
  <c r="G176" i="1"/>
  <c r="E176" i="1"/>
  <c r="D176" i="1"/>
  <c r="G175" i="1"/>
  <c r="E175" i="1"/>
  <c r="D175" i="1"/>
  <c r="G174" i="1"/>
  <c r="E174" i="1"/>
  <c r="D174" i="1"/>
  <c r="G173" i="1"/>
  <c r="E173" i="1"/>
  <c r="D173" i="1"/>
  <c r="G172" i="1"/>
  <c r="E172" i="1"/>
  <c r="D172" i="1"/>
  <c r="G171" i="1"/>
  <c r="E171" i="1"/>
  <c r="D171" i="1"/>
  <c r="G170" i="1"/>
  <c r="E170" i="1"/>
  <c r="D170" i="1"/>
  <c r="G169" i="1"/>
  <c r="E169" i="1"/>
  <c r="D169" i="1"/>
  <c r="G168" i="1"/>
  <c r="E168" i="1"/>
  <c r="D168" i="1"/>
  <c r="G167" i="1"/>
  <c r="E167" i="1"/>
  <c r="D167" i="1"/>
  <c r="H204" i="1"/>
  <c r="H203" i="1"/>
  <c r="H202" i="1"/>
  <c r="H201" i="1"/>
  <c r="H200" i="1"/>
  <c r="H199" i="1"/>
  <c r="C202" i="1"/>
  <c r="C201" i="1"/>
  <c r="C200" i="1"/>
  <c r="C199" i="1"/>
  <c r="H198" i="1"/>
  <c r="H197" i="1"/>
  <c r="C198" i="1"/>
  <c r="C197" i="1"/>
  <c r="B204" i="1"/>
  <c r="B203" i="1"/>
  <c r="B202" i="1"/>
  <c r="B201" i="1"/>
  <c r="B200" i="1"/>
  <c r="B199" i="1"/>
  <c r="B198" i="1"/>
  <c r="B197" i="1"/>
  <c r="H196" i="1"/>
  <c r="H195" i="1"/>
  <c r="H194" i="1"/>
  <c r="H193" i="1"/>
  <c r="H192" i="1"/>
  <c r="H191" i="1"/>
  <c r="C196" i="1"/>
  <c r="C190" i="1"/>
  <c r="C188" i="1"/>
  <c r="C187" i="1"/>
  <c r="B195" i="1"/>
  <c r="B194" i="1"/>
  <c r="B193" i="1"/>
  <c r="B192" i="1"/>
  <c r="B191" i="1"/>
  <c r="B190" i="1"/>
  <c r="B189" i="1"/>
  <c r="B188" i="1"/>
  <c r="B187" i="1"/>
  <c r="H186" i="1"/>
  <c r="H185" i="1"/>
  <c r="H184" i="1"/>
  <c r="H183" i="1"/>
  <c r="H182" i="1"/>
  <c r="C186" i="1"/>
  <c r="C185" i="1"/>
  <c r="C184" i="1"/>
  <c r="C183" i="1"/>
  <c r="C182" i="1"/>
  <c r="C154" i="1"/>
  <c r="C153" i="1"/>
  <c r="C152" i="1"/>
  <c r="B168" i="1"/>
  <c r="G149" i="1"/>
  <c r="E149" i="1"/>
  <c r="D149" i="1"/>
  <c r="E151" i="1"/>
  <c r="D151" i="1"/>
  <c r="E150" i="1"/>
  <c r="D150" i="1"/>
  <c r="E148" i="1"/>
  <c r="D148" i="1"/>
  <c r="E147" i="1"/>
  <c r="D147" i="1"/>
  <c r="E146" i="1"/>
  <c r="D146" i="1"/>
  <c r="E145" i="1"/>
  <c r="D145" i="1"/>
  <c r="E144" i="1"/>
  <c r="D144" i="1"/>
  <c r="E143" i="1"/>
  <c r="D143" i="1"/>
  <c r="E142" i="1"/>
  <c r="D142" i="1"/>
  <c r="E141" i="1"/>
  <c r="D141" i="1"/>
  <c r="E140" i="1"/>
  <c r="D140" i="1"/>
  <c r="E139" i="1"/>
  <c r="D139" i="1"/>
  <c r="E138" i="1"/>
  <c r="D138" i="1"/>
  <c r="E137" i="1"/>
  <c r="D137" i="1"/>
  <c r="E136" i="1"/>
  <c r="D136" i="1"/>
  <c r="E135" i="1"/>
  <c r="D135" i="1"/>
  <c r="E134" i="1"/>
  <c r="D134" i="1"/>
  <c r="E133" i="1"/>
  <c r="D133" i="1"/>
  <c r="E132" i="1"/>
  <c r="D132" i="1"/>
  <c r="E131" i="1"/>
  <c r="D131" i="1"/>
  <c r="E130" i="1"/>
  <c r="D130" i="1"/>
  <c r="E129" i="1"/>
  <c r="D129" i="1"/>
  <c r="E128" i="1"/>
  <c r="D128" i="1"/>
  <c r="E127" i="1"/>
  <c r="D127" i="1"/>
  <c r="E126" i="1"/>
  <c r="D126" i="1"/>
  <c r="E125" i="1"/>
  <c r="D125" i="1"/>
  <c r="E124" i="1"/>
  <c r="D124" i="1"/>
  <c r="E123" i="1"/>
  <c r="D123" i="1"/>
  <c r="E122" i="1"/>
  <c r="D122" i="1"/>
  <c r="E193" i="6"/>
  <c r="E192" i="6"/>
  <c r="E191" i="6"/>
  <c r="E190" i="6"/>
  <c r="E189" i="6"/>
  <c r="E188" i="6"/>
  <c r="E187" i="6"/>
  <c r="E186" i="6"/>
  <c r="D198" i="6"/>
  <c r="C198" i="6"/>
  <c r="D197" i="6"/>
  <c r="C197" i="6"/>
  <c r="D196" i="6"/>
  <c r="C196" i="6"/>
  <c r="D195" i="6"/>
  <c r="C195" i="6"/>
  <c r="D194" i="6"/>
  <c r="C194" i="6"/>
  <c r="D193" i="6"/>
  <c r="C193" i="6"/>
  <c r="D192" i="6"/>
  <c r="C192" i="6"/>
  <c r="D191" i="6"/>
  <c r="C191" i="6"/>
  <c r="D190" i="6"/>
  <c r="C190" i="6"/>
  <c r="D189" i="6"/>
  <c r="C189" i="6"/>
  <c r="D188" i="6"/>
  <c r="C188" i="6"/>
  <c r="D187" i="6"/>
  <c r="C187" i="6"/>
  <c r="D186" i="6"/>
  <c r="C186" i="6"/>
  <c r="D199" i="6"/>
  <c r="F181" i="6"/>
  <c r="E181" i="6"/>
  <c r="D181" i="6"/>
  <c r="C181" i="6"/>
  <c r="F180" i="6"/>
  <c r="E180" i="6"/>
  <c r="D180" i="6"/>
  <c r="C180" i="6"/>
  <c r="F179" i="6"/>
  <c r="E179" i="6"/>
  <c r="D179" i="6"/>
  <c r="C179" i="6"/>
  <c r="F178" i="6"/>
  <c r="E178" i="6"/>
  <c r="D178" i="6"/>
  <c r="C178" i="6"/>
  <c r="F177" i="6"/>
  <c r="E177" i="6"/>
  <c r="D177" i="6"/>
  <c r="C177" i="6"/>
  <c r="F176" i="6"/>
  <c r="E176" i="6"/>
  <c r="D176" i="6"/>
  <c r="C176" i="6"/>
  <c r="F175" i="6"/>
  <c r="E175" i="6"/>
  <c r="D175" i="6"/>
  <c r="C175" i="6"/>
  <c r="F174" i="6"/>
  <c r="E174" i="6"/>
  <c r="D174" i="6"/>
  <c r="C174" i="6"/>
  <c r="F173" i="6"/>
  <c r="E173" i="6"/>
  <c r="D173" i="6"/>
  <c r="C173" i="6"/>
  <c r="F172" i="6"/>
  <c r="E172" i="6"/>
  <c r="D172" i="6"/>
  <c r="C172" i="6"/>
  <c r="F171" i="6"/>
  <c r="E171" i="6"/>
  <c r="D171" i="6"/>
  <c r="C171" i="6"/>
  <c r="F170" i="6"/>
  <c r="E170" i="6"/>
  <c r="D170" i="6"/>
  <c r="C170" i="6"/>
  <c r="F169" i="6"/>
  <c r="E169" i="6"/>
  <c r="D169" i="6"/>
  <c r="C169" i="6"/>
  <c r="F168" i="6"/>
  <c r="E168" i="6"/>
  <c r="D168" i="6"/>
  <c r="C168" i="6"/>
  <c r="F166" i="6"/>
  <c r="E166" i="6"/>
  <c r="D166" i="6"/>
  <c r="C166" i="6"/>
  <c r="F165" i="6"/>
  <c r="E165" i="6"/>
  <c r="D165" i="6"/>
  <c r="C165" i="6"/>
  <c r="F164" i="6"/>
  <c r="E164" i="6"/>
  <c r="D164" i="6"/>
  <c r="C164" i="6"/>
  <c r="F163" i="6"/>
  <c r="E163" i="6"/>
  <c r="D163" i="6"/>
  <c r="C163" i="6"/>
  <c r="F162" i="6"/>
  <c r="E162" i="6"/>
  <c r="D162" i="6"/>
  <c r="C162" i="6"/>
  <c r="F161" i="6"/>
  <c r="E161" i="6"/>
  <c r="D161" i="6"/>
  <c r="C161" i="6"/>
  <c r="F160" i="6"/>
  <c r="E160" i="6"/>
  <c r="D160" i="6"/>
  <c r="C160" i="6"/>
  <c r="F159" i="6"/>
  <c r="E159" i="6"/>
  <c r="D159" i="6"/>
  <c r="C159" i="6"/>
  <c r="F158" i="6"/>
  <c r="E158" i="6"/>
  <c r="D158" i="6"/>
  <c r="C158" i="6"/>
  <c r="F157" i="6"/>
  <c r="E157" i="6"/>
  <c r="D157" i="6"/>
  <c r="C157" i="6"/>
  <c r="F156" i="6"/>
  <c r="E156" i="6"/>
  <c r="D156" i="6"/>
  <c r="C156" i="6"/>
  <c r="F155" i="6"/>
  <c r="E155" i="6"/>
  <c r="D155" i="6"/>
  <c r="C155" i="6"/>
  <c r="F154" i="6"/>
  <c r="E154" i="6"/>
  <c r="D154" i="6"/>
  <c r="C154" i="6"/>
  <c r="F153" i="6"/>
  <c r="E153" i="6"/>
  <c r="D153" i="6"/>
  <c r="C153" i="6"/>
  <c r="F151" i="6"/>
  <c r="E151" i="6"/>
  <c r="D151" i="6"/>
  <c r="C151" i="6"/>
  <c r="F150" i="6"/>
  <c r="E150" i="6"/>
  <c r="D150" i="6"/>
  <c r="C150" i="6"/>
  <c r="F149" i="6"/>
  <c r="E149" i="6"/>
  <c r="D149" i="6"/>
  <c r="C149" i="6"/>
  <c r="F148" i="6"/>
  <c r="E148" i="6"/>
  <c r="D148" i="6"/>
  <c r="C148" i="6"/>
  <c r="F147" i="6"/>
  <c r="E147" i="6"/>
  <c r="D147" i="6"/>
  <c r="C147" i="6"/>
  <c r="F146" i="6"/>
  <c r="E146" i="6"/>
  <c r="D146" i="6"/>
  <c r="C146" i="6"/>
  <c r="F145" i="6"/>
  <c r="E145" i="6"/>
  <c r="D145" i="6"/>
  <c r="C145" i="6"/>
  <c r="F144" i="6"/>
  <c r="E144" i="6"/>
  <c r="D144" i="6"/>
  <c r="C144" i="6"/>
  <c r="F143" i="6"/>
  <c r="E143" i="6"/>
  <c r="D143" i="6"/>
  <c r="C143" i="6"/>
  <c r="F142" i="6"/>
  <c r="E142" i="6"/>
  <c r="D142" i="6"/>
  <c r="C142" i="6"/>
  <c r="F141" i="6"/>
  <c r="E141" i="6"/>
  <c r="D141" i="6"/>
  <c r="C141" i="6"/>
  <c r="F140" i="6"/>
  <c r="E140" i="6"/>
  <c r="D140" i="6"/>
  <c r="C140" i="6"/>
  <c r="F139" i="6"/>
  <c r="E139" i="6"/>
  <c r="D139" i="6"/>
  <c r="C139" i="6"/>
  <c r="F138" i="6"/>
  <c r="E138" i="6"/>
  <c r="D138" i="6"/>
  <c r="C138" i="6"/>
  <c r="F136" i="6"/>
  <c r="E136" i="6"/>
  <c r="D136" i="6"/>
  <c r="C136" i="6"/>
  <c r="F135" i="6"/>
  <c r="E135" i="6"/>
  <c r="D135" i="6"/>
  <c r="C135" i="6"/>
  <c r="F134" i="6"/>
  <c r="E134" i="6"/>
  <c r="D134" i="6"/>
  <c r="C134" i="6"/>
  <c r="F133" i="6"/>
  <c r="E133" i="6"/>
  <c r="D133" i="6"/>
  <c r="C133" i="6"/>
  <c r="F132" i="6"/>
  <c r="E132" i="6"/>
  <c r="D132" i="6"/>
  <c r="C132" i="6"/>
  <c r="F131" i="6"/>
  <c r="E131" i="6"/>
  <c r="D131" i="6"/>
  <c r="C131" i="6"/>
  <c r="F130" i="6"/>
  <c r="E130" i="6"/>
  <c r="D130" i="6"/>
  <c r="C130" i="6"/>
  <c r="F129" i="6"/>
  <c r="E129" i="6"/>
  <c r="D129" i="6"/>
  <c r="C129" i="6"/>
  <c r="F128" i="6"/>
  <c r="E128" i="6"/>
  <c r="D128" i="6"/>
  <c r="C128" i="6"/>
  <c r="F127" i="6"/>
  <c r="E127" i="6"/>
  <c r="D127" i="6"/>
  <c r="C127" i="6"/>
  <c r="F126" i="6"/>
  <c r="E126" i="6"/>
  <c r="D126" i="6"/>
  <c r="C126" i="6"/>
  <c r="F125" i="6"/>
  <c r="E125" i="6"/>
  <c r="D125" i="6"/>
  <c r="C125" i="6"/>
  <c r="F124" i="6"/>
  <c r="E124" i="6"/>
  <c r="D124" i="6"/>
  <c r="C124" i="6"/>
  <c r="F123" i="6"/>
  <c r="E123" i="6"/>
  <c r="D123" i="6"/>
  <c r="C123" i="6"/>
  <c r="F121" i="6"/>
  <c r="E121" i="6"/>
  <c r="D121" i="6"/>
  <c r="C121" i="6"/>
  <c r="F120" i="6"/>
  <c r="E120" i="6"/>
  <c r="D120" i="6"/>
  <c r="C120" i="6"/>
  <c r="F119" i="6"/>
  <c r="E119" i="6"/>
  <c r="D119" i="6"/>
  <c r="C119" i="6"/>
  <c r="F118" i="6"/>
  <c r="E118" i="6"/>
  <c r="D118" i="6"/>
  <c r="C118" i="6"/>
  <c r="F117" i="6"/>
  <c r="E117" i="6"/>
  <c r="D117" i="6"/>
  <c r="C117" i="6"/>
  <c r="F116" i="6"/>
  <c r="E116" i="6"/>
  <c r="D116" i="6"/>
  <c r="C116" i="6"/>
  <c r="F115" i="6"/>
  <c r="E115" i="6"/>
  <c r="D115" i="6"/>
  <c r="C115" i="6"/>
  <c r="F114" i="6"/>
  <c r="E114" i="6"/>
  <c r="D114" i="6"/>
  <c r="C114" i="6"/>
  <c r="F113" i="6"/>
  <c r="E113" i="6"/>
  <c r="D113" i="6"/>
  <c r="C113" i="6"/>
  <c r="F112" i="6"/>
  <c r="E112" i="6"/>
  <c r="D112" i="6"/>
  <c r="C112" i="6"/>
  <c r="F111" i="6"/>
  <c r="E111" i="6"/>
  <c r="D111" i="6"/>
  <c r="C111" i="6"/>
  <c r="F110" i="6"/>
  <c r="E110" i="6"/>
  <c r="D110" i="6"/>
  <c r="C110" i="6"/>
  <c r="F109" i="6"/>
  <c r="E109" i="6"/>
  <c r="D109" i="6"/>
  <c r="C109" i="6"/>
  <c r="F108" i="6"/>
  <c r="E108" i="6"/>
  <c r="D108" i="6"/>
  <c r="C108" i="6"/>
  <c r="F106" i="6"/>
  <c r="E106" i="6"/>
  <c r="D106" i="6"/>
  <c r="C106" i="6"/>
  <c r="F105" i="6"/>
  <c r="E105" i="6"/>
  <c r="D105" i="6"/>
  <c r="C105" i="6"/>
  <c r="F104" i="6"/>
  <c r="E104" i="6"/>
  <c r="D104" i="6"/>
  <c r="C104" i="6"/>
  <c r="F103" i="6"/>
  <c r="E103" i="6"/>
  <c r="D103" i="6"/>
  <c r="C103" i="6"/>
  <c r="F102" i="6"/>
  <c r="E102" i="6"/>
  <c r="D102" i="6"/>
  <c r="C102" i="6"/>
  <c r="F101" i="6"/>
  <c r="E101" i="6"/>
  <c r="D101" i="6"/>
  <c r="C101" i="6"/>
  <c r="F100" i="6"/>
  <c r="E100" i="6"/>
  <c r="D100" i="6"/>
  <c r="C100" i="6"/>
  <c r="F99" i="6"/>
  <c r="E99" i="6"/>
  <c r="D99" i="6"/>
  <c r="C99" i="6"/>
  <c r="F98" i="6"/>
  <c r="E98" i="6"/>
  <c r="D98" i="6"/>
  <c r="C98" i="6"/>
  <c r="F97" i="6"/>
  <c r="E97" i="6"/>
  <c r="D97" i="6"/>
  <c r="C97" i="6"/>
  <c r="F96" i="6"/>
  <c r="E96" i="6"/>
  <c r="D96" i="6"/>
  <c r="C96" i="6"/>
  <c r="F95" i="6"/>
  <c r="E95" i="6"/>
  <c r="D95" i="6"/>
  <c r="C95" i="6"/>
  <c r="F94" i="6"/>
  <c r="E94" i="6"/>
  <c r="D94" i="6"/>
  <c r="C94" i="6"/>
  <c r="F93" i="6"/>
  <c r="E93" i="6"/>
  <c r="D93" i="6"/>
  <c r="C93" i="6"/>
  <c r="F91" i="6"/>
  <c r="E91" i="6"/>
  <c r="D91" i="6"/>
  <c r="C91" i="6"/>
  <c r="F90" i="6"/>
  <c r="E90" i="6"/>
  <c r="D90" i="6"/>
  <c r="C90" i="6"/>
  <c r="F89" i="6"/>
  <c r="E89" i="6"/>
  <c r="D89" i="6"/>
  <c r="C89" i="6"/>
  <c r="F88" i="6"/>
  <c r="E88" i="6"/>
  <c r="D88" i="6"/>
  <c r="C88" i="6"/>
  <c r="F87" i="6"/>
  <c r="E87" i="6"/>
  <c r="D87" i="6"/>
  <c r="C87" i="6"/>
  <c r="F86" i="6"/>
  <c r="E86" i="6"/>
  <c r="D86" i="6"/>
  <c r="C86" i="6"/>
  <c r="F85" i="6"/>
  <c r="E85" i="6"/>
  <c r="D85" i="6"/>
  <c r="C85" i="6"/>
  <c r="F84" i="6"/>
  <c r="E84" i="6"/>
  <c r="D84" i="6"/>
  <c r="C84" i="6"/>
  <c r="F83" i="6"/>
  <c r="E83" i="6"/>
  <c r="D83" i="6"/>
  <c r="C83" i="6"/>
  <c r="F82" i="6"/>
  <c r="E82" i="6"/>
  <c r="D82" i="6"/>
  <c r="C82" i="6"/>
  <c r="F81" i="6"/>
  <c r="E81" i="6"/>
  <c r="D81" i="6"/>
  <c r="C81" i="6"/>
  <c r="F80" i="6"/>
  <c r="E80" i="6"/>
  <c r="D80" i="6"/>
  <c r="C80" i="6"/>
  <c r="F79" i="6"/>
  <c r="E79" i="6"/>
  <c r="D79" i="6"/>
  <c r="C79" i="6"/>
  <c r="F78" i="6"/>
  <c r="E78" i="6"/>
  <c r="D78" i="6"/>
  <c r="C78" i="6"/>
  <c r="F76" i="6"/>
  <c r="E76" i="6"/>
  <c r="D76" i="6"/>
  <c r="C76" i="6"/>
  <c r="F75" i="6"/>
  <c r="E75" i="6"/>
  <c r="D75" i="6"/>
  <c r="C75" i="6"/>
  <c r="F74" i="6"/>
  <c r="E74" i="6"/>
  <c r="D74" i="6"/>
  <c r="C74" i="6"/>
  <c r="F73" i="6"/>
  <c r="E73" i="6"/>
  <c r="D73" i="6"/>
  <c r="C73" i="6"/>
  <c r="F72" i="6"/>
  <c r="E72" i="6"/>
  <c r="D72" i="6"/>
  <c r="C72" i="6"/>
  <c r="F71" i="6"/>
  <c r="E71" i="6"/>
  <c r="D71" i="6"/>
  <c r="C71" i="6"/>
  <c r="F70" i="6"/>
  <c r="E70" i="6"/>
  <c r="D70" i="6"/>
  <c r="C70" i="6"/>
  <c r="F69" i="6"/>
  <c r="E69" i="6"/>
  <c r="D69" i="6"/>
  <c r="C69" i="6"/>
  <c r="F68" i="6"/>
  <c r="E68" i="6"/>
  <c r="D68" i="6"/>
  <c r="C68" i="6"/>
  <c r="F67" i="6"/>
  <c r="E67" i="6"/>
  <c r="D67" i="6"/>
  <c r="C67" i="6"/>
  <c r="F66" i="6"/>
  <c r="E66" i="6"/>
  <c r="D66" i="6"/>
  <c r="C66" i="6"/>
  <c r="F65" i="6"/>
  <c r="E65" i="6"/>
  <c r="D65" i="6"/>
  <c r="C65" i="6"/>
  <c r="F64" i="6"/>
  <c r="E64" i="6"/>
  <c r="D64" i="6"/>
  <c r="C64" i="6"/>
  <c r="F63" i="6"/>
  <c r="E63" i="6"/>
  <c r="D63" i="6"/>
  <c r="C63" i="6"/>
  <c r="F61" i="6"/>
  <c r="E61" i="6"/>
  <c r="D61" i="6"/>
  <c r="C61" i="6"/>
  <c r="F60" i="6"/>
  <c r="E60" i="6"/>
  <c r="D60" i="6"/>
  <c r="C60" i="6"/>
  <c r="F59" i="6"/>
  <c r="E59" i="6"/>
  <c r="D59" i="6"/>
  <c r="C59" i="6"/>
  <c r="F58" i="6"/>
  <c r="E58" i="6"/>
  <c r="D58" i="6"/>
  <c r="C58" i="6"/>
  <c r="F57" i="6"/>
  <c r="E57" i="6"/>
  <c r="D57" i="6"/>
  <c r="C57" i="6"/>
  <c r="F56" i="6"/>
  <c r="E56" i="6"/>
  <c r="D56" i="6"/>
  <c r="C56" i="6"/>
  <c r="F55" i="6"/>
  <c r="E55" i="6"/>
  <c r="D55" i="6"/>
  <c r="C55" i="6"/>
  <c r="F54" i="6"/>
  <c r="E54" i="6"/>
  <c r="D54" i="6"/>
  <c r="C54" i="6"/>
  <c r="F53" i="6"/>
  <c r="E53" i="6"/>
  <c r="D53" i="6"/>
  <c r="C53" i="6"/>
  <c r="F52" i="6"/>
  <c r="E52" i="6"/>
  <c r="D52" i="6"/>
  <c r="C52" i="6"/>
  <c r="F51" i="6"/>
  <c r="E51" i="6"/>
  <c r="D51" i="6"/>
  <c r="C51" i="6"/>
  <c r="F50" i="6"/>
  <c r="E50" i="6"/>
  <c r="D50" i="6"/>
  <c r="C50" i="6"/>
  <c r="F49" i="6"/>
  <c r="E49" i="6"/>
  <c r="D49" i="6"/>
  <c r="C49" i="6"/>
  <c r="F48" i="6"/>
  <c r="E48" i="6"/>
  <c r="D48" i="6"/>
  <c r="C48" i="6"/>
  <c r="F46" i="6"/>
  <c r="E46" i="6"/>
  <c r="D46" i="6"/>
  <c r="C46" i="6"/>
  <c r="F45" i="6"/>
  <c r="E45" i="6"/>
  <c r="D45" i="6"/>
  <c r="C45" i="6"/>
  <c r="F44" i="6"/>
  <c r="E44" i="6"/>
  <c r="D44" i="6"/>
  <c r="C44" i="6"/>
  <c r="F43" i="6"/>
  <c r="E43" i="6"/>
  <c r="D43" i="6"/>
  <c r="C43" i="6"/>
  <c r="F42" i="6"/>
  <c r="E42" i="6"/>
  <c r="D42" i="6"/>
  <c r="C42" i="6"/>
  <c r="F41" i="6"/>
  <c r="E41" i="6"/>
  <c r="D41" i="6"/>
  <c r="C41" i="6"/>
  <c r="F40" i="6"/>
  <c r="E40" i="6"/>
  <c r="D40" i="6"/>
  <c r="C40" i="6"/>
  <c r="F39" i="6"/>
  <c r="E39" i="6"/>
  <c r="D39" i="6"/>
  <c r="C39" i="6"/>
  <c r="F38" i="6"/>
  <c r="E38" i="6"/>
  <c r="D38" i="6"/>
  <c r="C38" i="6"/>
  <c r="F37" i="6"/>
  <c r="E37" i="6"/>
  <c r="D37" i="6"/>
  <c r="C37" i="6"/>
  <c r="F36" i="6"/>
  <c r="E36" i="6"/>
  <c r="D36" i="6"/>
  <c r="C36" i="6"/>
  <c r="F35" i="6"/>
  <c r="E35" i="6"/>
  <c r="D35" i="6"/>
  <c r="C35" i="6"/>
  <c r="F34" i="6"/>
  <c r="E34" i="6"/>
  <c r="D34" i="6"/>
  <c r="C34" i="6"/>
  <c r="F33" i="6"/>
  <c r="E33" i="6"/>
  <c r="D33" i="6"/>
  <c r="C33" i="6"/>
  <c r="F31" i="6"/>
  <c r="E31" i="6"/>
  <c r="D31" i="6"/>
  <c r="C31" i="6"/>
  <c r="F30" i="6"/>
  <c r="E30" i="6"/>
  <c r="D30" i="6"/>
  <c r="C30" i="6"/>
  <c r="F29" i="6"/>
  <c r="E29" i="6"/>
  <c r="D29" i="6"/>
  <c r="C29" i="6"/>
  <c r="F28" i="6"/>
  <c r="E28" i="6"/>
  <c r="D28" i="6"/>
  <c r="C28" i="6"/>
  <c r="F27" i="6"/>
  <c r="E27" i="6"/>
  <c r="D27" i="6"/>
  <c r="C27" i="6"/>
  <c r="F26" i="6"/>
  <c r="E26" i="6"/>
  <c r="D26" i="6"/>
  <c r="C26" i="6"/>
  <c r="F25" i="6"/>
  <c r="E25" i="6"/>
  <c r="D25" i="6"/>
  <c r="C25" i="6"/>
  <c r="F24" i="6"/>
  <c r="E24" i="6"/>
  <c r="D24" i="6"/>
  <c r="C24" i="6"/>
  <c r="F23" i="6"/>
  <c r="E23" i="6"/>
  <c r="D23" i="6"/>
  <c r="C23" i="6"/>
  <c r="F22" i="6"/>
  <c r="E22" i="6"/>
  <c r="D22" i="6"/>
  <c r="C22" i="6"/>
  <c r="F21" i="6"/>
  <c r="E21" i="6"/>
  <c r="D21" i="6"/>
  <c r="C21" i="6"/>
  <c r="F20" i="6"/>
  <c r="E20" i="6"/>
  <c r="D20" i="6"/>
  <c r="C20" i="6"/>
  <c r="F19" i="6"/>
  <c r="E19" i="6"/>
  <c r="D19" i="6"/>
  <c r="C19" i="6"/>
  <c r="F18" i="6"/>
  <c r="E18" i="6"/>
  <c r="D18" i="6"/>
  <c r="C18" i="6"/>
  <c r="K181" i="6"/>
  <c r="J181" i="6"/>
  <c r="I181" i="6"/>
  <c r="H181" i="6"/>
  <c r="K180" i="6"/>
  <c r="J180" i="6"/>
  <c r="I180" i="6"/>
  <c r="H180" i="6"/>
  <c r="K179" i="6"/>
  <c r="J179" i="6"/>
  <c r="I179" i="6"/>
  <c r="H179" i="6"/>
  <c r="K178" i="6"/>
  <c r="J178" i="6"/>
  <c r="I178" i="6"/>
  <c r="H178" i="6"/>
  <c r="K177" i="6"/>
  <c r="J177" i="6"/>
  <c r="I177" i="6"/>
  <c r="H177" i="6"/>
  <c r="K176" i="6"/>
  <c r="J176" i="6"/>
  <c r="I176" i="6"/>
  <c r="H176" i="6"/>
  <c r="K175" i="6"/>
  <c r="J175" i="6"/>
  <c r="I175" i="6"/>
  <c r="H175" i="6"/>
  <c r="K174" i="6"/>
  <c r="J174" i="6"/>
  <c r="I174" i="6"/>
  <c r="H174" i="6"/>
  <c r="K173" i="6"/>
  <c r="J173" i="6"/>
  <c r="I173" i="6"/>
  <c r="H173" i="6"/>
  <c r="K172" i="6"/>
  <c r="J172" i="6"/>
  <c r="I172" i="6"/>
  <c r="H172" i="6"/>
  <c r="K171" i="6"/>
  <c r="J171" i="6"/>
  <c r="I171" i="6"/>
  <c r="H171" i="6"/>
  <c r="K170" i="6"/>
  <c r="J170" i="6"/>
  <c r="I170" i="6"/>
  <c r="H170" i="6"/>
  <c r="K169" i="6"/>
  <c r="J169" i="6"/>
  <c r="I169" i="6"/>
  <c r="H169" i="6"/>
  <c r="K168" i="6"/>
  <c r="J168" i="6"/>
  <c r="I168" i="6"/>
  <c r="H168" i="6"/>
  <c r="K166" i="6"/>
  <c r="J166" i="6"/>
  <c r="I166" i="6"/>
  <c r="H166" i="6"/>
  <c r="K165" i="6"/>
  <c r="J165" i="6"/>
  <c r="I165" i="6"/>
  <c r="H165" i="6"/>
  <c r="K164" i="6"/>
  <c r="J164" i="6"/>
  <c r="I164" i="6"/>
  <c r="H164" i="6"/>
  <c r="K163" i="6"/>
  <c r="J163" i="6"/>
  <c r="I163" i="6"/>
  <c r="H163" i="6"/>
  <c r="K162" i="6"/>
  <c r="J162" i="6"/>
  <c r="I162" i="6"/>
  <c r="H162" i="6"/>
  <c r="K161" i="6"/>
  <c r="J161" i="6"/>
  <c r="I161" i="6"/>
  <c r="H161" i="6"/>
  <c r="K160" i="6"/>
  <c r="J160" i="6"/>
  <c r="I160" i="6"/>
  <c r="H160" i="6"/>
  <c r="K159" i="6"/>
  <c r="J159" i="6"/>
  <c r="I159" i="6"/>
  <c r="H159" i="6"/>
  <c r="K158" i="6"/>
  <c r="J158" i="6"/>
  <c r="I158" i="6"/>
  <c r="H158" i="6"/>
  <c r="K157" i="6"/>
  <c r="J157" i="6"/>
  <c r="I157" i="6"/>
  <c r="H157" i="6"/>
  <c r="K156" i="6"/>
  <c r="J156" i="6"/>
  <c r="I156" i="6"/>
  <c r="H156" i="6"/>
  <c r="K155" i="6"/>
  <c r="J155" i="6"/>
  <c r="I155" i="6"/>
  <c r="H155" i="6"/>
  <c r="K154" i="6"/>
  <c r="J154" i="6"/>
  <c r="I154" i="6"/>
  <c r="H154" i="6"/>
  <c r="K153" i="6"/>
  <c r="J153" i="6"/>
  <c r="I153" i="6"/>
  <c r="H153" i="6"/>
  <c r="K151" i="6"/>
  <c r="J151" i="6"/>
  <c r="I151" i="6"/>
  <c r="H151" i="6"/>
  <c r="K150" i="6"/>
  <c r="J150" i="6"/>
  <c r="I150" i="6"/>
  <c r="H150" i="6"/>
  <c r="K149" i="6"/>
  <c r="J149" i="6"/>
  <c r="I149" i="6"/>
  <c r="H149" i="6"/>
  <c r="K148" i="6"/>
  <c r="J148" i="6"/>
  <c r="I148" i="6"/>
  <c r="H148" i="6"/>
  <c r="K147" i="6"/>
  <c r="J147" i="6"/>
  <c r="I147" i="6"/>
  <c r="H147" i="6"/>
  <c r="K146" i="6"/>
  <c r="J146" i="6"/>
  <c r="I146" i="6"/>
  <c r="H146" i="6"/>
  <c r="K145" i="6"/>
  <c r="J145" i="6"/>
  <c r="I145" i="6"/>
  <c r="H145" i="6"/>
  <c r="K144" i="6"/>
  <c r="J144" i="6"/>
  <c r="I144" i="6"/>
  <c r="H144" i="6"/>
  <c r="K143" i="6"/>
  <c r="J143" i="6"/>
  <c r="I143" i="6"/>
  <c r="H143" i="6"/>
  <c r="K142" i="6"/>
  <c r="J142" i="6"/>
  <c r="I142" i="6"/>
  <c r="H142" i="6"/>
  <c r="K141" i="6"/>
  <c r="J141" i="6"/>
  <c r="I141" i="6"/>
  <c r="H141" i="6"/>
  <c r="K140" i="6"/>
  <c r="J140" i="6"/>
  <c r="I140" i="6"/>
  <c r="H140" i="6"/>
  <c r="K139" i="6"/>
  <c r="J139" i="6"/>
  <c r="I139" i="6"/>
  <c r="H139" i="6"/>
  <c r="K138" i="6"/>
  <c r="J138" i="6"/>
  <c r="I138" i="6"/>
  <c r="H138" i="6"/>
  <c r="J195" i="6" s="1"/>
  <c r="K136" i="6"/>
  <c r="J136" i="6"/>
  <c r="I136" i="6"/>
  <c r="H136" i="6"/>
  <c r="K135" i="6"/>
  <c r="J135" i="6"/>
  <c r="I135" i="6"/>
  <c r="H135" i="6"/>
  <c r="K134" i="6"/>
  <c r="J134" i="6"/>
  <c r="I134" i="6"/>
  <c r="H134" i="6"/>
  <c r="K133" i="6"/>
  <c r="J133" i="6"/>
  <c r="I133" i="6"/>
  <c r="H133" i="6"/>
  <c r="K132" i="6"/>
  <c r="J132" i="6"/>
  <c r="I132" i="6"/>
  <c r="H132" i="6"/>
  <c r="K131" i="6"/>
  <c r="J131" i="6"/>
  <c r="I131" i="6"/>
  <c r="H131" i="6"/>
  <c r="K130" i="6"/>
  <c r="J130" i="6"/>
  <c r="I130" i="6"/>
  <c r="H130" i="6"/>
  <c r="K129" i="6"/>
  <c r="J129" i="6"/>
  <c r="I129" i="6"/>
  <c r="H129" i="6"/>
  <c r="K128" i="6"/>
  <c r="J128" i="6"/>
  <c r="I128" i="6"/>
  <c r="H128" i="6"/>
  <c r="K127" i="6"/>
  <c r="J127" i="6"/>
  <c r="I127" i="6"/>
  <c r="H127" i="6"/>
  <c r="K126" i="6"/>
  <c r="J126" i="6"/>
  <c r="I126" i="6"/>
  <c r="H126" i="6"/>
  <c r="K125" i="6"/>
  <c r="J125" i="6"/>
  <c r="I125" i="6"/>
  <c r="H125" i="6"/>
  <c r="K124" i="6"/>
  <c r="J124" i="6"/>
  <c r="I124" i="6"/>
  <c r="H124" i="6"/>
  <c r="K123" i="6"/>
  <c r="J123" i="6"/>
  <c r="I123" i="6"/>
  <c r="H123" i="6"/>
  <c r="K121" i="6"/>
  <c r="J121" i="6"/>
  <c r="I121" i="6"/>
  <c r="H121" i="6"/>
  <c r="K120" i="6"/>
  <c r="J120" i="6"/>
  <c r="I120" i="6"/>
  <c r="H120" i="6"/>
  <c r="K119" i="6"/>
  <c r="J119" i="6"/>
  <c r="I119" i="6"/>
  <c r="H119" i="6"/>
  <c r="K118" i="6"/>
  <c r="J118" i="6"/>
  <c r="I118" i="6"/>
  <c r="H118" i="6"/>
  <c r="K117" i="6"/>
  <c r="J117" i="6"/>
  <c r="I117" i="6"/>
  <c r="H117" i="6"/>
  <c r="K116" i="6"/>
  <c r="J116" i="6"/>
  <c r="I116" i="6"/>
  <c r="H116" i="6"/>
  <c r="K115" i="6"/>
  <c r="J115" i="6"/>
  <c r="I115" i="6"/>
  <c r="H115" i="6"/>
  <c r="K114" i="6"/>
  <c r="J114" i="6"/>
  <c r="I114" i="6"/>
  <c r="H114" i="6"/>
  <c r="K113" i="6"/>
  <c r="J113" i="6"/>
  <c r="I113" i="6"/>
  <c r="H113" i="6"/>
  <c r="K112" i="6"/>
  <c r="J112" i="6"/>
  <c r="I112" i="6"/>
  <c r="H112" i="6"/>
  <c r="K111" i="6"/>
  <c r="J111" i="6"/>
  <c r="I111" i="6"/>
  <c r="H111" i="6"/>
  <c r="K110" i="6"/>
  <c r="J110" i="6"/>
  <c r="I110" i="6"/>
  <c r="H110" i="6"/>
  <c r="K109" i="6"/>
  <c r="J109" i="6"/>
  <c r="I109" i="6"/>
  <c r="H109" i="6"/>
  <c r="K108" i="6"/>
  <c r="J108" i="6"/>
  <c r="I108" i="6"/>
  <c r="H108" i="6"/>
  <c r="K106" i="6"/>
  <c r="J106" i="6"/>
  <c r="I106" i="6"/>
  <c r="H106" i="6"/>
  <c r="K105" i="6"/>
  <c r="J105" i="6"/>
  <c r="I105" i="6"/>
  <c r="H105" i="6"/>
  <c r="K104" i="6"/>
  <c r="J104" i="6"/>
  <c r="I104" i="6"/>
  <c r="H104" i="6"/>
  <c r="K103" i="6"/>
  <c r="J103" i="6"/>
  <c r="I103" i="6"/>
  <c r="H103" i="6"/>
  <c r="K102" i="6"/>
  <c r="J102" i="6"/>
  <c r="I102" i="6"/>
  <c r="H102" i="6"/>
  <c r="K101" i="6"/>
  <c r="J101" i="6"/>
  <c r="I101" i="6"/>
  <c r="H101" i="6"/>
  <c r="K100" i="6"/>
  <c r="J100" i="6"/>
  <c r="I100" i="6"/>
  <c r="H100" i="6"/>
  <c r="K99" i="6"/>
  <c r="J99" i="6"/>
  <c r="I99" i="6"/>
  <c r="H99" i="6"/>
  <c r="K98" i="6"/>
  <c r="J98" i="6"/>
  <c r="I98" i="6"/>
  <c r="H98" i="6"/>
  <c r="K97" i="6"/>
  <c r="J97" i="6"/>
  <c r="I97" i="6"/>
  <c r="H97" i="6"/>
  <c r="K96" i="6"/>
  <c r="J96" i="6"/>
  <c r="I96" i="6"/>
  <c r="H96" i="6"/>
  <c r="K95" i="6"/>
  <c r="J95" i="6"/>
  <c r="I95" i="6"/>
  <c r="H95" i="6"/>
  <c r="K94" i="6"/>
  <c r="J94" i="6"/>
  <c r="I94" i="6"/>
  <c r="H94" i="6"/>
  <c r="K93" i="6"/>
  <c r="J93" i="6"/>
  <c r="I93" i="6"/>
  <c r="H93" i="6"/>
  <c r="K91" i="6"/>
  <c r="J91" i="6"/>
  <c r="I91" i="6"/>
  <c r="H91" i="6"/>
  <c r="K90" i="6"/>
  <c r="J90" i="6"/>
  <c r="I90" i="6"/>
  <c r="H90" i="6"/>
  <c r="K89" i="6"/>
  <c r="J89" i="6"/>
  <c r="I89" i="6"/>
  <c r="H89" i="6"/>
  <c r="K88" i="6"/>
  <c r="J88" i="6"/>
  <c r="I88" i="6"/>
  <c r="H88" i="6"/>
  <c r="K87" i="6"/>
  <c r="J87" i="6"/>
  <c r="I87" i="6"/>
  <c r="H87" i="6"/>
  <c r="K86" i="6"/>
  <c r="J86" i="6"/>
  <c r="I86" i="6"/>
  <c r="H86" i="6"/>
  <c r="K85" i="6"/>
  <c r="J85" i="6"/>
  <c r="I85" i="6"/>
  <c r="H85" i="6"/>
  <c r="K84" i="6"/>
  <c r="J84" i="6"/>
  <c r="I84" i="6"/>
  <c r="H84" i="6"/>
  <c r="K83" i="6"/>
  <c r="J83" i="6"/>
  <c r="I83" i="6"/>
  <c r="H83" i="6"/>
  <c r="K82" i="6"/>
  <c r="J82" i="6"/>
  <c r="I82" i="6"/>
  <c r="H82" i="6"/>
  <c r="K81" i="6"/>
  <c r="J81" i="6"/>
  <c r="I81" i="6"/>
  <c r="H81" i="6"/>
  <c r="K80" i="6"/>
  <c r="J80" i="6"/>
  <c r="I80" i="6"/>
  <c r="H80" i="6"/>
  <c r="K79" i="6"/>
  <c r="J79" i="6"/>
  <c r="I79" i="6"/>
  <c r="H79" i="6"/>
  <c r="K78" i="6"/>
  <c r="J78" i="6"/>
  <c r="I78" i="6"/>
  <c r="H78" i="6"/>
  <c r="K76" i="6"/>
  <c r="J76" i="6"/>
  <c r="I76" i="6"/>
  <c r="H76" i="6"/>
  <c r="K75" i="6"/>
  <c r="J75" i="6"/>
  <c r="I75" i="6"/>
  <c r="H75" i="6"/>
  <c r="K74" i="6"/>
  <c r="J74" i="6"/>
  <c r="I74" i="6"/>
  <c r="H74" i="6"/>
  <c r="K73" i="6"/>
  <c r="J73" i="6"/>
  <c r="I73" i="6"/>
  <c r="H73" i="6"/>
  <c r="K72" i="6"/>
  <c r="J72" i="6"/>
  <c r="I72" i="6"/>
  <c r="H72" i="6"/>
  <c r="K71" i="6"/>
  <c r="J71" i="6"/>
  <c r="I71" i="6"/>
  <c r="H71" i="6"/>
  <c r="K70" i="6"/>
  <c r="J70" i="6"/>
  <c r="I70" i="6"/>
  <c r="H70" i="6"/>
  <c r="K69" i="6"/>
  <c r="J69" i="6"/>
  <c r="I69" i="6"/>
  <c r="H69" i="6"/>
  <c r="K68" i="6"/>
  <c r="J68" i="6"/>
  <c r="I68" i="6"/>
  <c r="H68" i="6"/>
  <c r="K67" i="6"/>
  <c r="J67" i="6"/>
  <c r="I67" i="6"/>
  <c r="H67" i="6"/>
  <c r="K66" i="6"/>
  <c r="J66" i="6"/>
  <c r="I66" i="6"/>
  <c r="H66" i="6"/>
  <c r="K65" i="6"/>
  <c r="J65" i="6"/>
  <c r="I65" i="6"/>
  <c r="H65" i="6"/>
  <c r="K64" i="6"/>
  <c r="J64" i="6"/>
  <c r="I64" i="6"/>
  <c r="H64" i="6"/>
  <c r="K63" i="6"/>
  <c r="J63" i="6"/>
  <c r="I63" i="6"/>
  <c r="H63" i="6"/>
  <c r="K61" i="6"/>
  <c r="J61" i="6"/>
  <c r="I61" i="6"/>
  <c r="H61" i="6"/>
  <c r="K60" i="6"/>
  <c r="J60" i="6"/>
  <c r="I60" i="6"/>
  <c r="H60" i="6"/>
  <c r="K59" i="6"/>
  <c r="J59" i="6"/>
  <c r="I59" i="6"/>
  <c r="H59" i="6"/>
  <c r="K58" i="6"/>
  <c r="J58" i="6"/>
  <c r="I58" i="6"/>
  <c r="H58" i="6"/>
  <c r="K57" i="6"/>
  <c r="J57" i="6"/>
  <c r="I57" i="6"/>
  <c r="H57" i="6"/>
  <c r="K56" i="6"/>
  <c r="J56" i="6"/>
  <c r="I56" i="6"/>
  <c r="H56" i="6"/>
  <c r="K55" i="6"/>
  <c r="J55" i="6"/>
  <c r="I55" i="6"/>
  <c r="H55" i="6"/>
  <c r="K54" i="6"/>
  <c r="J54" i="6"/>
  <c r="I54" i="6"/>
  <c r="H54" i="6"/>
  <c r="K53" i="6"/>
  <c r="J53" i="6"/>
  <c r="I53" i="6"/>
  <c r="H53" i="6"/>
  <c r="K52" i="6"/>
  <c r="J52" i="6"/>
  <c r="I52" i="6"/>
  <c r="H52" i="6"/>
  <c r="K51" i="6"/>
  <c r="J51" i="6"/>
  <c r="I51" i="6"/>
  <c r="H51" i="6"/>
  <c r="K50" i="6"/>
  <c r="J50" i="6"/>
  <c r="I50" i="6"/>
  <c r="H50" i="6"/>
  <c r="K49" i="6"/>
  <c r="J49" i="6"/>
  <c r="I49" i="6"/>
  <c r="H49" i="6"/>
  <c r="K48" i="6"/>
  <c r="J48" i="6"/>
  <c r="I48" i="6"/>
  <c r="H48" i="6"/>
  <c r="K46" i="6"/>
  <c r="J46" i="6"/>
  <c r="I46" i="6"/>
  <c r="H46" i="6"/>
  <c r="K45" i="6"/>
  <c r="J45" i="6"/>
  <c r="I45" i="6"/>
  <c r="H45" i="6"/>
  <c r="K44" i="6"/>
  <c r="J44" i="6"/>
  <c r="I44" i="6"/>
  <c r="H44" i="6"/>
  <c r="K43" i="6"/>
  <c r="J43" i="6"/>
  <c r="I43" i="6"/>
  <c r="H43" i="6"/>
  <c r="K42" i="6"/>
  <c r="J42" i="6"/>
  <c r="I42" i="6"/>
  <c r="H42" i="6"/>
  <c r="K41" i="6"/>
  <c r="J41" i="6"/>
  <c r="I41" i="6"/>
  <c r="H41" i="6"/>
  <c r="K40" i="6"/>
  <c r="J40" i="6"/>
  <c r="I40" i="6"/>
  <c r="H40" i="6"/>
  <c r="K39" i="6"/>
  <c r="J39" i="6"/>
  <c r="I39" i="6"/>
  <c r="H39" i="6"/>
  <c r="K38" i="6"/>
  <c r="J38" i="6"/>
  <c r="I38" i="6"/>
  <c r="H38" i="6"/>
  <c r="K37" i="6"/>
  <c r="J37" i="6"/>
  <c r="I37" i="6"/>
  <c r="H37" i="6"/>
  <c r="K36" i="6"/>
  <c r="J36" i="6"/>
  <c r="I36" i="6"/>
  <c r="H36" i="6"/>
  <c r="K35" i="6"/>
  <c r="J35" i="6"/>
  <c r="I35" i="6"/>
  <c r="H35" i="6"/>
  <c r="K34" i="6"/>
  <c r="J34" i="6"/>
  <c r="I34" i="6"/>
  <c r="H34" i="6"/>
  <c r="K33" i="6"/>
  <c r="J33" i="6"/>
  <c r="I33" i="6"/>
  <c r="H33" i="6"/>
  <c r="H18" i="6"/>
  <c r="H23" i="6"/>
  <c r="K31" i="6"/>
  <c r="J31" i="6"/>
  <c r="I31" i="6"/>
  <c r="H31" i="6"/>
  <c r="K30" i="6"/>
  <c r="J30" i="6"/>
  <c r="I30" i="6"/>
  <c r="H30" i="6"/>
  <c r="K29" i="6"/>
  <c r="J29" i="6"/>
  <c r="I29" i="6"/>
  <c r="H29" i="6"/>
  <c r="K28" i="6"/>
  <c r="J28" i="6"/>
  <c r="I28" i="6"/>
  <c r="H28" i="6"/>
  <c r="K27" i="6"/>
  <c r="J27" i="6"/>
  <c r="I27" i="6"/>
  <c r="H27" i="6"/>
  <c r="K26" i="6"/>
  <c r="J26" i="6"/>
  <c r="I26" i="6"/>
  <c r="H26" i="6"/>
  <c r="K25" i="6"/>
  <c r="J25" i="6"/>
  <c r="I25" i="6"/>
  <c r="H25" i="6"/>
  <c r="K24" i="6"/>
  <c r="J24" i="6"/>
  <c r="I24" i="6"/>
  <c r="H24" i="6"/>
  <c r="K23" i="6"/>
  <c r="J23" i="6"/>
  <c r="I23" i="6"/>
  <c r="K22" i="6"/>
  <c r="J22" i="6"/>
  <c r="I22" i="6"/>
  <c r="H22" i="6"/>
  <c r="K21" i="6"/>
  <c r="J21" i="6"/>
  <c r="I21" i="6"/>
  <c r="H21" i="6"/>
  <c r="K20" i="6"/>
  <c r="J20" i="6"/>
  <c r="I20" i="6"/>
  <c r="H20" i="6"/>
  <c r="K19" i="6"/>
  <c r="J19" i="6"/>
  <c r="I19" i="6"/>
  <c r="H19" i="6"/>
  <c r="K18" i="6"/>
  <c r="J18" i="6"/>
  <c r="I18" i="6"/>
  <c r="J189" i="6"/>
  <c r="I199" i="6"/>
  <c r="I198" i="6"/>
  <c r="I197" i="6"/>
  <c r="I196" i="6"/>
  <c r="I195" i="6"/>
  <c r="I194" i="6"/>
  <c r="I193" i="6"/>
  <c r="I192" i="6"/>
  <c r="I191" i="6"/>
  <c r="I190" i="6"/>
  <c r="I189" i="6"/>
  <c r="I188" i="6"/>
  <c r="I187" i="6"/>
  <c r="I186" i="6"/>
  <c r="H199" i="6"/>
  <c r="H198" i="6"/>
  <c r="H197" i="6"/>
  <c r="H196" i="6"/>
  <c r="H195" i="6"/>
  <c r="H194" i="6"/>
  <c r="H193" i="6"/>
  <c r="H192" i="6"/>
  <c r="H191" i="6"/>
  <c r="H190" i="6"/>
  <c r="H189" i="6"/>
  <c r="H188" i="6"/>
  <c r="H187" i="6"/>
  <c r="H186" i="6"/>
  <c r="H133" i="1"/>
  <c r="C134" i="1"/>
  <c r="C133" i="1"/>
  <c r="C132" i="1"/>
  <c r="C131" i="1"/>
  <c r="C130" i="1"/>
  <c r="C129" i="1"/>
  <c r="C128" i="1"/>
  <c r="C127" i="1"/>
  <c r="C126" i="1"/>
  <c r="C125" i="1"/>
  <c r="C124" i="1"/>
  <c r="C123" i="1"/>
  <c r="C122" i="1"/>
  <c r="B134" i="1"/>
  <c r="B133" i="1"/>
  <c r="B132" i="1"/>
  <c r="B131" i="1"/>
  <c r="B130" i="1"/>
  <c r="B129" i="1"/>
  <c r="B128" i="1"/>
  <c r="B127" i="1"/>
  <c r="B126" i="1"/>
  <c r="B125" i="1"/>
  <c r="B124" i="1"/>
  <c r="B123" i="1"/>
  <c r="B122" i="1"/>
  <c r="B149" i="1"/>
  <c r="C149" i="1"/>
  <c r="C151" i="1"/>
  <c r="C150" i="1"/>
  <c r="D162" i="1"/>
  <c r="C159" i="1"/>
  <c r="D207" i="1"/>
  <c r="B196" i="1"/>
  <c r="B186" i="1"/>
  <c r="B185" i="1"/>
  <c r="B184" i="1"/>
  <c r="B64" i="1"/>
  <c r="C55" i="1"/>
  <c r="C148" i="1" l="1"/>
  <c r="F64" i="1"/>
  <c r="E196" i="6"/>
  <c r="E197" i="6"/>
  <c r="E194" i="6"/>
  <c r="E199" i="6" s="1"/>
  <c r="E198" i="6"/>
  <c r="E195" i="6"/>
  <c r="J186" i="6"/>
  <c r="J190" i="6"/>
  <c r="J187" i="6"/>
  <c r="J192" i="6"/>
  <c r="J188" i="6"/>
  <c r="J193" i="6"/>
  <c r="J199" i="6" s="1"/>
  <c r="J194" i="6"/>
  <c r="J191" i="6"/>
  <c r="J197" i="6" s="1"/>
  <c r="J196" i="6"/>
  <c r="C52" i="1"/>
  <c r="C53" i="1"/>
  <c r="C54" i="1"/>
  <c r="C56" i="1"/>
  <c r="C57" i="1"/>
  <c r="C58" i="1"/>
  <c r="C59" i="1"/>
  <c r="C60" i="1"/>
  <c r="C61" i="1"/>
  <c r="C62" i="1"/>
  <c r="C63" i="1"/>
  <c r="C64" i="1"/>
  <c r="E200" i="6" l="1"/>
  <c r="J198" i="6"/>
  <c r="J200" i="6" s="1"/>
  <c r="B36" i="1" a="1"/>
  <c r="B36" i="1" s="1"/>
  <c r="C167" i="1" s="1"/>
  <c r="B19" i="2"/>
  <c r="B37" i="1" l="1"/>
  <c r="C168" i="1" s="1"/>
  <c r="B183" i="1"/>
  <c r="B182" i="1"/>
  <c r="B51" i="1"/>
  <c r="D160" i="13"/>
  <c r="D147" i="13"/>
  <c r="D134" i="13"/>
  <c r="D121" i="13"/>
  <c r="D108" i="13"/>
  <c r="D95" i="13"/>
  <c r="D82" i="13"/>
  <c r="D69" i="13"/>
  <c r="D56" i="13"/>
  <c r="D43" i="13"/>
  <c r="D30" i="13"/>
  <c r="D17" i="13"/>
  <c r="B18" i="13"/>
  <c r="B5" i="13"/>
  <c r="G16" i="13"/>
  <c r="G15" i="13"/>
  <c r="G14" i="13"/>
  <c r="G13" i="13"/>
  <c r="G12" i="13"/>
  <c r="G11" i="13"/>
  <c r="G10" i="13"/>
  <c r="G9" i="13"/>
  <c r="G8" i="13"/>
  <c r="G7" i="13"/>
  <c r="G6" i="13"/>
  <c r="G5" i="13"/>
  <c r="D61" i="2"/>
  <c r="D60" i="2"/>
  <c r="D59" i="2"/>
  <c r="D58" i="2"/>
  <c r="D57" i="2"/>
  <c r="D56" i="2"/>
  <c r="B63" i="1"/>
  <c r="B62" i="1"/>
  <c r="B61" i="1"/>
  <c r="B60" i="1"/>
  <c r="B59" i="1"/>
  <c r="B58" i="1"/>
  <c r="B57" i="1"/>
  <c r="B56" i="1"/>
  <c r="B55" i="1"/>
  <c r="B54" i="1"/>
  <c r="B53" i="1"/>
  <c r="B52" i="1"/>
  <c r="C51" i="1"/>
  <c r="C50" i="1"/>
  <c r="B50" i="1"/>
  <c r="C181" i="1" s="1"/>
  <c r="C49" i="1"/>
  <c r="B49" i="1"/>
  <c r="C180" i="1" s="1"/>
  <c r="C48" i="1"/>
  <c r="B48" i="1"/>
  <c r="C179" i="1" s="1"/>
  <c r="C47" i="1"/>
  <c r="B47" i="1"/>
  <c r="C178" i="1" s="1"/>
  <c r="C46" i="1"/>
  <c r="B46" i="1"/>
  <c r="C177" i="1" s="1"/>
  <c r="C45" i="1"/>
  <c r="B45" i="1"/>
  <c r="C176" i="1" s="1"/>
  <c r="C44" i="1"/>
  <c r="B44" i="1"/>
  <c r="C175" i="1" s="1"/>
  <c r="C43" i="1"/>
  <c r="B43" i="1"/>
  <c r="C174" i="1" s="1"/>
  <c r="C42" i="1"/>
  <c r="B42" i="1"/>
  <c r="C173" i="1" s="1"/>
  <c r="C41" i="1"/>
  <c r="B41" i="1"/>
  <c r="C172" i="1" s="1"/>
  <c r="C40" i="1"/>
  <c r="B40" i="1"/>
  <c r="C171" i="1" s="1"/>
  <c r="C39" i="1"/>
  <c r="B39" i="1"/>
  <c r="C170" i="1" s="1"/>
  <c r="C38" i="1"/>
  <c r="B38" i="1"/>
  <c r="C169" i="1" s="1"/>
  <c r="C37" i="1"/>
  <c r="H9" i="1"/>
  <c r="H8" i="1"/>
  <c r="H7" i="1"/>
  <c r="C49" i="12"/>
  <c r="C45" i="12"/>
  <c r="C41" i="12"/>
  <c r="C37" i="12"/>
  <c r="C33" i="12"/>
  <c r="C25" i="12"/>
  <c r="C17" i="12"/>
  <c r="C13" i="12"/>
  <c r="C9" i="12"/>
  <c r="C5" i="12"/>
  <c r="G31" i="14" s="1"/>
  <c r="G33" i="14" s="1"/>
  <c r="H153" i="14" s="1"/>
  <c r="C29" i="12"/>
  <c r="B181" i="1"/>
  <c r="B180" i="1"/>
  <c r="B179" i="1"/>
  <c r="B178" i="1"/>
  <c r="B177" i="1"/>
  <c r="B176" i="1"/>
  <c r="B175" i="1"/>
  <c r="B174" i="1"/>
  <c r="B173" i="1"/>
  <c r="B172" i="1"/>
  <c r="B171" i="1"/>
  <c r="B170" i="1"/>
  <c r="B169" i="1"/>
  <c r="B167" i="1"/>
  <c r="B159" i="1"/>
  <c r="B158" i="1"/>
  <c r="B157" i="1"/>
  <c r="B156" i="1"/>
  <c r="B155" i="1"/>
  <c r="B154" i="1"/>
  <c r="B153" i="1"/>
  <c r="B152" i="1"/>
  <c r="B151" i="1"/>
  <c r="B150" i="1"/>
  <c r="B148" i="1"/>
  <c r="B147" i="1"/>
  <c r="B146" i="1"/>
  <c r="B145" i="1"/>
  <c r="B144" i="1"/>
  <c r="B143" i="1"/>
  <c r="B142" i="1"/>
  <c r="B141" i="1"/>
  <c r="B140" i="1"/>
  <c r="B139" i="1"/>
  <c r="B138" i="1"/>
  <c r="B137" i="1"/>
  <c r="B136" i="1"/>
  <c r="B135" i="1"/>
  <c r="G31" i="23" l="1"/>
  <c r="G33" i="23" s="1"/>
  <c r="H153" i="23" s="1"/>
  <c r="C156" i="23" a="1"/>
  <c r="C156" i="23" s="1"/>
  <c r="C155" i="23" a="1"/>
  <c r="C155" i="23" s="1"/>
  <c r="C158" i="23" a="1"/>
  <c r="C158" i="23" s="1"/>
  <c r="C157" i="23" a="1"/>
  <c r="C157" i="23" s="1"/>
  <c r="C156" i="14" a="1"/>
  <c r="C156" i="14" s="1"/>
  <c r="C155" i="14" a="1"/>
  <c r="C155" i="14" s="1"/>
  <c r="C158" i="14" a="1"/>
  <c r="C158" i="14" s="1"/>
  <c r="C157" i="14" a="1"/>
  <c r="C157" i="14" s="1"/>
  <c r="C139" i="1"/>
  <c r="C143" i="1"/>
  <c r="C147" i="1"/>
  <c r="C136" i="1"/>
  <c r="C140" i="1"/>
  <c r="C144" i="1"/>
  <c r="C137" i="1"/>
  <c r="C141" i="1"/>
  <c r="C145" i="1"/>
  <c r="C138" i="1"/>
  <c r="C142" i="1"/>
  <c r="C146" i="1"/>
  <c r="C135" i="1"/>
  <c r="F52" i="1"/>
  <c r="F56" i="1"/>
  <c r="F60" i="1"/>
  <c r="F38" i="1"/>
  <c r="H169" i="1" s="1"/>
  <c r="E40" i="1"/>
  <c r="F42" i="1"/>
  <c r="H173" i="1" s="1"/>
  <c r="E44" i="1"/>
  <c r="F46" i="1"/>
  <c r="H177" i="1" s="1"/>
  <c r="E48" i="1"/>
  <c r="F50" i="1"/>
  <c r="H181" i="1" s="1"/>
  <c r="E53" i="1"/>
  <c r="F57" i="1"/>
  <c r="F61" i="1"/>
  <c r="F54" i="1"/>
  <c r="E58" i="1"/>
  <c r="E62" i="1"/>
  <c r="F39" i="1"/>
  <c r="H170" i="1" s="1"/>
  <c r="F41" i="1"/>
  <c r="H172" i="1" s="1"/>
  <c r="F43" i="1"/>
  <c r="H174" i="1" s="1"/>
  <c r="F45" i="1"/>
  <c r="H176" i="1" s="1"/>
  <c r="F47" i="1"/>
  <c r="H178" i="1" s="1"/>
  <c r="F49" i="1"/>
  <c r="H180" i="1" s="1"/>
  <c r="F59" i="1"/>
  <c r="F63" i="1"/>
  <c r="C157" i="1" a="1"/>
  <c r="C157" i="1" s="1"/>
  <c r="C155" i="1" a="1"/>
  <c r="C155" i="1" s="1"/>
  <c r="C156" i="1" a="1"/>
  <c r="C156" i="1" s="1"/>
  <c r="C158" i="1" a="1"/>
  <c r="C158" i="1" s="1"/>
  <c r="F51" i="1"/>
  <c r="F37" i="1"/>
  <c r="H168" i="1" s="1"/>
  <c r="E52" i="1"/>
  <c r="F53" i="1"/>
  <c r="E57" i="1"/>
  <c r="F58" i="1"/>
  <c r="E61" i="1"/>
  <c r="F62" i="1"/>
  <c r="E51" i="1"/>
  <c r="E56" i="1"/>
  <c r="E60" i="1"/>
  <c r="E64" i="1"/>
  <c r="E54" i="1"/>
  <c r="E59" i="1"/>
  <c r="E63" i="1"/>
  <c r="E39" i="1"/>
  <c r="F40" i="1"/>
  <c r="H171" i="1" s="1"/>
  <c r="E43" i="1"/>
  <c r="F44" i="1"/>
  <c r="H175" i="1" s="1"/>
  <c r="E47" i="1"/>
  <c r="F48" i="1"/>
  <c r="H179" i="1" s="1"/>
  <c r="E38" i="1"/>
  <c r="E42" i="1"/>
  <c r="E46" i="1"/>
  <c r="E50" i="1"/>
  <c r="E41" i="1"/>
  <c r="E45" i="1"/>
  <c r="E49" i="1"/>
  <c r="E37" i="1"/>
  <c r="B148" i="13"/>
  <c r="G148" i="13"/>
  <c r="G160" i="13" s="1"/>
  <c r="B135" i="13"/>
  <c r="G135" i="13"/>
  <c r="G147" i="13" s="1"/>
  <c r="B122" i="13"/>
  <c r="G122" i="13"/>
  <c r="G134" i="13" s="1"/>
  <c r="B109" i="13"/>
  <c r="G109" i="13"/>
  <c r="G121" i="13" s="1"/>
  <c r="B96" i="13"/>
  <c r="G96" i="13"/>
  <c r="G108" i="13" s="1"/>
  <c r="B83" i="13"/>
  <c r="G83" i="13"/>
  <c r="G95" i="13" s="1"/>
  <c r="B70" i="13"/>
  <c r="G70" i="13"/>
  <c r="G82" i="13" s="1"/>
  <c r="B57" i="13"/>
  <c r="G57" i="13"/>
  <c r="G69" i="13" s="1"/>
  <c r="B44" i="13"/>
  <c r="G44" i="13"/>
  <c r="G56" i="13" s="1"/>
  <c r="B31" i="13"/>
  <c r="G31" i="13"/>
  <c r="G43" i="13" s="1"/>
  <c r="G18" i="13"/>
  <c r="G30" i="13" s="1"/>
  <c r="G17" i="13"/>
  <c r="G90" i="1" s="1"/>
  <c r="H157" i="23" l="1"/>
  <c r="D157" i="23"/>
  <c r="D158" i="23"/>
  <c r="H158" i="23"/>
  <c r="H155" i="23"/>
  <c r="D155" i="23"/>
  <c r="H156" i="23"/>
  <c r="D156" i="23"/>
  <c r="H157" i="14"/>
  <c r="D157" i="14"/>
  <c r="D158" i="14"/>
  <c r="H158" i="14"/>
  <c r="H155" i="14"/>
  <c r="D155" i="14"/>
  <c r="H156" i="14"/>
  <c r="D156" i="14"/>
  <c r="H51" i="1"/>
  <c r="H135" i="1" s="1"/>
  <c r="H61" i="1"/>
  <c r="H145" i="1" s="1"/>
  <c r="H56" i="1"/>
  <c r="H140" i="1" s="1"/>
  <c r="H62" i="1"/>
  <c r="H146" i="1" s="1"/>
  <c r="H53" i="1"/>
  <c r="H137" i="1" s="1"/>
  <c r="H63" i="1"/>
  <c r="H147" i="1" s="1"/>
  <c r="H57" i="1"/>
  <c r="H141" i="1" s="1"/>
  <c r="H52" i="1"/>
  <c r="H136" i="1" s="1"/>
  <c r="H59" i="1"/>
  <c r="H143" i="1" s="1"/>
  <c r="H64" i="1"/>
  <c r="H148" i="1" s="1"/>
  <c r="H58" i="1"/>
  <c r="H142" i="1" s="1"/>
  <c r="H54" i="1"/>
  <c r="H138" i="1" s="1"/>
  <c r="H60" i="1"/>
  <c r="H144" i="1" s="1"/>
  <c r="D155" i="1"/>
  <c r="D158" i="1"/>
  <c r="D156" i="1"/>
  <c r="D157" i="1"/>
  <c r="G94" i="1"/>
  <c r="G93" i="1"/>
  <c r="G95" i="1"/>
  <c r="G92" i="1"/>
  <c r="G91" i="1"/>
  <c r="H96" i="1"/>
  <c r="F96" i="1"/>
  <c r="E96" i="1"/>
  <c r="B168" i="6"/>
  <c r="B153" i="6"/>
  <c r="B138" i="6"/>
  <c r="B123" i="6"/>
  <c r="B108" i="6"/>
  <c r="B93" i="6"/>
  <c r="B78" i="6"/>
  <c r="B63" i="6"/>
  <c r="B48" i="6"/>
  <c r="B33" i="6"/>
  <c r="B18" i="6"/>
  <c r="B3" i="6"/>
  <c r="H215" i="23" l="1"/>
  <c r="H212" i="23"/>
  <c r="H216" i="23"/>
  <c r="H213" i="23"/>
  <c r="H215" i="14"/>
  <c r="H216" i="14"/>
  <c r="H213" i="14"/>
  <c r="H212" i="14"/>
  <c r="G96" i="1"/>
  <c r="H154" i="1" s="1"/>
  <c r="F55" i="1" l="1"/>
  <c r="E55" i="1"/>
  <c r="M4" i="11"/>
  <c r="N4" i="11" s="1"/>
  <c r="L4" i="11"/>
  <c r="L3" i="11"/>
  <c r="M3" i="11" s="1"/>
  <c r="N3" i="11" s="1"/>
  <c r="L2" i="11"/>
  <c r="M2" i="11" s="1"/>
  <c r="N2" i="11" s="1"/>
  <c r="H114" i="1"/>
  <c r="H111" i="1"/>
  <c r="F27" i="1"/>
  <c r="F26" i="1"/>
  <c r="G26" i="1" s="1"/>
  <c r="F25" i="1"/>
  <c r="H134" i="1" s="1"/>
  <c r="F23" i="1"/>
  <c r="H132" i="1" s="1"/>
  <c r="F22" i="1"/>
  <c r="H131" i="1" s="1"/>
  <c r="F21" i="1"/>
  <c r="H130" i="1" s="1"/>
  <c r="F20" i="1"/>
  <c r="H129" i="1" s="1"/>
  <c r="F19" i="1"/>
  <c r="H128" i="1" s="1"/>
  <c r="F18" i="1"/>
  <c r="H127" i="1" s="1"/>
  <c r="F17" i="1"/>
  <c r="H126" i="1" s="1"/>
  <c r="F16" i="1"/>
  <c r="H125" i="1" s="1"/>
  <c r="F15" i="1"/>
  <c r="H124" i="1" s="1"/>
  <c r="F14" i="1"/>
  <c r="H123" i="1" s="1"/>
  <c r="F13" i="1"/>
  <c r="H122" i="1" s="1"/>
  <c r="E13" i="1"/>
  <c r="E25" i="1"/>
  <c r="E23" i="1"/>
  <c r="E22" i="1"/>
  <c r="E21" i="1"/>
  <c r="E20" i="1"/>
  <c r="E19" i="1"/>
  <c r="E18" i="1"/>
  <c r="E17" i="1"/>
  <c r="E16" i="1"/>
  <c r="E15" i="1"/>
  <c r="E14" i="1"/>
  <c r="H33" i="1"/>
  <c r="F33" i="1"/>
  <c r="E33" i="1"/>
  <c r="G87" i="1"/>
  <c r="G86" i="1"/>
  <c r="G85" i="1"/>
  <c r="G84" i="1"/>
  <c r="H84" i="1" s="1"/>
  <c r="G83" i="1"/>
  <c r="H83" i="1" s="1"/>
  <c r="G82" i="1"/>
  <c r="H82" i="1" s="1"/>
  <c r="G81" i="1"/>
  <c r="H81" i="1" s="1"/>
  <c r="G80" i="1"/>
  <c r="B78" i="1" a="1"/>
  <c r="B78" i="1" s="1"/>
  <c r="C189" i="1" s="1"/>
  <c r="G30" i="1"/>
  <c r="D19" i="2"/>
  <c r="D20" i="2" s="1"/>
  <c r="D21" i="2" s="1"/>
  <c r="D22" i="2" s="1"/>
  <c r="D23" i="2" s="1"/>
  <c r="D24" i="2" s="1"/>
  <c r="D25" i="2" s="1"/>
  <c r="D26" i="2" s="1"/>
  <c r="D27" i="2" s="1"/>
  <c r="D28" i="2" s="1"/>
  <c r="D29" i="2" s="1"/>
  <c r="C19" i="2"/>
  <c r="C20" i="2" s="1"/>
  <c r="C21" i="2" s="1"/>
  <c r="C22" i="2" s="1"/>
  <c r="C23" i="2" s="1"/>
  <c r="C24" i="2" s="1"/>
  <c r="C25" i="2" s="1"/>
  <c r="C26" i="2" s="1"/>
  <c r="C27" i="2" s="1"/>
  <c r="C28" i="2" s="1"/>
  <c r="C29" i="2" s="1"/>
  <c r="B20" i="2"/>
  <c r="C8" i="12"/>
  <c r="C12" i="12" s="1"/>
  <c r="C16" i="12" s="1"/>
  <c r="C20" i="12" s="1"/>
  <c r="C24" i="12" s="1"/>
  <c r="C28" i="12" s="1"/>
  <c r="C32" i="12" s="1"/>
  <c r="C36" i="12" s="1"/>
  <c r="C40" i="12" s="1"/>
  <c r="C44" i="12" s="1"/>
  <c r="C48" i="12" s="1"/>
  <c r="C50" i="12"/>
  <c r="C46" i="12"/>
  <c r="C42" i="12"/>
  <c r="C38" i="12"/>
  <c r="C34" i="12"/>
  <c r="C30" i="12"/>
  <c r="C26" i="12"/>
  <c r="C22" i="12"/>
  <c r="C21" i="12"/>
  <c r="C18" i="12"/>
  <c r="C14" i="12"/>
  <c r="C10" i="12"/>
  <c r="C6" i="12"/>
  <c r="G32" i="1" s="1"/>
  <c r="G31" i="1"/>
  <c r="H80" i="1" l="1"/>
  <c r="H55" i="1"/>
  <c r="H139" i="1" s="1"/>
  <c r="B21" i="2"/>
  <c r="B23" i="2" s="1"/>
  <c r="B24" i="2" s="1"/>
  <c r="B25" i="2" s="1"/>
  <c r="B26" i="2" s="1"/>
  <c r="B27" i="2" s="1"/>
  <c r="B28" i="2" s="1"/>
  <c r="B29" i="2" s="1"/>
  <c r="D8" i="1"/>
  <c r="H85" i="1"/>
  <c r="H86" i="1"/>
  <c r="H87" i="1"/>
  <c r="G17" i="1"/>
  <c r="G21" i="1"/>
  <c r="G16" i="1"/>
  <c r="G20" i="1"/>
  <c r="G25" i="1"/>
  <c r="G15" i="1"/>
  <c r="G19" i="1"/>
  <c r="G23" i="1"/>
  <c r="F15" i="11"/>
  <c r="G27" i="1" s="1"/>
  <c r="D9" i="1"/>
  <c r="G3" i="9" s="1"/>
  <c r="B82" i="1"/>
  <c r="C193" i="1" s="1"/>
  <c r="B81" i="1"/>
  <c r="C192" i="1" s="1"/>
  <c r="B84" i="1"/>
  <c r="C195" i="1" s="1"/>
  <c r="B80" i="1"/>
  <c r="C191" i="1" s="1"/>
  <c r="B83" i="1"/>
  <c r="C194" i="1" s="1"/>
  <c r="G13" i="1"/>
  <c r="G14" i="1"/>
  <c r="G18" i="1"/>
  <c r="G22" i="1"/>
  <c r="G33" i="1"/>
  <c r="H153" i="1" s="1"/>
  <c r="D5" i="1"/>
  <c r="H28" i="1"/>
  <c r="H98" i="1" s="1"/>
  <c r="F28" i="1"/>
  <c r="E28" i="1"/>
  <c r="B2" i="11"/>
  <c r="N75" i="1"/>
  <c r="H6" i="1"/>
  <c r="A49" i="8"/>
  <c r="A48" i="8"/>
  <c r="A45" i="8"/>
  <c r="A44" i="8"/>
  <c r="A41" i="8"/>
  <c r="A40" i="8"/>
  <c r="A37" i="8"/>
  <c r="A36" i="8"/>
  <c r="A33" i="8"/>
  <c r="A32" i="8"/>
  <c r="A29" i="8"/>
  <c r="A28" i="8"/>
  <c r="A25" i="8"/>
  <c r="A24" i="8"/>
  <c r="A21" i="8"/>
  <c r="A20" i="8"/>
  <c r="A17" i="8"/>
  <c r="A16" i="8"/>
  <c r="A13" i="8"/>
  <c r="A12" i="8"/>
  <c r="A9" i="8"/>
  <c r="A8" i="8"/>
  <c r="F74" i="1"/>
  <c r="H187" i="1" s="1"/>
  <c r="F75" i="1"/>
  <c r="H188" i="1" s="1"/>
  <c r="E75" i="1"/>
  <c r="E76" i="1" s="1"/>
  <c r="G75" i="1"/>
  <c r="K40" i="9"/>
  <c r="G4" i="9"/>
  <c r="H4" i="9" s="1"/>
  <c r="G34" i="1" l="1"/>
  <c r="H151" i="1"/>
  <c r="E78" i="1"/>
  <c r="E79" i="1"/>
  <c r="F36" i="1"/>
  <c r="H167" i="1" s="1"/>
  <c r="F79" i="1"/>
  <c r="H190" i="1" s="1"/>
  <c r="E36" i="1"/>
  <c r="F78" i="1"/>
  <c r="H189" i="1" s="1"/>
  <c r="G28" i="1"/>
  <c r="F76" i="1"/>
  <c r="E98" i="1"/>
  <c r="F98" i="1"/>
  <c r="H3" i="9"/>
  <c r="H75" i="1"/>
  <c r="H216" i="1" l="1"/>
  <c r="G98" i="1"/>
  <c r="H152" i="1"/>
  <c r="G72" i="1"/>
  <c r="F70" i="1" s="1"/>
  <c r="H149" i="1" s="1"/>
  <c r="G79" i="1"/>
  <c r="H79" i="1" s="1"/>
  <c r="E88" i="1"/>
  <c r="F88" i="1"/>
  <c r="G78" i="1"/>
  <c r="E16" i="9"/>
  <c r="E20" i="9" s="1"/>
  <c r="E24" i="9" s="1"/>
  <c r="E28" i="9" s="1"/>
  <c r="E32" i="9" s="1"/>
  <c r="E36" i="9" s="1"/>
  <c r="E40" i="9" s="1"/>
  <c r="E44" i="9" s="1"/>
  <c r="E48" i="9" s="1"/>
  <c r="E12" i="9"/>
  <c r="E8" i="9"/>
  <c r="F8" i="9"/>
  <c r="F7" i="9"/>
  <c r="F11" i="9" s="1"/>
  <c r="E7" i="9"/>
  <c r="E11" i="9" s="1"/>
  <c r="E13" i="8"/>
  <c r="E17" i="8" s="1"/>
  <c r="E21" i="8" s="1"/>
  <c r="E25" i="8" s="1"/>
  <c r="E29" i="8" s="1"/>
  <c r="E33" i="8" s="1"/>
  <c r="E37" i="8" s="1"/>
  <c r="E41" i="8" s="1"/>
  <c r="E45" i="8" s="1"/>
  <c r="E49" i="8" s="1"/>
  <c r="F9" i="8"/>
  <c r="F13" i="8" s="1"/>
  <c r="F17" i="8" s="1"/>
  <c r="F21" i="8" s="1"/>
  <c r="F25" i="8" s="1"/>
  <c r="F29" i="8" s="1"/>
  <c r="F33" i="8" s="1"/>
  <c r="F37" i="8" s="1"/>
  <c r="F41" i="8" s="1"/>
  <c r="F45" i="8" s="1"/>
  <c r="F49" i="8" s="1"/>
  <c r="F8" i="8"/>
  <c r="F12" i="8" s="1"/>
  <c r="F16" i="8" s="1"/>
  <c r="F20" i="8" s="1"/>
  <c r="F24" i="8" s="1"/>
  <c r="F28" i="8" s="1"/>
  <c r="F32" i="8" s="1"/>
  <c r="F36" i="8" s="1"/>
  <c r="F40" i="8" s="1"/>
  <c r="F44" i="8" s="1"/>
  <c r="F48" i="8" s="1"/>
  <c r="E9" i="8"/>
  <c r="E8" i="8"/>
  <c r="E12" i="8" s="1"/>
  <c r="E16" i="8" s="1"/>
  <c r="E20" i="8" s="1"/>
  <c r="E24" i="8" s="1"/>
  <c r="E28" i="8" s="1"/>
  <c r="E32" i="8" s="1"/>
  <c r="E36" i="8" s="1"/>
  <c r="E40" i="8" s="1"/>
  <c r="E44" i="8" s="1"/>
  <c r="E48" i="8" s="1"/>
  <c r="D9" i="8"/>
  <c r="D13" i="8" s="1"/>
  <c r="D17" i="8" s="1"/>
  <c r="D21" i="8" s="1"/>
  <c r="D25" i="8" s="1"/>
  <c r="D29" i="8" s="1"/>
  <c r="D33" i="8" s="1"/>
  <c r="D37" i="8" s="1"/>
  <c r="D41" i="8" s="1"/>
  <c r="D45" i="8" s="1"/>
  <c r="D49" i="8" s="1"/>
  <c r="D8" i="8"/>
  <c r="D12" i="8" s="1"/>
  <c r="D16" i="8" s="1"/>
  <c r="D20" i="8" s="1"/>
  <c r="D24" i="8" s="1"/>
  <c r="D28" i="8" s="1"/>
  <c r="D32" i="8" s="1"/>
  <c r="D36" i="8" s="1"/>
  <c r="D40" i="8" s="1"/>
  <c r="D44" i="8" s="1"/>
  <c r="D48" i="8" s="1"/>
  <c r="C9" i="8"/>
  <c r="C13" i="8" s="1"/>
  <c r="C17" i="8" s="1"/>
  <c r="C21" i="8" s="1"/>
  <c r="C25" i="8" s="1"/>
  <c r="C29" i="8" s="1"/>
  <c r="C33" i="8" s="1"/>
  <c r="C37" i="8" s="1"/>
  <c r="C41" i="8" s="1"/>
  <c r="C45" i="8" s="1"/>
  <c r="C49" i="8" s="1"/>
  <c r="C8" i="8"/>
  <c r="C12" i="8" s="1"/>
  <c r="C16" i="8" s="1"/>
  <c r="C20" i="8" s="1"/>
  <c r="C24" i="8" s="1"/>
  <c r="C28" i="8" s="1"/>
  <c r="C32" i="8" s="1"/>
  <c r="C36" i="8" s="1"/>
  <c r="C40" i="8" s="1"/>
  <c r="C44" i="8" s="1"/>
  <c r="C48" i="8" s="1"/>
  <c r="E2" i="1"/>
  <c r="H10" i="1"/>
  <c r="D6" i="1"/>
  <c r="D10" i="1"/>
  <c r="H5" i="1"/>
  <c r="H4" i="1"/>
  <c r="D4" i="1"/>
  <c r="H2" i="1"/>
  <c r="H3" i="1"/>
  <c r="D119" i="1" s="1"/>
  <c r="D164" i="1" s="1"/>
  <c r="H215" i="1" s="1"/>
  <c r="D3" i="1"/>
  <c r="H213" i="1" l="1"/>
  <c r="H212" i="1"/>
  <c r="D7" i="1" a="1"/>
  <c r="D7" i="1" s="1"/>
  <c r="B119" i="1"/>
  <c r="E120" i="1"/>
  <c r="E165" i="1"/>
  <c r="G88" i="1"/>
  <c r="F72" i="1"/>
  <c r="H72" i="1"/>
  <c r="H207" i="1"/>
  <c r="F9" i="9"/>
  <c r="H78" i="1"/>
  <c r="H88" i="1" s="1"/>
  <c r="F12" i="9"/>
  <c r="G8" i="9"/>
  <c r="H8" i="9" s="1"/>
  <c r="E13" i="9"/>
  <c r="E15" i="9"/>
  <c r="E9" i="9"/>
  <c r="F13" i="9"/>
  <c r="F15" i="9"/>
  <c r="H116" i="1"/>
  <c r="F115" i="1"/>
  <c r="C117" i="1" s="1"/>
  <c r="F112" i="1"/>
  <c r="B164" i="1" l="1"/>
  <c r="H158" i="1" s="1"/>
  <c r="H157" i="1"/>
  <c r="F99" i="1"/>
  <c r="G47" i="9"/>
  <c r="G31" i="9"/>
  <c r="G15" i="9"/>
  <c r="H15" i="9" s="1"/>
  <c r="G7" i="9"/>
  <c r="G35" i="9"/>
  <c r="G43" i="9"/>
  <c r="G27" i="9"/>
  <c r="G11" i="9"/>
  <c r="H11" i="9" s="1"/>
  <c r="G23" i="9"/>
  <c r="K39" i="9"/>
  <c r="G39" i="9"/>
  <c r="G19" i="9"/>
  <c r="F16" i="9"/>
  <c r="G12" i="9"/>
  <c r="E17" i="9"/>
  <c r="E19" i="9"/>
  <c r="F17" i="9"/>
  <c r="F19" i="9"/>
  <c r="H156" i="1" l="1"/>
  <c r="G74" i="14"/>
  <c r="H150" i="14" s="1"/>
  <c r="G74" i="23"/>
  <c r="H155" i="1"/>
  <c r="F101" i="1"/>
  <c r="G74" i="1"/>
  <c r="H150" i="1" s="1"/>
  <c r="G13" i="9"/>
  <c r="H7" i="9"/>
  <c r="H9" i="9" s="1"/>
  <c r="G9" i="9"/>
  <c r="F20" i="9"/>
  <c r="F21" i="9" s="1"/>
  <c r="G16" i="9"/>
  <c r="H16" i="9" s="1"/>
  <c r="H17" i="9" s="1"/>
  <c r="H12" i="9"/>
  <c r="H13" i="9" s="1"/>
  <c r="H19" i="9"/>
  <c r="G17" i="9"/>
  <c r="E21" i="9"/>
  <c r="E23" i="9"/>
  <c r="F23" i="9"/>
  <c r="G76" i="14" l="1"/>
  <c r="G99" i="14" s="1"/>
  <c r="G101" i="14" s="1"/>
  <c r="H112" i="14" s="1"/>
  <c r="H150" i="23"/>
  <c r="G76" i="23"/>
  <c r="G99" i="23" s="1"/>
  <c r="G101" i="23" s="1"/>
  <c r="H214" i="14"/>
  <c r="H218" i="14" s="1"/>
  <c r="G217" i="14"/>
  <c r="G218" i="14" s="1"/>
  <c r="G217" i="1"/>
  <c r="H214" i="1"/>
  <c r="G76" i="1"/>
  <c r="F24" i="9"/>
  <c r="G20" i="9"/>
  <c r="H20" i="9" s="1"/>
  <c r="H21" i="9"/>
  <c r="H23" i="9"/>
  <c r="E25" i="9"/>
  <c r="E27" i="9"/>
  <c r="F25" i="9"/>
  <c r="F27" i="9"/>
  <c r="G103" i="14" l="1"/>
  <c r="G108" i="14" s="1"/>
  <c r="G107" i="14" s="1"/>
  <c r="H107" i="14" s="1"/>
  <c r="H108" i="14" s="1"/>
  <c r="H115" i="14" s="1"/>
  <c r="H117" i="14" s="1"/>
  <c r="G103" i="23"/>
  <c r="G108" i="23" s="1"/>
  <c r="G107" i="23" s="1"/>
  <c r="H107" i="23" s="1"/>
  <c r="H112" i="23"/>
  <c r="H214" i="23"/>
  <c r="H218" i="23" s="1"/>
  <c r="G217" i="23"/>
  <c r="G218" i="23" s="1"/>
  <c r="G99" i="1"/>
  <c r="G101" i="1" s="1"/>
  <c r="H76" i="1"/>
  <c r="H99" i="1" s="1"/>
  <c r="F28" i="9"/>
  <c r="F29" i="9" s="1"/>
  <c r="G24" i="9"/>
  <c r="H24" i="9" s="1"/>
  <c r="H25" i="9" s="1"/>
  <c r="G21" i="9"/>
  <c r="H27" i="9"/>
  <c r="G25" i="9"/>
  <c r="E29" i="9"/>
  <c r="E31" i="9"/>
  <c r="F31" i="9"/>
  <c r="H159" i="14" l="1"/>
  <c r="H162" i="14" s="1"/>
  <c r="H209" i="14" s="1"/>
  <c r="H159" i="23"/>
  <c r="H162" i="23" s="1"/>
  <c r="H209" i="23" s="1"/>
  <c r="H108" i="23"/>
  <c r="H115" i="23" s="1"/>
  <c r="H117" i="23" s="1"/>
  <c r="G103" i="1"/>
  <c r="G108" i="1" s="1"/>
  <c r="G107" i="1" s="1"/>
  <c r="H112" i="1"/>
  <c r="H101" i="1"/>
  <c r="F32" i="9"/>
  <c r="F33" i="9" s="1"/>
  <c r="G28" i="9"/>
  <c r="H28" i="9" s="1"/>
  <c r="H29" i="9"/>
  <c r="G29" i="9"/>
  <c r="H31" i="9"/>
  <c r="E33" i="9"/>
  <c r="E35" i="9"/>
  <c r="F35" i="9"/>
  <c r="H107" i="1" l="1"/>
  <c r="H218" i="1"/>
  <c r="F36" i="9"/>
  <c r="G32" i="9"/>
  <c r="H32" i="9" s="1"/>
  <c r="H33" i="9" s="1"/>
  <c r="H35" i="9"/>
  <c r="E37" i="9"/>
  <c r="E39" i="9"/>
  <c r="F37" i="9"/>
  <c r="F39" i="9"/>
  <c r="H159" i="1" l="1"/>
  <c r="H108" i="1"/>
  <c r="G33" i="9"/>
  <c r="F40" i="9"/>
  <c r="F41" i="9" s="1"/>
  <c r="G36" i="9"/>
  <c r="H36" i="9"/>
  <c r="H37" i="9" s="1"/>
  <c r="G37" i="9"/>
  <c r="H39" i="9"/>
  <c r="E41" i="9"/>
  <c r="E43" i="9"/>
  <c r="F43" i="9"/>
  <c r="G218" i="1" l="1"/>
  <c r="L217" i="1"/>
  <c r="H115" i="1"/>
  <c r="H117" i="1" s="1"/>
  <c r="H162" i="1"/>
  <c r="H209" i="1" s="1"/>
  <c r="F44" i="9"/>
  <c r="G40" i="9"/>
  <c r="H40" i="9" s="1"/>
  <c r="H41" i="9" s="1"/>
  <c r="H43" i="9"/>
  <c r="E45" i="9"/>
  <c r="E47" i="9"/>
  <c r="E49" i="9" s="1"/>
  <c r="F47" i="9"/>
  <c r="G41" i="9" l="1"/>
  <c r="F48" i="9"/>
  <c r="G44" i="9"/>
  <c r="H44" i="9" s="1"/>
  <c r="H45" i="9" s="1"/>
  <c r="F45" i="9"/>
  <c r="H47" i="9"/>
  <c r="G45" i="9" l="1"/>
  <c r="G48" i="9"/>
  <c r="G49" i="9" s="1"/>
  <c r="F49" i="9"/>
  <c r="H48" i="9" l="1"/>
  <c r="H49" i="9" s="1"/>
  <c r="E72" i="1" l="1"/>
  <c r="E99" i="1" s="1"/>
  <c r="E101" i="1" s="1"/>
</calcChain>
</file>

<file path=xl/sharedStrings.xml><?xml version="1.0" encoding="utf-8"?>
<sst xmlns="http://schemas.openxmlformats.org/spreadsheetml/2006/main" count="1790" uniqueCount="304">
  <si>
    <t>Perçu/payé par le bénéficiaire</t>
  </si>
  <si>
    <t>Perçu/payé par le service</t>
  </si>
  <si>
    <t>Droit selon les normes</t>
  </si>
  <si>
    <t>Supplément compte sans garantie</t>
  </si>
  <si>
    <t>Budget d'aide matérielle</t>
  </si>
  <si>
    <t>Bénéficiaire :</t>
  </si>
  <si>
    <t>Année :</t>
  </si>
  <si>
    <t>Mois :</t>
  </si>
  <si>
    <t>Solde du compte d'aide matérielle à fin :</t>
  </si>
  <si>
    <t>Solde du compte sans garantie à fin :</t>
  </si>
  <si>
    <t>Bénéficiaires :</t>
  </si>
  <si>
    <t>No Magic</t>
  </si>
  <si>
    <t>Solde SSC au 1.1.</t>
  </si>
  <si>
    <t>Solde SG au 1.1.</t>
  </si>
  <si>
    <t>Adresse :</t>
  </si>
  <si>
    <t>Etat civil :</t>
  </si>
  <si>
    <t>Date de naissance :</t>
  </si>
  <si>
    <t>Année de création :</t>
  </si>
  <si>
    <t>Article :</t>
  </si>
  <si>
    <t>Commune d'origine :</t>
  </si>
  <si>
    <t>Canton origine :</t>
  </si>
  <si>
    <t>Pays :</t>
  </si>
  <si>
    <t xml:space="preserve">Total des revenus </t>
  </si>
  <si>
    <t>No dossier :</t>
  </si>
  <si>
    <t>AS :</t>
  </si>
  <si>
    <t>Domicile LFA :</t>
  </si>
  <si>
    <t>Domicile LaSoc :</t>
  </si>
  <si>
    <t>Pièce comptable</t>
  </si>
  <si>
    <t>Groupe</t>
  </si>
  <si>
    <t>Groupe :</t>
  </si>
  <si>
    <t xml:space="preserve">Forfait entretien </t>
  </si>
  <si>
    <t>E</t>
  </si>
  <si>
    <t>Revenus</t>
  </si>
  <si>
    <t>A</t>
  </si>
  <si>
    <t>Frais médicaux</t>
  </si>
  <si>
    <t>M</t>
  </si>
  <si>
    <t>Prestations circonstancielles</t>
  </si>
  <si>
    <t>C</t>
  </si>
  <si>
    <t>Frais de logement</t>
  </si>
  <si>
    <t>L</t>
  </si>
  <si>
    <t>Primes maladie (Lamal)</t>
  </si>
  <si>
    <t>PM</t>
  </si>
  <si>
    <t>Frais médicaux / participations</t>
  </si>
  <si>
    <t>Charges locatives</t>
  </si>
  <si>
    <t xml:space="preserve">Total des frais de logement : </t>
  </si>
  <si>
    <t>LAMAL</t>
  </si>
  <si>
    <t>LCA</t>
  </si>
  <si>
    <t>Dcpte part.</t>
  </si>
  <si>
    <t>Total des frais médicaux</t>
  </si>
  <si>
    <t>Compte</t>
  </si>
  <si>
    <t>Forfait</t>
  </si>
  <si>
    <t>Frais de location ou int. Hyp. Sans amortissement</t>
  </si>
  <si>
    <t>Total du forfait :</t>
  </si>
  <si>
    <t>Diminution si non-collaboration (-15 %)</t>
  </si>
  <si>
    <t>Besoins fondamentaux</t>
  </si>
  <si>
    <t>(uniquement sur présentation des justificatifs)(art. 11 ACE 2.5.06)</t>
  </si>
  <si>
    <t>Nourriture, boissons, argent de poche, vêtements, articles pour bébés, chaussures, linges, consommation d'énergie, nettoyages, entretien de l'appartement et des vêtements, taxes déchets, achat de menus articles courants, frais de santé (sans la franchise : médicaments non remboursés par la caisse maladie d'usage courant), prime LCA, frais de transports (y.c. abonnement demi tarif : transports publics locaux) entretien vélo/vélomoteur, communication à distance (téléphone-timbres), loisirs et formation (concessions radio TV rt téléréseau, sport, journaux, jeux, livres, tabac, cinéma, animaux domestiques, frais d'écolage, fournitures scolaires etc.), soins corporels, équipement personnel, boissons prises à l'extérieur, autres (cadeaux, cotisations) assurance ménage</t>
  </si>
  <si>
    <t>Suppléments</t>
  </si>
  <si>
    <t>Revenu de M.</t>
  </si>
  <si>
    <t>Revenu de Mme</t>
  </si>
  <si>
    <t>Rente AI</t>
  </si>
  <si>
    <t>Prestations complémentaires</t>
  </si>
  <si>
    <t>Rente AVS</t>
  </si>
  <si>
    <t>Allocations familiales</t>
  </si>
  <si>
    <t xml:space="preserve">Date </t>
  </si>
  <si>
    <t>Libellé</t>
  </si>
  <si>
    <t>Code</t>
  </si>
  <si>
    <t>Odre de paiement</t>
  </si>
  <si>
    <t>Date du jour :</t>
  </si>
  <si>
    <t>Paiements échelonnés</t>
  </si>
  <si>
    <t>Janvier</t>
  </si>
  <si>
    <t>Février</t>
  </si>
  <si>
    <t>Mars</t>
  </si>
  <si>
    <t>Avril</t>
  </si>
  <si>
    <t>Mai</t>
  </si>
  <si>
    <t>Juin</t>
  </si>
  <si>
    <t>Juillet</t>
  </si>
  <si>
    <t>Août</t>
  </si>
  <si>
    <t>Septembre</t>
  </si>
  <si>
    <t>Octobre</t>
  </si>
  <si>
    <t>Novembre</t>
  </si>
  <si>
    <t>Décembre</t>
  </si>
  <si>
    <t>LOY</t>
  </si>
  <si>
    <t>CHA</t>
  </si>
  <si>
    <t>Ressources</t>
  </si>
  <si>
    <t>Autres</t>
  </si>
  <si>
    <t>ENT</t>
  </si>
  <si>
    <t>Nom</t>
  </si>
  <si>
    <t>Prime mensuelle</t>
  </si>
  <si>
    <t>Subvention</t>
  </si>
  <si>
    <t>Assurance maladie :</t>
  </si>
  <si>
    <t>Treizième salaire de M.</t>
  </si>
  <si>
    <t>Treizième salaire de Mme</t>
  </si>
  <si>
    <t>Renevu autre membre de la famille</t>
  </si>
  <si>
    <t>Comment utiliser ce document ?</t>
  </si>
  <si>
    <t>En premier lieu il faut compléter l'onglet "Les normes-données de base" les cellules mentionnées en</t>
  </si>
  <si>
    <t>NV</t>
  </si>
  <si>
    <t>Treyvaux</t>
  </si>
  <si>
    <t>FR</t>
  </si>
  <si>
    <t>CH</t>
  </si>
  <si>
    <t>veuve</t>
  </si>
  <si>
    <t>Indemnité chômage</t>
  </si>
  <si>
    <t>Indemnité journalière mal/acc</t>
  </si>
  <si>
    <t>Données personnelles</t>
  </si>
  <si>
    <t>Impasse de l'Opéra 1</t>
  </si>
  <si>
    <t>1696 Vuisternens-en-Ogoz</t>
  </si>
  <si>
    <t>Nb. de personnes aidées :</t>
  </si>
  <si>
    <t>Nb. pers. dans le ménage :</t>
  </si>
  <si>
    <t>32/33</t>
  </si>
  <si>
    <t>CSS</t>
  </si>
  <si>
    <t>Payé par le Service</t>
  </si>
  <si>
    <t>oui</t>
  </si>
  <si>
    <t>de l'onglet "Caisse maladie "</t>
  </si>
  <si>
    <t>Données de base</t>
  </si>
  <si>
    <t>Caisse maladie</t>
  </si>
  <si>
    <t>Pièces justificatives et factures</t>
  </si>
  <si>
    <t>Conclusion</t>
  </si>
  <si>
    <t>Votre avis m'intéresse</t>
  </si>
  <si>
    <t>Si vous pensez qu'on pourrait améliorer le document en question faites le moi savoir!</t>
  </si>
  <si>
    <t>En attendant, je vous souhaite beaucoup de plaisir à le tester !</t>
  </si>
  <si>
    <t>si ca commence en cours d'année ?</t>
  </si>
  <si>
    <t>Compléter les cellules du mois de janvier de l'onglet "Caisse maladie "</t>
  </si>
  <si>
    <r>
      <t xml:space="preserve">S'il y a des modifications à apporter dans les données personnelles en cours d'année (état civil, nombre de personnes dans le ménage, nombre de personnes aidées), il faut </t>
    </r>
    <r>
      <rPr>
        <b/>
        <u/>
        <sz val="11"/>
        <color theme="1"/>
        <rFont val="Calibri"/>
        <family val="2"/>
        <scheme val="minor"/>
      </rPr>
      <t>IMPERATIVEMENT</t>
    </r>
    <r>
      <rPr>
        <sz val="11"/>
        <color theme="1"/>
        <rFont val="Calibri"/>
        <family val="2"/>
        <scheme val="minor"/>
      </rPr>
      <t xml:space="preserve"> le modifier dans l'onglet "Les normes-données de base" le mois concerné !</t>
    </r>
  </si>
  <si>
    <r>
      <t xml:space="preserve">S'il y a des modifications à apporter dans les caisses maladie en cours d'année , il faut </t>
    </r>
    <r>
      <rPr>
        <b/>
        <u/>
        <sz val="11"/>
        <color theme="1"/>
        <rFont val="Calibri"/>
        <family val="2"/>
        <scheme val="minor"/>
      </rPr>
      <t>IMPERATIVEMENT</t>
    </r>
    <r>
      <rPr>
        <sz val="11"/>
        <color theme="1"/>
        <rFont val="Calibri"/>
        <family val="2"/>
        <scheme val="minor"/>
      </rPr>
      <t xml:space="preserve"> le modifier dans l'onglet "Caisse maladie" le mois concerné !</t>
    </r>
  </si>
  <si>
    <t>Forfait entretien</t>
  </si>
  <si>
    <t>Normes</t>
  </si>
  <si>
    <t>par personne</t>
  </si>
  <si>
    <t>Nombre de personne</t>
  </si>
  <si>
    <t>forfait par mois</t>
  </si>
  <si>
    <t>forfait par mois/par personne</t>
  </si>
  <si>
    <t>Logement sans les charges</t>
  </si>
  <si>
    <t>loyer mensuel</t>
  </si>
  <si>
    <t>Attention à modifier quand tous les onglets des budgets seront prêts</t>
  </si>
  <si>
    <t>janvier</t>
  </si>
  <si>
    <t>mai</t>
  </si>
  <si>
    <t>février</t>
  </si>
  <si>
    <t>Franchise</t>
  </si>
  <si>
    <t>Franchise si activité lucrative à 100 % durant 1 mois au minimum (au prorata du temps de travail : minimum 200.--/maximum 400.--)</t>
  </si>
  <si>
    <t>Suppléments d'intégration</t>
  </si>
  <si>
    <t>Total des revenus</t>
  </si>
  <si>
    <t>Total des suppléments d'intégration</t>
  </si>
  <si>
    <t>Total des prestations circonstancielles</t>
  </si>
  <si>
    <t>Nicole Villet</t>
  </si>
  <si>
    <t>Tête de cordée</t>
  </si>
  <si>
    <t>Enfant 1</t>
  </si>
  <si>
    <t>Enfant 2</t>
  </si>
  <si>
    <t>Enfant3</t>
  </si>
  <si>
    <t>Enfant4</t>
  </si>
  <si>
    <t>Enfant 5</t>
  </si>
  <si>
    <t>Conjoint/concubin</t>
  </si>
  <si>
    <t>Charlyne Villet</t>
  </si>
  <si>
    <t>Par contre inscrire le nombre total de personne dans le ménage à la ligne 19</t>
  </si>
  <si>
    <t>Inscrire le nombre de personne aidée à la ligne 20</t>
  </si>
  <si>
    <t>Personne sans activité qui fournit un effort d'intégration et ne peut participer à une mesure d'intégration</t>
  </si>
  <si>
    <t>Prime d'encouragement MIS</t>
  </si>
  <si>
    <t>Famille monoparentale si enfant de moins de 16 ans et si la mère vit seule avec ses enfants, sans colocataire ou concubin</t>
  </si>
  <si>
    <t>forfait</t>
  </si>
  <si>
    <t>A compléter ci-dessous SVP !</t>
  </si>
  <si>
    <t>Est-ce qu'une MIS est en place</t>
  </si>
  <si>
    <t>Combien de personnes sont en MIS</t>
  </si>
  <si>
    <t>Insérer le conjoint/concubin, les enfants ou colocataires !</t>
  </si>
  <si>
    <t>Colin Villet</t>
  </si>
  <si>
    <t>coloc1</t>
  </si>
  <si>
    <t>coloc2</t>
  </si>
  <si>
    <t>coloc3</t>
  </si>
  <si>
    <t>coloc4</t>
  </si>
  <si>
    <t>mars</t>
  </si>
  <si>
    <t>avril</t>
  </si>
  <si>
    <t>juin</t>
  </si>
  <si>
    <t>juillet</t>
  </si>
  <si>
    <t>août</t>
  </si>
  <si>
    <t>septembre</t>
  </si>
  <si>
    <t>octobre</t>
  </si>
  <si>
    <t>novembre</t>
  </si>
  <si>
    <t>décembre</t>
  </si>
  <si>
    <t>Dentiste</t>
  </si>
  <si>
    <t>état civil</t>
  </si>
  <si>
    <t>nb personnes aidées</t>
  </si>
  <si>
    <t>nb personnes dans le ménage</t>
  </si>
  <si>
    <t>taux d'activité %</t>
  </si>
  <si>
    <t>Durée en jours</t>
  </si>
  <si>
    <t>Lunettes</t>
  </si>
  <si>
    <t>non</t>
  </si>
  <si>
    <t>dont :</t>
  </si>
  <si>
    <t>Versé au bénéficiaire</t>
  </si>
  <si>
    <t>Etat de la dette</t>
  </si>
  <si>
    <t>Dette totale à la fin</t>
  </si>
  <si>
    <t>(minus = en faveur du SSG)</t>
  </si>
  <si>
    <t>Assurance ménage</t>
  </si>
  <si>
    <t>Electricité</t>
  </si>
  <si>
    <t>Téléphone</t>
  </si>
  <si>
    <t>OCN</t>
  </si>
  <si>
    <t>Assurance véhicule</t>
  </si>
  <si>
    <t>Billag</t>
  </si>
  <si>
    <t>Impôts communaux</t>
  </si>
  <si>
    <t>Impôts cantonaux</t>
  </si>
  <si>
    <t>Bourse (étude ou autres)</t>
  </si>
  <si>
    <r>
      <t xml:space="preserve">Pour les factures à paiements échelonnés sur plusieurs mois, </t>
    </r>
    <r>
      <rPr>
        <b/>
        <u/>
        <sz val="11"/>
        <color theme="1"/>
        <rFont val="Calibri"/>
        <family val="2"/>
        <scheme val="minor"/>
      </rPr>
      <t>il est impératif de compléter l'onglet "paiements échelonnés" uniquement</t>
    </r>
    <r>
      <rPr>
        <sz val="11"/>
        <color theme="1"/>
        <rFont val="Calibri"/>
        <family val="2"/>
        <scheme val="minor"/>
      </rPr>
      <t>. La magie d'excel fera le reste !!</t>
    </r>
  </si>
  <si>
    <t>Paiements par le compte SG (pour les factures retenues chaque mois)</t>
  </si>
  <si>
    <t>Créanciers</t>
  </si>
  <si>
    <t>Montants</t>
  </si>
  <si>
    <t>SCC</t>
  </si>
  <si>
    <t>Commune de Farvagny</t>
  </si>
  <si>
    <t>Générali</t>
  </si>
  <si>
    <t>Payé par le service</t>
  </si>
  <si>
    <t>Groupe E</t>
  </si>
  <si>
    <t>Impôt véhicule</t>
  </si>
  <si>
    <r>
      <t>Pour les factures uniques (payées en une fois)</t>
    </r>
    <r>
      <rPr>
        <b/>
        <u/>
        <sz val="11"/>
        <color theme="1"/>
        <rFont val="Calibri"/>
        <family val="2"/>
        <scheme val="minor"/>
      </rPr>
      <t xml:space="preserve"> pour lesquelles vous n'avez pas fait de retenue par le compte SG</t>
    </r>
    <r>
      <rPr>
        <sz val="11"/>
        <color theme="1"/>
        <rFont val="Calibri"/>
        <family val="2"/>
        <scheme val="minor"/>
      </rPr>
      <t>, veuillez les mentionner sur les lignes prévues à cet effet avec la couleur rose dans la colonne B. PS ne pas oublier de mentionner le montant dans la colonne correspondante (payée par le service ou payée par le bénéficiaire)</t>
    </r>
  </si>
  <si>
    <r>
      <t>Pour les factures uniques (payées en une fois)</t>
    </r>
    <r>
      <rPr>
        <b/>
        <u/>
        <sz val="11"/>
        <color theme="1"/>
        <rFont val="Calibri"/>
        <family val="2"/>
        <scheme val="minor"/>
      </rPr>
      <t xml:space="preserve"> pour lesquelles AVEZ FAIT une retenue par le compte SG</t>
    </r>
    <r>
      <rPr>
        <sz val="11"/>
        <color theme="1"/>
        <rFont val="Calibri"/>
        <family val="2"/>
        <scheme val="minor"/>
      </rPr>
      <t xml:space="preserve">, veuillez les mentionner sur les lignes prévues à cet effet avec la couleur rose dans la colonne B. </t>
    </r>
    <r>
      <rPr>
        <b/>
        <u/>
        <sz val="11"/>
        <color theme="1"/>
        <rFont val="Calibri"/>
        <family val="2"/>
        <scheme val="minor"/>
      </rPr>
      <t>Dans ce cas, le montant doit IMPERATIVEMENT être mentionné dans la colonne SG.</t>
    </r>
  </si>
  <si>
    <t>Pour les décompte de participation de la CM, mentionner uniquement le No de décompte dans la colonne C et le montant à payer dans la colonne correspondante (payé par le bénéficiaire ou payé par le service)</t>
  </si>
  <si>
    <r>
      <t>Pour les décompte de remboursement de la caisse de compensation, mentionner uniquement la date du décompte dans la colonne C et le montant à recevoir (</t>
    </r>
    <r>
      <rPr>
        <b/>
        <u/>
        <sz val="11"/>
        <color theme="1"/>
        <rFont val="Calibri"/>
        <family val="2"/>
        <scheme val="minor"/>
      </rPr>
      <t>à inscrire impérativement avec un moins devant le montant</t>
    </r>
    <r>
      <rPr>
        <sz val="11"/>
        <color theme="1"/>
        <rFont val="Calibri"/>
        <family val="2"/>
        <scheme val="minor"/>
      </rPr>
      <t xml:space="preserve">,           exemple </t>
    </r>
    <r>
      <rPr>
        <b/>
        <u/>
        <sz val="11"/>
        <color rgb="FFFF0000"/>
        <rFont val="Calibri"/>
        <family val="2"/>
        <scheme val="minor"/>
      </rPr>
      <t>-412.80</t>
    </r>
    <r>
      <rPr>
        <sz val="11"/>
        <color theme="1"/>
        <rFont val="Calibri"/>
        <family val="2"/>
        <scheme val="minor"/>
      </rPr>
      <t>) dans la colonne correspondante (reçu par le bénéficiaire ou reçu par le service)</t>
    </r>
  </si>
  <si>
    <t xml:space="preserve">Remb. frais méd. </t>
  </si>
  <si>
    <t>Caisse compensation</t>
  </si>
  <si>
    <t>Frais de transports</t>
  </si>
  <si>
    <t>Repas pris hors du domicile</t>
  </si>
  <si>
    <t>Pour les frais de transports, remplir l'onglet "frais de transport"</t>
  </si>
  <si>
    <t>Pour les repas pris hors du domicile mentionner le nombre de repas dans la cellule correspondante de la colonne D</t>
  </si>
  <si>
    <t>Pour toutes les autres prestations circonstancielles, acceptées par la ComSoc, il faut les mentionner dans les 4 lignes prévues à cet effet et mentionner le montant dans la colonne correspondante</t>
  </si>
  <si>
    <t>Décompte des frais de transport</t>
  </si>
  <si>
    <t>Lieu de départ</t>
  </si>
  <si>
    <t>Lieu d'arrivée</t>
  </si>
  <si>
    <t>Nombre de course</t>
  </si>
  <si>
    <t>KM/course</t>
  </si>
  <si>
    <t>Montant</t>
  </si>
  <si>
    <t>But du trajet</t>
  </si>
  <si>
    <t>Vuisternens</t>
  </si>
  <si>
    <t>Farvagny</t>
  </si>
  <si>
    <t>Professionnel</t>
  </si>
  <si>
    <t>Total</t>
  </si>
  <si>
    <t>ajouter directive transport pour la formule</t>
  </si>
  <si>
    <t>tutu</t>
  </si>
  <si>
    <t>Enfants de 6 à 16 ans  </t>
  </si>
  <si>
    <t>Jeunes de 16 à 25 ans</t>
  </si>
  <si>
    <t>Étudiants de 25 à 30 ans </t>
  </si>
  <si>
    <t>Adultes        </t>
  </si>
  <si>
    <t>Séniors </t>
  </si>
  <si>
    <t>Handicapés</t>
  </si>
  <si>
    <t>Les frais liés à l’utilisation d’un véhicule privé sont à prendre en compte si la destination n’est pas raisonnablement atteignable par les transports publics en raison d’horaires spéciaux à raison de CHF -.60/km jusqu’à concurrence du montant de l’abonnement générale CFF/12 mois, soit :</t>
  </si>
  <si>
    <t>Solde nourriture et boissons</t>
  </si>
  <si>
    <t xml:space="preserve">Total des charges </t>
  </si>
  <si>
    <t xml:space="preserve">Ne pas oublier de déterminer le montant à verser au bénéficiaire </t>
  </si>
  <si>
    <t>Attention que les frais de transports ne dépassent pas le montant de la norme</t>
  </si>
  <si>
    <t>Versement du bénéficiaire</t>
  </si>
  <si>
    <t>marié</t>
  </si>
  <si>
    <t xml:space="preserve">Total paiements </t>
  </si>
  <si>
    <t>Total transferts</t>
  </si>
  <si>
    <t>Versé/Prélevé en compte de gestion</t>
  </si>
  <si>
    <t>Preuve = total pmt + total transfert ./. Solde selon les normes = 0</t>
  </si>
  <si>
    <t>Récapitulation retenues pour factures</t>
  </si>
  <si>
    <t>kk</t>
  </si>
  <si>
    <t>Total annuel des retenues</t>
  </si>
  <si>
    <t>Retenues</t>
  </si>
  <si>
    <t>Fact. Payées</t>
  </si>
  <si>
    <t>Récapitulation des paiements échellonés</t>
  </si>
  <si>
    <t>Total annuel des paiements échellonés</t>
  </si>
  <si>
    <t>Date pmt</t>
  </si>
  <si>
    <t>Solde (si négatif = en faveur du bénéficiaire)</t>
  </si>
  <si>
    <t>PC</t>
  </si>
  <si>
    <t>TR</t>
  </si>
  <si>
    <t>Versement au bénéficiaire</t>
  </si>
  <si>
    <t>SSC</t>
  </si>
  <si>
    <t>SG</t>
  </si>
  <si>
    <t>Récapitulation écritures</t>
  </si>
  <si>
    <t>SAL</t>
  </si>
  <si>
    <t>AI</t>
  </si>
  <si>
    <t>AVS</t>
  </si>
  <si>
    <t>IC</t>
  </si>
  <si>
    <t>IJ</t>
  </si>
  <si>
    <t>AF</t>
  </si>
  <si>
    <t>BOU</t>
  </si>
  <si>
    <t>DIV</t>
  </si>
  <si>
    <t>FRA</t>
  </si>
  <si>
    <t>SUP</t>
  </si>
  <si>
    <t>MED</t>
  </si>
  <si>
    <t>CIR</t>
  </si>
  <si>
    <t>scc</t>
  </si>
  <si>
    <t>sg</t>
  </si>
  <si>
    <r>
      <t>Solde (</t>
    </r>
    <r>
      <rPr>
        <b/>
        <sz val="10"/>
        <color rgb="FFFF0000"/>
        <rFont val="Calibri"/>
        <family val="2"/>
        <scheme val="minor"/>
      </rPr>
      <t>- = découvert</t>
    </r>
    <r>
      <rPr>
        <b/>
        <sz val="10"/>
        <color theme="1"/>
        <rFont val="Calibri"/>
        <family val="2"/>
        <scheme val="minor"/>
      </rPr>
      <t xml:space="preserve"> / + = excédent)</t>
    </r>
  </si>
  <si>
    <t>Plan comptable</t>
  </si>
  <si>
    <t>art.8</t>
  </si>
  <si>
    <t>MIS</t>
  </si>
  <si>
    <t>NOMADES</t>
  </si>
  <si>
    <t>Tata lulu</t>
  </si>
  <si>
    <t>BCF 16.10.055.404-06</t>
  </si>
  <si>
    <t>BCF 30.01.109.575.06</t>
  </si>
  <si>
    <t>Caisse</t>
  </si>
  <si>
    <t>Transfert</t>
  </si>
  <si>
    <t>Aide matérielle</t>
  </si>
  <si>
    <t>Gestion SG (sans garantie)</t>
  </si>
  <si>
    <t>autre district</t>
  </si>
  <si>
    <t>Cotisations CM</t>
  </si>
  <si>
    <t>Cotisations AVS</t>
  </si>
  <si>
    <t>Frais organisateur MIS</t>
  </si>
  <si>
    <t>Ass. Ménage (part incendie)</t>
  </si>
  <si>
    <t>Remboursement de tiers</t>
  </si>
  <si>
    <t>Remboursement compte sans garantie</t>
  </si>
  <si>
    <t>Remboursement de tiers AVS</t>
  </si>
  <si>
    <t>Remboursement frais médicaux</t>
  </si>
  <si>
    <t>Remboursement cotisations CM</t>
  </si>
  <si>
    <t>Aide hors district facturée par autre service</t>
  </si>
  <si>
    <t>Aide matérielle venant d'un autre district</t>
  </si>
  <si>
    <t>Remboursement aide autre district</t>
  </si>
  <si>
    <t>Remboursement aide autre district (facturé par autre dist,)</t>
  </si>
  <si>
    <t xml:space="preserve">Ne pas oublier de déterminer le montant versé par le bénéficiaire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</si>
</sst>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mm/"/>
    <numFmt numFmtId="165" formatCode="#,##0.00_ ;[Red]\-#,##0.00\ "/>
    <numFmt numFmtId="166" formatCode="0.00_ ;[Red]\-0.00\ "/>
  </numFmts>
  <fonts count="20" x14ac:knownFonts="1">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4"/>
      <color theme="1"/>
      <name val="Calibri"/>
      <family val="2"/>
      <scheme val="minor"/>
    </font>
    <font>
      <b/>
      <sz val="10"/>
      <color theme="1"/>
      <name val="Calibri"/>
      <family val="2"/>
      <scheme val="minor"/>
    </font>
    <font>
      <sz val="6"/>
      <color theme="1"/>
      <name val="Calibri"/>
      <family val="2"/>
      <scheme val="minor"/>
    </font>
    <font>
      <b/>
      <u/>
      <sz val="11"/>
      <color theme="1"/>
      <name val="Calibri"/>
      <family val="2"/>
      <scheme val="minor"/>
    </font>
    <font>
      <sz val="16"/>
      <color theme="1"/>
      <name val="Calibri"/>
      <family val="2"/>
      <scheme val="minor"/>
    </font>
    <font>
      <b/>
      <u/>
      <sz val="12"/>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u/>
      <sz val="11"/>
      <color rgb="FFFF0000"/>
      <name val="Calibri"/>
      <family val="2"/>
      <scheme val="minor"/>
    </font>
    <font>
      <b/>
      <sz val="10"/>
      <color rgb="FFFF0000"/>
      <name val="Calibri"/>
      <family val="2"/>
      <scheme val="minor"/>
    </font>
    <font>
      <b/>
      <sz val="6"/>
      <color theme="1"/>
      <name val="Calibri"/>
      <family val="2"/>
      <scheme val="minor"/>
    </font>
    <font>
      <b/>
      <sz val="9"/>
      <color theme="1"/>
      <name val="Calibri"/>
      <family val="2"/>
      <scheme val="minor"/>
    </font>
    <font>
      <sz val="9"/>
      <color theme="0"/>
      <name val="Calibri"/>
      <family val="2"/>
      <scheme val="minor"/>
    </font>
    <font>
      <b/>
      <sz val="9"/>
      <name val="Calibri"/>
      <family val="2"/>
      <scheme val="minor"/>
    </font>
    <font>
      <sz val="11"/>
      <color rgb="FF000000"/>
      <name val="Calibri"/>
      <family val="2"/>
    </font>
  </fonts>
  <fills count="9">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F0000"/>
        <bgColor indexed="64"/>
      </patternFill>
    </fill>
    <fill>
      <patternFill patternType="solid">
        <fgColor theme="0" tint="-4.9989318521683403E-2"/>
        <bgColor indexed="64"/>
      </patternFill>
    </fill>
  </fills>
  <borders count="35">
    <border>
      <left/>
      <right/>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ashed">
        <color indexed="64"/>
      </left>
      <right style="dashed">
        <color indexed="64"/>
      </right>
      <top style="dashed">
        <color indexed="64"/>
      </top>
      <bottom style="dashed">
        <color indexed="64"/>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ashed">
        <color indexed="64"/>
      </right>
      <top style="dashed">
        <color indexed="64"/>
      </top>
      <bottom style="dashed">
        <color indexed="64"/>
      </bottom>
      <diagonal/>
    </border>
    <border>
      <left style="dashed">
        <color indexed="64"/>
      </left>
      <right style="dashed">
        <color indexed="64"/>
      </right>
      <top/>
      <bottom/>
      <diagonal/>
    </border>
    <border>
      <left style="dashed">
        <color indexed="64"/>
      </left>
      <right style="dashed">
        <color indexed="64"/>
      </right>
      <top style="dashed">
        <color indexed="64"/>
      </top>
      <bottom/>
      <diagonal/>
    </border>
    <border>
      <left style="dashed">
        <color indexed="64"/>
      </left>
      <right style="dashed">
        <color indexed="64"/>
      </right>
      <top/>
      <bottom style="dashed">
        <color indexed="64"/>
      </bottom>
      <diagonal/>
    </border>
    <border>
      <left/>
      <right style="dashed">
        <color indexed="64"/>
      </right>
      <top style="thin">
        <color indexed="64"/>
      </top>
      <bottom style="double">
        <color indexed="64"/>
      </bottom>
      <diagonal/>
    </border>
    <border>
      <left/>
      <right/>
      <top style="double">
        <color indexed="64"/>
      </top>
      <bottom/>
      <diagonal/>
    </border>
    <border>
      <left/>
      <right/>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top style="thin">
        <color indexed="64"/>
      </top>
      <bottom style="double">
        <color indexed="64"/>
      </bottom>
      <diagonal/>
    </border>
    <border>
      <left style="dashed">
        <color indexed="64"/>
      </left>
      <right style="dashed">
        <color indexed="64"/>
      </right>
      <top style="thin">
        <color indexed="64"/>
      </top>
      <bottom style="double">
        <color indexed="64"/>
      </bottom>
      <diagonal/>
    </border>
    <border>
      <left style="dashed">
        <color indexed="64"/>
      </left>
      <right/>
      <top style="dashed">
        <color indexed="64"/>
      </top>
      <bottom style="dashed">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hair">
        <color indexed="64"/>
      </left>
      <right style="hair">
        <color indexed="64"/>
      </right>
      <top style="hair">
        <color indexed="64"/>
      </top>
      <bottom style="hair">
        <color indexed="64"/>
      </bottom>
      <diagonal/>
    </border>
    <border>
      <left/>
      <right/>
      <top/>
      <bottom style="hair">
        <color indexed="64"/>
      </bottom>
      <diagonal/>
    </border>
  </borders>
  <cellStyleXfs count="1">
    <xf numFmtId="0" fontId="0" fillId="0" borderId="0"/>
  </cellStyleXfs>
  <cellXfs count="386">
    <xf numFmtId="0" fontId="0" fillId="0" borderId="0" xfId="0"/>
    <xf numFmtId="0" fontId="1" fillId="0" borderId="0" xfId="0" applyFont="1"/>
    <xf numFmtId="0" fontId="4" fillId="0" borderId="1" xfId="0" applyFont="1" applyBorder="1"/>
    <xf numFmtId="0" fontId="4" fillId="0" borderId="2" xfId="0" applyFont="1" applyBorder="1"/>
    <xf numFmtId="0" fontId="0" fillId="0" borderId="3" xfId="0" applyBorder="1"/>
    <xf numFmtId="0" fontId="4" fillId="0" borderId="4" xfId="0" applyFont="1" applyBorder="1"/>
    <xf numFmtId="0" fontId="0" fillId="0" borderId="5" xfId="0" applyBorder="1"/>
    <xf numFmtId="0" fontId="4" fillId="0" borderId="6" xfId="0" applyFont="1" applyBorder="1"/>
    <xf numFmtId="0" fontId="0" fillId="0" borderId="0" xfId="0" applyBorder="1"/>
    <xf numFmtId="0" fontId="3" fillId="0" borderId="8" xfId="0" applyFont="1" applyBorder="1"/>
    <xf numFmtId="0" fontId="0" fillId="0" borderId="9" xfId="0" applyBorder="1"/>
    <xf numFmtId="0" fontId="0" fillId="0" borderId="11" xfId="0" applyBorder="1"/>
    <xf numFmtId="0" fontId="0" fillId="0" borderId="12" xfId="0" applyBorder="1"/>
    <xf numFmtId="0" fontId="1" fillId="0" borderId="13" xfId="0" applyFont="1" applyBorder="1"/>
    <xf numFmtId="0" fontId="1" fillId="0" borderId="14" xfId="0" applyFont="1" applyBorder="1"/>
    <xf numFmtId="0" fontId="1" fillId="0" borderId="15" xfId="0" applyFont="1" applyBorder="1"/>
    <xf numFmtId="0" fontId="1" fillId="0" borderId="0" xfId="0" applyFont="1" applyAlignment="1">
      <alignment vertical="top" wrapText="1"/>
    </xf>
    <xf numFmtId="0" fontId="1" fillId="0" borderId="0" xfId="0" applyFont="1" applyBorder="1"/>
    <xf numFmtId="0" fontId="0" fillId="0" borderId="18" xfId="0" applyBorder="1"/>
    <xf numFmtId="0" fontId="1" fillId="0" borderId="19" xfId="0" applyFont="1" applyBorder="1"/>
    <xf numFmtId="0" fontId="5" fillId="0" borderId="16" xfId="0" applyFont="1" applyBorder="1" applyAlignment="1">
      <alignment vertical="top" wrapText="1"/>
    </xf>
    <xf numFmtId="0" fontId="5" fillId="0" borderId="7" xfId="0" applyFont="1" applyBorder="1" applyAlignment="1">
      <alignment vertical="top" wrapText="1"/>
    </xf>
    <xf numFmtId="0" fontId="1" fillId="0" borderId="12" xfId="0" applyFont="1" applyBorder="1" applyAlignment="1">
      <alignment vertical="top" wrapText="1"/>
    </xf>
    <xf numFmtId="0" fontId="2" fillId="0" borderId="0" xfId="0" applyFont="1" applyAlignment="1">
      <alignment horizontal="center" vertical="top"/>
    </xf>
    <xf numFmtId="0" fontId="0" fillId="2" borderId="0" xfId="0" applyFill="1"/>
    <xf numFmtId="165" fontId="0" fillId="0" borderId="0" xfId="0" applyNumberFormat="1"/>
    <xf numFmtId="0" fontId="4" fillId="0" borderId="1" xfId="0" applyFont="1" applyBorder="1" applyAlignment="1">
      <alignment vertical="top"/>
    </xf>
    <xf numFmtId="0" fontId="1" fillId="0" borderId="21" xfId="0" applyFont="1" applyBorder="1" applyAlignment="1">
      <alignment vertical="top" wrapText="1"/>
    </xf>
    <xf numFmtId="0" fontId="1" fillId="0" borderId="2" xfId="0" applyFont="1" applyBorder="1" applyAlignment="1">
      <alignment vertical="top" wrapText="1"/>
    </xf>
    <xf numFmtId="0" fontId="0" fillId="0" borderId="4" xfId="0" applyBorder="1"/>
    <xf numFmtId="0" fontId="0" fillId="0" borderId="22" xfId="0" applyBorder="1"/>
    <xf numFmtId="0" fontId="0" fillId="0" borderId="6" xfId="0" applyBorder="1"/>
    <xf numFmtId="0" fontId="0" fillId="0" borderId="3" xfId="0" applyFont="1" applyBorder="1"/>
    <xf numFmtId="0" fontId="0" fillId="0" borderId="5" xfId="0" applyFont="1" applyBorder="1"/>
    <xf numFmtId="0" fontId="0" fillId="3" borderId="0" xfId="0" applyFill="1"/>
    <xf numFmtId="0" fontId="0" fillId="0" borderId="0" xfId="0" applyAlignment="1">
      <alignment horizontal="left"/>
    </xf>
    <xf numFmtId="0" fontId="4" fillId="0" borderId="0" xfId="0" applyFont="1" applyBorder="1"/>
    <xf numFmtId="14" fontId="0" fillId="3" borderId="0" xfId="0" applyNumberFormat="1" applyFill="1"/>
    <xf numFmtId="0" fontId="0" fillId="0" borderId="0" xfId="0" applyFill="1"/>
    <xf numFmtId="0" fontId="0" fillId="3" borderId="0" xfId="0" applyFill="1" applyBorder="1"/>
    <xf numFmtId="165" fontId="0" fillId="3" borderId="0" xfId="0" applyNumberFormat="1" applyFill="1"/>
    <xf numFmtId="0" fontId="0" fillId="3" borderId="0" xfId="0" applyFill="1" applyAlignment="1">
      <alignment horizontal="left"/>
    </xf>
    <xf numFmtId="0" fontId="0" fillId="3" borderId="0" xfId="0" applyFont="1" applyFill="1" applyBorder="1"/>
    <xf numFmtId="0" fontId="0" fillId="3" borderId="22" xfId="0" applyFont="1" applyFill="1" applyBorder="1"/>
    <xf numFmtId="165" fontId="0" fillId="3" borderId="0" xfId="0" applyNumberFormat="1" applyFont="1" applyFill="1" applyBorder="1"/>
    <xf numFmtId="165" fontId="0" fillId="3" borderId="4" xfId="0" applyNumberFormat="1" applyFont="1" applyFill="1" applyBorder="1"/>
    <xf numFmtId="165" fontId="0" fillId="3" borderId="22" xfId="0" applyNumberFormat="1" applyFont="1" applyFill="1" applyBorder="1"/>
    <xf numFmtId="165" fontId="0" fillId="3" borderId="6" xfId="0" applyNumberFormat="1" applyFont="1" applyFill="1" applyBorder="1"/>
    <xf numFmtId="0" fontId="4" fillId="0" borderId="3" xfId="0" applyFont="1" applyBorder="1" applyAlignment="1">
      <alignment vertical="top"/>
    </xf>
    <xf numFmtId="0" fontId="1" fillId="0" borderId="0" xfId="0" applyFont="1" applyBorder="1" applyAlignment="1">
      <alignment vertical="top" wrapText="1"/>
    </xf>
    <xf numFmtId="0" fontId="1" fillId="0" borderId="1" xfId="0" applyFont="1" applyBorder="1" applyAlignment="1">
      <alignment vertical="top" wrapText="1"/>
    </xf>
    <xf numFmtId="165" fontId="0" fillId="3" borderId="3" xfId="0" applyNumberFormat="1" applyFont="1" applyFill="1" applyBorder="1"/>
    <xf numFmtId="165" fontId="0" fillId="3" borderId="5" xfId="0" applyNumberFormat="1" applyFont="1" applyFill="1" applyBorder="1"/>
    <xf numFmtId="0" fontId="4" fillId="0" borderId="25" xfId="0" applyFont="1" applyBorder="1" applyAlignment="1">
      <alignment horizontal="center" vertical="top" wrapText="1"/>
    </xf>
    <xf numFmtId="0" fontId="0" fillId="0" borderId="1" xfId="0" applyBorder="1"/>
    <xf numFmtId="0" fontId="0" fillId="2" borderId="17" xfId="0" applyFill="1" applyBorder="1"/>
    <xf numFmtId="0" fontId="9" fillId="0" borderId="0" xfId="0" applyFont="1" applyAlignment="1">
      <alignment horizontal="left"/>
    </xf>
    <xf numFmtId="0" fontId="0" fillId="0" borderId="0" xfId="0" applyAlignment="1">
      <alignment wrapText="1"/>
    </xf>
    <xf numFmtId="0" fontId="0" fillId="0" borderId="0" xfId="0" applyAlignment="1">
      <alignment vertical="top" wrapText="1"/>
    </xf>
    <xf numFmtId="0" fontId="8" fillId="0" borderId="0" xfId="0" applyFont="1" applyAlignment="1">
      <alignment horizontal="left"/>
    </xf>
    <xf numFmtId="0" fontId="0" fillId="3" borderId="17" xfId="0" applyFill="1" applyBorder="1"/>
    <xf numFmtId="0" fontId="4" fillId="0" borderId="10" xfId="0" applyFont="1" applyBorder="1"/>
    <xf numFmtId="0" fontId="0" fillId="0" borderId="0" xfId="0" applyFont="1" applyFill="1" applyBorder="1"/>
    <xf numFmtId="165" fontId="0" fillId="0" borderId="3" xfId="0" applyNumberFormat="1" applyFont="1" applyFill="1" applyBorder="1"/>
    <xf numFmtId="165" fontId="0" fillId="0" borderId="0" xfId="0" applyNumberFormat="1" applyFont="1" applyFill="1" applyBorder="1"/>
    <xf numFmtId="165" fontId="0" fillId="0" borderId="4" xfId="0" applyNumberFormat="1" applyFont="1" applyFill="1" applyBorder="1"/>
    <xf numFmtId="0" fontId="0" fillId="0" borderId="22" xfId="0" applyFont="1" applyFill="1" applyBorder="1"/>
    <xf numFmtId="165" fontId="0" fillId="0" borderId="5" xfId="0" applyNumberFormat="1" applyFont="1" applyFill="1" applyBorder="1"/>
    <xf numFmtId="165" fontId="0" fillId="0" borderId="22" xfId="0" applyNumberFormat="1" applyFont="1" applyFill="1" applyBorder="1"/>
    <xf numFmtId="165" fontId="0" fillId="0" borderId="6" xfId="0" applyNumberFormat="1" applyFont="1" applyFill="1" applyBorder="1"/>
    <xf numFmtId="0" fontId="1" fillId="0" borderId="0" xfId="0" applyFont="1" applyFill="1" applyBorder="1" applyAlignment="1">
      <alignment vertical="top" wrapText="1"/>
    </xf>
    <xf numFmtId="0" fontId="1" fillId="0" borderId="1" xfId="0" applyFont="1" applyFill="1" applyBorder="1" applyAlignment="1">
      <alignment vertical="top" wrapText="1"/>
    </xf>
    <xf numFmtId="0" fontId="1" fillId="0" borderId="21" xfId="0" applyFont="1" applyFill="1" applyBorder="1" applyAlignment="1">
      <alignment vertical="top" wrapText="1"/>
    </xf>
    <xf numFmtId="0" fontId="1" fillId="0" borderId="2" xfId="0" applyFont="1" applyFill="1" applyBorder="1" applyAlignment="1">
      <alignment vertical="top" wrapText="1"/>
    </xf>
    <xf numFmtId="0" fontId="0" fillId="0" borderId="18" xfId="0" applyFill="1" applyBorder="1"/>
    <xf numFmtId="0" fontId="0" fillId="0" borderId="10" xfId="0" applyFill="1" applyBorder="1"/>
    <xf numFmtId="0" fontId="0" fillId="0" borderId="17" xfId="0" applyFill="1" applyBorder="1"/>
    <xf numFmtId="0" fontId="1" fillId="0" borderId="19" xfId="0" applyFont="1" applyFill="1" applyBorder="1"/>
    <xf numFmtId="165" fontId="0" fillId="0" borderId="0" xfId="0" applyNumberFormat="1" applyFill="1"/>
    <xf numFmtId="0" fontId="0" fillId="0" borderId="0" xfId="0" applyAlignment="1">
      <alignment vertical="top"/>
    </xf>
    <xf numFmtId="0" fontId="0" fillId="0" borderId="3" xfId="0" applyBorder="1" applyAlignment="1">
      <alignment vertical="top"/>
    </xf>
    <xf numFmtId="0" fontId="10" fillId="0" borderId="0" xfId="0" applyFont="1" applyFill="1" applyBorder="1" applyAlignment="1">
      <alignment vertical="top" wrapText="1"/>
    </xf>
    <xf numFmtId="0" fontId="10" fillId="0" borderId="4" xfId="0" applyFont="1" applyBorder="1" applyAlignment="1">
      <alignment vertical="top" wrapText="1"/>
    </xf>
    <xf numFmtId="0" fontId="0" fillId="0" borderId="3" xfId="0" applyBorder="1" applyAlignment="1">
      <alignment horizontal="center"/>
    </xf>
    <xf numFmtId="165" fontId="0" fillId="0" borderId="0" xfId="0" applyNumberFormat="1" applyFill="1" applyBorder="1"/>
    <xf numFmtId="165" fontId="0" fillId="0" borderId="4" xfId="0" applyNumberFormat="1" applyBorder="1"/>
    <xf numFmtId="0" fontId="0" fillId="0" borderId="5" xfId="0" applyBorder="1" applyAlignment="1">
      <alignment horizontal="center"/>
    </xf>
    <xf numFmtId="165" fontId="0" fillId="0" borderId="22" xfId="0" applyNumberFormat="1" applyFill="1" applyBorder="1"/>
    <xf numFmtId="165" fontId="0" fillId="0" borderId="6" xfId="0" applyNumberFormat="1" applyBorder="1"/>
    <xf numFmtId="0" fontId="4" fillId="0" borderId="21" xfId="0" applyFont="1" applyFill="1" applyBorder="1"/>
    <xf numFmtId="0" fontId="0" fillId="2" borderId="18" xfId="0" applyFill="1" applyBorder="1"/>
    <xf numFmtId="0" fontId="1" fillId="2" borderId="19" xfId="0" applyFont="1" applyFill="1" applyBorder="1"/>
    <xf numFmtId="0" fontId="5" fillId="0" borderId="16" xfId="0" applyFont="1" applyFill="1" applyBorder="1" applyAlignment="1">
      <alignment vertical="top" wrapText="1"/>
    </xf>
    <xf numFmtId="0" fontId="0" fillId="0" borderId="12" xfId="0" applyFill="1" applyBorder="1"/>
    <xf numFmtId="0" fontId="1" fillId="0" borderId="15" xfId="0" applyFont="1" applyFill="1" applyBorder="1"/>
    <xf numFmtId="0" fontId="0" fillId="0" borderId="23" xfId="0" applyBorder="1" applyAlignment="1">
      <alignment horizontal="center" vertical="top" wrapText="1"/>
    </xf>
    <xf numFmtId="0" fontId="0" fillId="0" borderId="24" xfId="0" applyBorder="1" applyAlignment="1">
      <alignment horizontal="center" vertical="top" wrapText="1"/>
    </xf>
    <xf numFmtId="0" fontId="0" fillId="0" borderId="0" xfId="0" applyFill="1" applyBorder="1"/>
    <xf numFmtId="165" fontId="0" fillId="0" borderId="12" xfId="0" applyNumberFormat="1" applyFill="1" applyBorder="1"/>
    <xf numFmtId="165" fontId="0" fillId="0" borderId="17" xfId="0" applyNumberFormat="1" applyFill="1" applyBorder="1"/>
    <xf numFmtId="0" fontId="0" fillId="6" borderId="0" xfId="0" applyFill="1"/>
    <xf numFmtId="0" fontId="4" fillId="3" borderId="0" xfId="0" applyFont="1" applyFill="1" applyBorder="1"/>
    <xf numFmtId="0" fontId="5" fillId="0" borderId="0" xfId="0" applyFont="1" applyFill="1" applyBorder="1" applyAlignment="1">
      <alignment vertical="top" wrapText="1"/>
    </xf>
    <xf numFmtId="165" fontId="0" fillId="0" borderId="0" xfId="0" applyNumberFormat="1" applyAlignment="1">
      <alignment vertical="top"/>
    </xf>
    <xf numFmtId="2" fontId="0" fillId="3" borderId="0" xfId="0" applyNumberFormat="1" applyFill="1"/>
    <xf numFmtId="0" fontId="4" fillId="0" borderId="0" xfId="0" applyFont="1" applyAlignment="1">
      <alignment vertical="top"/>
    </xf>
    <xf numFmtId="14" fontId="0" fillId="0" borderId="0" xfId="0" applyNumberFormat="1" applyAlignment="1">
      <alignment vertical="top"/>
    </xf>
    <xf numFmtId="165" fontId="0" fillId="0" borderId="0" xfId="0" applyNumberFormat="1" applyFill="1" applyAlignment="1">
      <alignment vertical="top"/>
    </xf>
    <xf numFmtId="14" fontId="0" fillId="0" borderId="0" xfId="0" applyNumberFormat="1" applyAlignment="1"/>
    <xf numFmtId="0" fontId="4" fillId="0" borderId="1" xfId="0" applyFont="1" applyBorder="1" applyAlignment="1">
      <alignment vertical="top" wrapText="1"/>
    </xf>
    <xf numFmtId="164" fontId="11" fillId="0" borderId="21" xfId="0" applyNumberFormat="1" applyFont="1" applyBorder="1" applyAlignment="1">
      <alignment vertical="top" wrapText="1"/>
    </xf>
    <xf numFmtId="164" fontId="11" fillId="0" borderId="0" xfId="0" applyNumberFormat="1" applyFont="1" applyBorder="1" applyAlignment="1">
      <alignment vertical="top" wrapText="1"/>
    </xf>
    <xf numFmtId="164" fontId="4" fillId="0" borderId="0" xfId="0" applyNumberFormat="1" applyFont="1" applyBorder="1" applyAlignment="1">
      <alignment vertical="top" wrapText="1"/>
    </xf>
    <xf numFmtId="0" fontId="0" fillId="0" borderId="0" xfId="0" applyBorder="1" applyAlignment="1">
      <alignment vertical="top" wrapText="1"/>
    </xf>
    <xf numFmtId="164" fontId="11" fillId="0" borderId="2" xfId="0" applyNumberFormat="1" applyFont="1" applyBorder="1" applyAlignment="1">
      <alignment vertical="top" wrapText="1"/>
    </xf>
    <xf numFmtId="0" fontId="0" fillId="0" borderId="3" xfId="0" applyFill="1" applyBorder="1"/>
    <xf numFmtId="0" fontId="0" fillId="3" borderId="4" xfId="0" applyFill="1" applyBorder="1"/>
    <xf numFmtId="0" fontId="0" fillId="0" borderId="22" xfId="0" applyFill="1" applyBorder="1"/>
    <xf numFmtId="0" fontId="11" fillId="4" borderId="11" xfId="0" applyFont="1" applyFill="1" applyBorder="1" applyAlignment="1">
      <alignment vertical="top" wrapText="1"/>
    </xf>
    <xf numFmtId="10" fontId="0" fillId="0" borderId="0" xfId="0" applyNumberFormat="1"/>
    <xf numFmtId="165" fontId="11" fillId="0" borderId="0" xfId="0" applyNumberFormat="1" applyFont="1" applyAlignment="1">
      <alignment vertical="top" wrapText="1"/>
    </xf>
    <xf numFmtId="165" fontId="11" fillId="0" borderId="0" xfId="0" applyNumberFormat="1" applyFont="1" applyBorder="1" applyAlignment="1">
      <alignment vertical="top" wrapText="1"/>
    </xf>
    <xf numFmtId="10" fontId="0" fillId="3" borderId="0" xfId="0" applyNumberFormat="1" applyFill="1"/>
    <xf numFmtId="0" fontId="0" fillId="0" borderId="11" xfId="0" applyFill="1" applyBorder="1"/>
    <xf numFmtId="0" fontId="5" fillId="5" borderId="0" xfId="0" applyFont="1" applyFill="1" applyAlignment="1">
      <alignment horizontal="center" vertical="center" textRotation="90" wrapText="1"/>
    </xf>
    <xf numFmtId="0" fontId="1" fillId="5" borderId="0" xfId="0" applyFont="1" applyFill="1"/>
    <xf numFmtId="0" fontId="0" fillId="5" borderId="0" xfId="0" applyFill="1"/>
    <xf numFmtId="0" fontId="1" fillId="0" borderId="0" xfId="0" applyFont="1" applyFill="1"/>
    <xf numFmtId="0" fontId="0" fillId="0" borderId="14" xfId="0" applyFill="1" applyBorder="1"/>
    <xf numFmtId="165" fontId="0" fillId="0" borderId="14" xfId="0" applyNumberFormat="1" applyFill="1" applyBorder="1"/>
    <xf numFmtId="165" fontId="0" fillId="0" borderId="15" xfId="0" applyNumberFormat="1" applyFill="1" applyBorder="1"/>
    <xf numFmtId="0" fontId="10" fillId="0" borderId="0" xfId="0" applyFont="1" applyFill="1" applyBorder="1"/>
    <xf numFmtId="0" fontId="0" fillId="0" borderId="0" xfId="0" applyAlignment="1"/>
    <xf numFmtId="0" fontId="2" fillId="0" borderId="0" xfId="0" applyFont="1" applyAlignment="1">
      <alignment horizontal="left" vertical="top"/>
    </xf>
    <xf numFmtId="0" fontId="3" fillId="0" borderId="0" xfId="0" applyFont="1" applyAlignment="1">
      <alignment horizontal="left" vertical="top"/>
    </xf>
    <xf numFmtId="0" fontId="2" fillId="3" borderId="0" xfId="0" applyFont="1" applyFill="1" applyAlignment="1">
      <alignment horizontal="center" vertical="top"/>
    </xf>
    <xf numFmtId="0" fontId="0" fillId="0" borderId="0" xfId="0" applyFont="1" applyAlignment="1">
      <alignment horizontal="left" vertical="top"/>
    </xf>
    <xf numFmtId="165" fontId="0" fillId="0" borderId="0" xfId="0" applyNumberFormat="1" applyFont="1" applyAlignment="1">
      <alignment horizontal="right" vertical="top"/>
    </xf>
    <xf numFmtId="165" fontId="0" fillId="0" borderId="0" xfId="0" applyNumberFormat="1" applyFont="1" applyAlignment="1">
      <alignment horizontal="left" vertical="top"/>
    </xf>
    <xf numFmtId="0" fontId="2" fillId="5" borderId="0" xfId="0" applyFont="1" applyFill="1" applyAlignment="1">
      <alignment horizontal="center" vertical="top"/>
    </xf>
    <xf numFmtId="0" fontId="0" fillId="0" borderId="0" xfId="0" applyFont="1" applyBorder="1" applyAlignment="1">
      <alignment horizontal="left" vertical="top"/>
    </xf>
    <xf numFmtId="165" fontId="0" fillId="0" borderId="0" xfId="0" applyNumberFormat="1" applyFont="1" applyBorder="1" applyAlignment="1">
      <alignment horizontal="right" vertical="top"/>
    </xf>
    <xf numFmtId="0" fontId="2" fillId="5" borderId="0" xfId="0" applyFont="1" applyFill="1" applyBorder="1" applyAlignment="1">
      <alignment horizontal="center" vertical="top"/>
    </xf>
    <xf numFmtId="165" fontId="0" fillId="0" borderId="0" xfId="0" applyNumberFormat="1" applyFont="1" applyBorder="1" applyAlignment="1">
      <alignment horizontal="left" vertical="top"/>
    </xf>
    <xf numFmtId="0" fontId="2" fillId="0" borderId="0" xfId="0" applyFont="1" applyBorder="1" applyAlignment="1">
      <alignment horizontal="center" vertical="top"/>
    </xf>
    <xf numFmtId="0" fontId="2" fillId="3" borderId="0" xfId="0" applyFont="1" applyFill="1" applyBorder="1" applyAlignment="1">
      <alignment horizontal="center" vertical="top"/>
    </xf>
    <xf numFmtId="0" fontId="3" fillId="0" borderId="0" xfId="0" applyFont="1" applyAlignment="1">
      <alignment horizontal="left" vertical="top" wrapText="1"/>
    </xf>
    <xf numFmtId="0" fontId="0" fillId="5" borderId="0" xfId="0" applyFill="1" applyAlignment="1">
      <alignment vertical="center" textRotation="90"/>
    </xf>
    <xf numFmtId="0" fontId="10" fillId="0" borderId="12" xfId="0" applyFont="1" applyBorder="1"/>
    <xf numFmtId="165" fontId="10" fillId="0" borderId="0" xfId="0" applyNumberFormat="1" applyFont="1" applyFill="1" applyBorder="1"/>
    <xf numFmtId="165" fontId="10" fillId="0" borderId="12" xfId="0" applyNumberFormat="1" applyFont="1" applyFill="1" applyBorder="1"/>
    <xf numFmtId="0" fontId="10" fillId="0" borderId="0" xfId="0" applyFont="1" applyFill="1"/>
    <xf numFmtId="0" fontId="2" fillId="0" borderId="0" xfId="0" applyFont="1"/>
    <xf numFmtId="0" fontId="1" fillId="0" borderId="0" xfId="0" applyFont="1" applyAlignment="1">
      <alignment vertical="top"/>
    </xf>
    <xf numFmtId="0" fontId="1" fillId="2" borderId="0" xfId="0" applyFont="1" applyFill="1" applyAlignment="1">
      <alignment vertical="top"/>
    </xf>
    <xf numFmtId="0" fontId="0" fillId="8" borderId="21" xfId="0" applyFill="1" applyBorder="1"/>
    <xf numFmtId="165" fontId="0" fillId="8" borderId="21" xfId="0" applyNumberFormat="1" applyFill="1" applyBorder="1"/>
    <xf numFmtId="0" fontId="0" fillId="8" borderId="2" xfId="0" applyFill="1" applyBorder="1"/>
    <xf numFmtId="0" fontId="0" fillId="8" borderId="0" xfId="0" applyFill="1" applyBorder="1"/>
    <xf numFmtId="165" fontId="0" fillId="8" borderId="0" xfId="0" applyNumberFormat="1" applyFill="1" applyBorder="1"/>
    <xf numFmtId="0" fontId="0" fillId="8" borderId="4" xfId="0" applyFill="1" applyBorder="1"/>
    <xf numFmtId="0" fontId="1" fillId="8" borderId="22" xfId="0" applyFont="1" applyFill="1" applyBorder="1"/>
    <xf numFmtId="165" fontId="1" fillId="8" borderId="22" xfId="0" applyNumberFormat="1" applyFont="1" applyFill="1" applyBorder="1"/>
    <xf numFmtId="0" fontId="1" fillId="8" borderId="6" xfId="0" applyFont="1" applyFill="1" applyBorder="1"/>
    <xf numFmtId="0" fontId="0" fillId="0" borderId="21" xfId="0" applyBorder="1"/>
    <xf numFmtId="165" fontId="0" fillId="0" borderId="21" xfId="0" applyNumberFormat="1" applyBorder="1"/>
    <xf numFmtId="0" fontId="0" fillId="0" borderId="2" xfId="0" applyBorder="1"/>
    <xf numFmtId="165" fontId="0" fillId="0" borderId="0" xfId="0" applyNumberFormat="1" applyBorder="1"/>
    <xf numFmtId="0" fontId="1" fillId="0" borderId="22" xfId="0" applyFont="1" applyBorder="1"/>
    <xf numFmtId="165" fontId="1" fillId="0" borderId="22" xfId="0" applyNumberFormat="1" applyFont="1" applyBorder="1"/>
    <xf numFmtId="0" fontId="1" fillId="0" borderId="6" xfId="0" applyFont="1" applyBorder="1"/>
    <xf numFmtId="0" fontId="1" fillId="8" borderId="0" xfId="0" applyFont="1" applyFill="1" applyBorder="1"/>
    <xf numFmtId="165" fontId="1" fillId="8" borderId="0" xfId="0" applyNumberFormat="1" applyFont="1" applyFill="1" applyBorder="1"/>
    <xf numFmtId="0" fontId="1" fillId="8" borderId="4" xfId="0" applyFont="1" applyFill="1" applyBorder="1"/>
    <xf numFmtId="0" fontId="0" fillId="0" borderId="21" xfId="0" applyFill="1" applyBorder="1"/>
    <xf numFmtId="165" fontId="0" fillId="0" borderId="21" xfId="0" applyNumberFormat="1" applyFill="1" applyBorder="1"/>
    <xf numFmtId="0" fontId="0" fillId="0" borderId="2" xfId="0" applyFill="1" applyBorder="1"/>
    <xf numFmtId="0" fontId="0" fillId="8" borderId="30" xfId="0" applyFill="1" applyBorder="1"/>
    <xf numFmtId="0" fontId="0" fillId="8" borderId="31" xfId="0" applyFill="1" applyBorder="1"/>
    <xf numFmtId="0" fontId="1" fillId="8" borderId="32" xfId="0" applyFont="1" applyFill="1" applyBorder="1"/>
    <xf numFmtId="0" fontId="0" fillId="0" borderId="30" xfId="0" applyBorder="1"/>
    <xf numFmtId="0" fontId="0" fillId="0" borderId="31" xfId="0" applyBorder="1"/>
    <xf numFmtId="0" fontId="0" fillId="0" borderId="30" xfId="0" applyFill="1" applyBorder="1"/>
    <xf numFmtId="165" fontId="0" fillId="0" borderId="0" xfId="0" applyNumberFormat="1" applyBorder="1" applyAlignment="1">
      <alignment horizontal="left" vertical="top"/>
    </xf>
    <xf numFmtId="165" fontId="0" fillId="3" borderId="0" xfId="0" applyNumberFormat="1" applyFill="1" applyAlignment="1">
      <alignment vertical="top"/>
    </xf>
    <xf numFmtId="0" fontId="11" fillId="0" borderId="0" xfId="0" applyFont="1" applyAlignment="1">
      <alignment horizontal="justify" vertical="top"/>
    </xf>
    <xf numFmtId="165" fontId="1" fillId="0" borderId="27" xfId="0" applyNumberFormat="1" applyFont="1" applyBorder="1"/>
    <xf numFmtId="165" fontId="10" fillId="0" borderId="0" xfId="0" applyNumberFormat="1" applyFont="1" applyFill="1"/>
    <xf numFmtId="165" fontId="1" fillId="0" borderId="0" xfId="0" applyNumberFormat="1" applyFont="1"/>
    <xf numFmtId="0" fontId="4" fillId="0" borderId="0" xfId="0" applyFont="1"/>
    <xf numFmtId="0" fontId="0" fillId="3" borderId="0" xfId="0" applyFont="1" applyFill="1" applyBorder="1" applyAlignment="1">
      <alignment horizontal="left" vertical="top"/>
    </xf>
    <xf numFmtId="0" fontId="0" fillId="3" borderId="0" xfId="0" applyFont="1" applyFill="1" applyAlignment="1">
      <alignment horizontal="left" vertical="top"/>
    </xf>
    <xf numFmtId="0" fontId="1" fillId="0" borderId="27" xfId="0" applyFont="1" applyBorder="1"/>
    <xf numFmtId="0" fontId="1" fillId="0" borderId="0" xfId="0" applyFont="1" applyAlignment="1">
      <alignment horizontal="right"/>
    </xf>
    <xf numFmtId="0" fontId="0" fillId="0" borderId="0" xfId="0" applyFill="1" applyBorder="1" applyAlignment="1">
      <alignment horizontal="left"/>
    </xf>
    <xf numFmtId="0" fontId="0" fillId="0" borderId="0" xfId="0" applyFont="1" applyFill="1" applyBorder="1" applyAlignment="1">
      <alignment horizontal="left"/>
    </xf>
    <xf numFmtId="0" fontId="1" fillId="0" borderId="0" xfId="0" applyFont="1" applyAlignment="1">
      <alignment horizontal="left" vertical="top" wrapText="1"/>
    </xf>
    <xf numFmtId="0" fontId="0" fillId="0" borderId="11" xfId="0" applyFill="1" applyBorder="1" applyAlignment="1">
      <alignment horizontal="left"/>
    </xf>
    <xf numFmtId="0" fontId="10" fillId="0" borderId="11" xfId="0" applyFont="1" applyFill="1" applyBorder="1" applyAlignment="1">
      <alignment horizontal="left"/>
    </xf>
    <xf numFmtId="0" fontId="0" fillId="0" borderId="13" xfId="0" applyFill="1" applyBorder="1" applyAlignment="1">
      <alignment horizontal="left"/>
    </xf>
    <xf numFmtId="14" fontId="10" fillId="0" borderId="0" xfId="0" applyNumberFormat="1" applyFont="1" applyAlignment="1">
      <alignment horizontal="left"/>
    </xf>
    <xf numFmtId="0" fontId="10" fillId="0" borderId="0" xfId="0" applyFont="1" applyFill="1" applyAlignment="1">
      <alignment horizontal="center"/>
    </xf>
    <xf numFmtId="0" fontId="5" fillId="0" borderId="0" xfId="0" applyFont="1"/>
    <xf numFmtId="0" fontId="10" fillId="0" borderId="0" xfId="0" applyFont="1"/>
    <xf numFmtId="165" fontId="10" fillId="0" borderId="0" xfId="0" applyNumberFormat="1" applyFont="1"/>
    <xf numFmtId="14" fontId="10" fillId="0" borderId="0" xfId="0" applyNumberFormat="1" applyFont="1" applyFill="1" applyAlignment="1">
      <alignment horizontal="left"/>
    </xf>
    <xf numFmtId="165" fontId="5" fillId="0" borderId="27" xfId="0" applyNumberFormat="1" applyFont="1" applyBorder="1"/>
    <xf numFmtId="0" fontId="10" fillId="0" borderId="0" xfId="0" applyFont="1" applyAlignment="1">
      <alignment horizontal="left"/>
    </xf>
    <xf numFmtId="165" fontId="14" fillId="0" borderId="27" xfId="0" applyNumberFormat="1" applyFont="1" applyBorder="1" applyAlignment="1">
      <alignment horizontal="right"/>
    </xf>
    <xf numFmtId="0" fontId="5" fillId="0" borderId="1" xfId="0" applyFont="1" applyBorder="1"/>
    <xf numFmtId="0" fontId="10" fillId="0" borderId="2" xfId="0" applyFont="1" applyBorder="1"/>
    <xf numFmtId="0" fontId="5" fillId="0" borderId="30" xfId="0" applyFont="1" applyBorder="1"/>
    <xf numFmtId="0" fontId="5" fillId="0" borderId="2" xfId="0" applyFont="1" applyBorder="1"/>
    <xf numFmtId="0" fontId="10" fillId="0" borderId="3" xfId="0" applyFont="1" applyBorder="1"/>
    <xf numFmtId="0" fontId="10" fillId="0" borderId="4" xfId="0" applyFont="1" applyBorder="1"/>
    <xf numFmtId="166" fontId="10" fillId="0" borderId="31" xfId="0" applyNumberFormat="1" applyFont="1" applyBorder="1"/>
    <xf numFmtId="166" fontId="10" fillId="0" borderId="4" xfId="0" applyNumberFormat="1" applyFont="1" applyBorder="1"/>
    <xf numFmtId="166" fontId="10" fillId="0" borderId="32" xfId="0" applyNumberFormat="1" applyFont="1" applyBorder="1"/>
    <xf numFmtId="166" fontId="10" fillId="0" borderId="6" xfId="0" applyNumberFormat="1" applyFont="1" applyBorder="1"/>
    <xf numFmtId="0" fontId="10" fillId="0" borderId="5" xfId="0" applyFont="1" applyBorder="1"/>
    <xf numFmtId="0" fontId="10" fillId="0" borderId="6" xfId="0" applyFont="1" applyBorder="1"/>
    <xf numFmtId="0" fontId="5" fillId="0" borderId="0" xfId="0" applyFont="1" applyFill="1"/>
    <xf numFmtId="0" fontId="5" fillId="7" borderId="0" xfId="0" applyFont="1" applyFill="1"/>
    <xf numFmtId="165" fontId="10" fillId="0" borderId="17" xfId="0" applyNumberFormat="1" applyFont="1" applyFill="1" applyBorder="1"/>
    <xf numFmtId="0" fontId="5" fillId="5" borderId="0" xfId="0" applyFont="1" applyFill="1"/>
    <xf numFmtId="0" fontId="10" fillId="5" borderId="0" xfId="0" applyFont="1" applyFill="1"/>
    <xf numFmtId="0" fontId="10" fillId="0" borderId="0" xfId="0" applyFont="1" applyBorder="1"/>
    <xf numFmtId="165" fontId="10" fillId="6" borderId="12" xfId="0" applyNumberFormat="1" applyFont="1" applyFill="1" applyBorder="1"/>
    <xf numFmtId="0" fontId="10" fillId="0" borderId="0" xfId="0" applyFont="1" applyFill="1" applyAlignment="1">
      <alignment horizontal="left"/>
    </xf>
    <xf numFmtId="0" fontId="6" fillId="0" borderId="0" xfId="0" applyFont="1"/>
    <xf numFmtId="0" fontId="15" fillId="0" borderId="0" xfId="0" applyFont="1" applyAlignment="1">
      <alignment vertical="top" wrapText="1"/>
    </xf>
    <xf numFmtId="0" fontId="15" fillId="0" borderId="11" xfId="0" applyFont="1" applyBorder="1" applyAlignment="1">
      <alignment vertical="center" textRotation="90"/>
    </xf>
    <xf numFmtId="0" fontId="15" fillId="0" borderId="17" xfId="0" applyFont="1" applyFill="1" applyBorder="1"/>
    <xf numFmtId="0" fontId="6" fillId="0" borderId="17" xfId="0" applyFont="1" applyFill="1" applyBorder="1"/>
    <xf numFmtId="0" fontId="6" fillId="0" borderId="19" xfId="0" applyFont="1" applyFill="1" applyBorder="1"/>
    <xf numFmtId="0" fontId="15" fillId="0" borderId="0" xfId="0" applyFont="1"/>
    <xf numFmtId="0" fontId="5" fillId="0" borderId="0" xfId="0" applyFont="1" applyAlignment="1">
      <alignment horizontal="left"/>
    </xf>
    <xf numFmtId="0" fontId="2" fillId="0" borderId="0" xfId="0" applyFont="1" applyAlignment="1">
      <alignment horizontal="center" vertical="top"/>
    </xf>
    <xf numFmtId="0" fontId="11" fillId="0" borderId="12" xfId="0" applyFont="1" applyBorder="1" applyAlignment="1">
      <alignment vertical="top" wrapText="1"/>
    </xf>
    <xf numFmtId="0" fontId="11" fillId="0" borderId="17" xfId="0" applyFont="1" applyFill="1" applyBorder="1"/>
    <xf numFmtId="0" fontId="11" fillId="0" borderId="11" xfId="0" applyFont="1" applyFill="1" applyBorder="1" applyAlignment="1">
      <alignment horizontal="left"/>
    </xf>
    <xf numFmtId="0" fontId="11" fillId="0" borderId="0" xfId="0" applyFont="1" applyFill="1" applyBorder="1"/>
    <xf numFmtId="165" fontId="11" fillId="0" borderId="0" xfId="0" applyNumberFormat="1" applyFont="1" applyFill="1" applyBorder="1"/>
    <xf numFmtId="165" fontId="11" fillId="0" borderId="12" xfId="0" applyNumberFormat="1" applyFont="1" applyFill="1" applyBorder="1"/>
    <xf numFmtId="0" fontId="11" fillId="0" borderId="0" xfId="0" applyFont="1" applyFill="1"/>
    <xf numFmtId="165" fontId="11" fillId="0" borderId="0" xfId="0" applyNumberFormat="1" applyFont="1" applyFill="1"/>
    <xf numFmtId="0" fontId="16" fillId="0" borderId="17" xfId="0" applyFont="1" applyFill="1" applyBorder="1"/>
    <xf numFmtId="0" fontId="16" fillId="0" borderId="0" xfId="0" applyFont="1" applyFill="1"/>
    <xf numFmtId="0" fontId="16" fillId="7" borderId="0" xfId="0" applyFont="1" applyFill="1"/>
    <xf numFmtId="165" fontId="17" fillId="0" borderId="0" xfId="0" applyNumberFormat="1" applyFont="1" applyFill="1" applyBorder="1"/>
    <xf numFmtId="0" fontId="5" fillId="0" borderId="17" xfId="0" applyFont="1" applyFill="1" applyBorder="1"/>
    <xf numFmtId="0" fontId="5" fillId="0" borderId="11" xfId="0" applyFont="1" applyFill="1" applyBorder="1" applyAlignment="1">
      <alignment horizontal="left"/>
    </xf>
    <xf numFmtId="0" fontId="5" fillId="0" borderId="0" xfId="0" applyFont="1" applyFill="1" applyBorder="1"/>
    <xf numFmtId="165" fontId="5" fillId="0" borderId="0" xfId="0" applyNumberFormat="1" applyFont="1" applyFill="1" applyBorder="1"/>
    <xf numFmtId="165" fontId="5" fillId="0" borderId="27" xfId="0" applyNumberFormat="1" applyFont="1" applyFill="1" applyBorder="1"/>
    <xf numFmtId="165" fontId="5" fillId="0" borderId="20" xfId="0" applyNumberFormat="1" applyFont="1" applyFill="1" applyBorder="1"/>
    <xf numFmtId="165" fontId="5" fillId="0" borderId="0" xfId="0" applyNumberFormat="1" applyFont="1" applyFill="1"/>
    <xf numFmtId="0" fontId="10" fillId="0" borderId="18" xfId="0" applyFont="1" applyBorder="1"/>
    <xf numFmtId="0" fontId="5" fillId="5" borderId="8" xfId="0" applyFont="1" applyFill="1" applyBorder="1" applyAlignment="1">
      <alignment horizontal="left"/>
    </xf>
    <xf numFmtId="0" fontId="5" fillId="5" borderId="9" xfId="0" applyFont="1" applyFill="1" applyBorder="1"/>
    <xf numFmtId="0" fontId="5" fillId="5" borderId="10" xfId="0" applyFont="1" applyFill="1" applyBorder="1"/>
    <xf numFmtId="165" fontId="5" fillId="5" borderId="18" xfId="0" applyNumberFormat="1" applyFont="1" applyFill="1" applyBorder="1"/>
    <xf numFmtId="0" fontId="10" fillId="0" borderId="17" xfId="0" applyFont="1" applyBorder="1"/>
    <xf numFmtId="0" fontId="5" fillId="5" borderId="11" xfId="0" applyFont="1" applyFill="1" applyBorder="1" applyAlignment="1">
      <alignment horizontal="left"/>
    </xf>
    <xf numFmtId="0" fontId="5" fillId="5" borderId="0" xfId="0" applyFont="1" applyFill="1" applyBorder="1"/>
    <xf numFmtId="0" fontId="5" fillId="5" borderId="12" xfId="0" applyFont="1" applyFill="1" applyBorder="1"/>
    <xf numFmtId="165" fontId="5" fillId="5" borderId="17" xfId="0" applyNumberFormat="1" applyFont="1" applyFill="1" applyBorder="1"/>
    <xf numFmtId="0" fontId="5" fillId="0" borderId="17" xfId="0" applyFont="1" applyBorder="1"/>
    <xf numFmtId="165" fontId="5" fillId="5" borderId="12" xfId="0" applyNumberFormat="1" applyFont="1" applyFill="1" applyBorder="1"/>
    <xf numFmtId="0" fontId="5" fillId="5" borderId="13" xfId="0" applyFont="1" applyFill="1" applyBorder="1" applyAlignment="1">
      <alignment horizontal="left"/>
    </xf>
    <xf numFmtId="0" fontId="5" fillId="5" borderId="14" xfId="0" applyFont="1" applyFill="1" applyBorder="1"/>
    <xf numFmtId="0" fontId="5" fillId="5" borderId="15" xfId="0" applyFont="1" applyFill="1" applyBorder="1"/>
    <xf numFmtId="165" fontId="5" fillId="5" borderId="28" xfId="0" applyNumberFormat="1" applyFont="1" applyFill="1" applyBorder="1"/>
    <xf numFmtId="165" fontId="5" fillId="5" borderId="27" xfId="0" applyNumberFormat="1" applyFont="1" applyFill="1" applyBorder="1"/>
    <xf numFmtId="0" fontId="16" fillId="5" borderId="0" xfId="0" applyFont="1" applyFill="1"/>
    <xf numFmtId="165" fontId="5" fillId="5" borderId="19" xfId="0" applyNumberFormat="1" applyFont="1" applyFill="1" applyBorder="1"/>
    <xf numFmtId="165" fontId="5" fillId="5" borderId="15" xfId="0" applyNumberFormat="1" applyFont="1" applyFill="1" applyBorder="1"/>
    <xf numFmtId="0" fontId="5" fillId="0" borderId="8" xfId="0" applyFont="1" applyBorder="1" applyAlignment="1">
      <alignment horizontal="left"/>
    </xf>
    <xf numFmtId="0" fontId="5" fillId="0" borderId="9" xfId="0" applyFont="1" applyBorder="1"/>
    <xf numFmtId="0" fontId="10" fillId="0" borderId="10" xfId="0" applyFont="1" applyBorder="1"/>
    <xf numFmtId="165" fontId="10" fillId="0" borderId="18" xfId="0" applyNumberFormat="1" applyFont="1" applyBorder="1"/>
    <xf numFmtId="165" fontId="10" fillId="0" borderId="10" xfId="0" applyNumberFormat="1" applyFont="1" applyBorder="1"/>
    <xf numFmtId="0" fontId="11" fillId="0" borderId="12" xfId="0" applyFont="1" applyFill="1" applyBorder="1"/>
    <xf numFmtId="165" fontId="11" fillId="0" borderId="17" xfId="0" applyNumberFormat="1" applyFont="1" applyFill="1" applyBorder="1"/>
    <xf numFmtId="165" fontId="11" fillId="6" borderId="17" xfId="0" applyNumberFormat="1" applyFont="1" applyFill="1" applyBorder="1"/>
    <xf numFmtId="0" fontId="11" fillId="0" borderId="0" xfId="0" applyFont="1"/>
    <xf numFmtId="0" fontId="11" fillId="5" borderId="0" xfId="0" applyFont="1" applyFill="1"/>
    <xf numFmtId="0" fontId="18" fillId="7" borderId="0" xfId="0" applyFont="1" applyFill="1"/>
    <xf numFmtId="0" fontId="11" fillId="7" borderId="0" xfId="0" applyFont="1" applyFill="1"/>
    <xf numFmtId="0" fontId="11" fillId="0" borderId="0" xfId="0" applyFont="1" applyFill="1" applyBorder="1" applyAlignment="1">
      <alignment horizontal="right" vertical="center"/>
    </xf>
    <xf numFmtId="0" fontId="11" fillId="0" borderId="0" xfId="0" applyFont="1" applyBorder="1"/>
    <xf numFmtId="0" fontId="11" fillId="0" borderId="12" xfId="0" applyFont="1" applyBorder="1"/>
    <xf numFmtId="0" fontId="11" fillId="0" borderId="11" xfId="0" applyFont="1" applyBorder="1" applyAlignment="1">
      <alignment horizontal="left"/>
    </xf>
    <xf numFmtId="165" fontId="11" fillId="0" borderId="17" xfId="0" applyNumberFormat="1" applyFont="1" applyBorder="1"/>
    <xf numFmtId="0" fontId="10" fillId="0" borderId="9" xfId="0" applyFont="1" applyBorder="1"/>
    <xf numFmtId="165" fontId="10" fillId="0" borderId="9" xfId="0" applyNumberFormat="1" applyFont="1" applyBorder="1"/>
    <xf numFmtId="0" fontId="5" fillId="0" borderId="0" xfId="0" applyFont="1" applyBorder="1"/>
    <xf numFmtId="165" fontId="11" fillId="0" borderId="12" xfId="0" applyNumberFormat="1" applyFont="1" applyBorder="1"/>
    <xf numFmtId="0" fontId="11" fillId="0" borderId="0" xfId="0" applyFont="1" applyBorder="1" applyAlignment="1">
      <alignment vertical="top" wrapText="1"/>
    </xf>
    <xf numFmtId="0" fontId="11" fillId="0" borderId="0" xfId="0" applyFont="1" applyFill="1" applyBorder="1" applyAlignment="1">
      <alignment horizontal="left" wrapText="1"/>
    </xf>
    <xf numFmtId="0" fontId="11" fillId="0" borderId="12" xfId="0" applyFont="1" applyFill="1" applyBorder="1" applyAlignment="1">
      <alignment horizontal="left" wrapText="1"/>
    </xf>
    <xf numFmtId="0" fontId="11" fillId="6" borderId="0" xfId="0" applyFont="1" applyFill="1" applyBorder="1" applyAlignment="1">
      <alignment vertical="top" wrapText="1"/>
    </xf>
    <xf numFmtId="0" fontId="11" fillId="6" borderId="12" xfId="0" applyFont="1" applyFill="1" applyBorder="1" applyAlignment="1">
      <alignment vertical="top" wrapText="1"/>
    </xf>
    <xf numFmtId="165" fontId="11" fillId="6" borderId="12" xfId="0" applyNumberFormat="1" applyFont="1" applyFill="1" applyBorder="1"/>
    <xf numFmtId="0" fontId="11" fillId="6" borderId="11" xfId="0" applyFont="1" applyFill="1" applyBorder="1" applyAlignment="1">
      <alignment horizontal="left"/>
    </xf>
    <xf numFmtId="0" fontId="11" fillId="6" borderId="0" xfId="0" applyFont="1" applyFill="1" applyBorder="1"/>
    <xf numFmtId="0" fontId="11" fillId="6" borderId="12" xfId="0" applyFont="1" applyFill="1" applyBorder="1"/>
    <xf numFmtId="165" fontId="5" fillId="0" borderId="10" xfId="0" applyNumberFormat="1" applyFont="1" applyBorder="1"/>
    <xf numFmtId="0" fontId="11" fillId="3" borderId="26" xfId="0" applyFont="1" applyFill="1" applyBorder="1"/>
    <xf numFmtId="0" fontId="11" fillId="3" borderId="26" xfId="0" applyFont="1" applyFill="1" applyBorder="1" applyAlignment="1">
      <alignment horizontal="left"/>
    </xf>
    <xf numFmtId="0" fontId="5" fillId="7" borderId="0" xfId="0" applyFont="1" applyFill="1" applyBorder="1"/>
    <xf numFmtId="165" fontId="10" fillId="0" borderId="10" xfId="0" applyNumberFormat="1" applyFont="1" applyFill="1" applyBorder="1"/>
    <xf numFmtId="165" fontId="10" fillId="0" borderId="18" xfId="0" applyNumberFormat="1" applyFont="1" applyFill="1" applyBorder="1"/>
    <xf numFmtId="0" fontId="1" fillId="0" borderId="33" xfId="0" applyFont="1" applyBorder="1" applyAlignment="1">
      <alignment horizontal="left"/>
    </xf>
    <xf numFmtId="0" fontId="1" fillId="0" borderId="33" xfId="0" applyFont="1" applyBorder="1"/>
    <xf numFmtId="14" fontId="10" fillId="0" borderId="33" xfId="0" applyNumberFormat="1" applyFont="1" applyBorder="1" applyAlignment="1">
      <alignment horizontal="left"/>
    </xf>
    <xf numFmtId="0" fontId="10" fillId="0" borderId="33" xfId="0" applyFont="1" applyFill="1" applyBorder="1"/>
    <xf numFmtId="0" fontId="10" fillId="0" borderId="33" xfId="0" applyFont="1" applyFill="1" applyBorder="1" applyAlignment="1">
      <alignment horizontal="center"/>
    </xf>
    <xf numFmtId="165" fontId="10" fillId="0" borderId="33" xfId="0" applyNumberFormat="1" applyFont="1" applyFill="1" applyBorder="1"/>
    <xf numFmtId="0" fontId="10" fillId="0" borderId="33" xfId="0" applyFont="1" applyBorder="1"/>
    <xf numFmtId="165" fontId="10" fillId="0" borderId="33" xfId="0" applyNumberFormat="1" applyFont="1" applyBorder="1"/>
    <xf numFmtId="14" fontId="10" fillId="0" borderId="33" xfId="0" applyNumberFormat="1" applyFont="1" applyFill="1" applyBorder="1" applyAlignment="1">
      <alignment horizontal="left"/>
    </xf>
    <xf numFmtId="0" fontId="10" fillId="0" borderId="33" xfId="0" applyFont="1" applyBorder="1" applyAlignment="1">
      <alignment horizontal="center"/>
    </xf>
    <xf numFmtId="0" fontId="2" fillId="0" borderId="9" xfId="0" applyFont="1" applyBorder="1" applyAlignment="1">
      <alignment horizontal="center" vertical="top"/>
    </xf>
    <xf numFmtId="0" fontId="0" fillId="0" borderId="9" xfId="0" applyBorder="1" applyAlignment="1">
      <alignment horizontal="center" vertical="top"/>
    </xf>
    <xf numFmtId="165" fontId="5" fillId="0" borderId="0" xfId="0" applyNumberFormat="1" applyFont="1" applyBorder="1"/>
    <xf numFmtId="0" fontId="5" fillId="0" borderId="8" xfId="0" applyFont="1" applyBorder="1" applyAlignment="1">
      <alignment horizontal="center" vertical="distributed" textRotation="90" justifyLastLine="1"/>
    </xf>
    <xf numFmtId="0" fontId="16" fillId="0" borderId="11" xfId="0" applyFont="1" applyBorder="1" applyAlignment="1">
      <alignment horizontal="center" vertical="center" textRotation="90"/>
    </xf>
    <xf numFmtId="0" fontId="5" fillId="0" borderId="11" xfId="0" applyFont="1" applyBorder="1" applyAlignment="1">
      <alignment horizontal="center" vertical="center" textRotation="90"/>
    </xf>
    <xf numFmtId="0" fontId="15" fillId="0" borderId="11" xfId="0" applyFont="1" applyBorder="1" applyAlignment="1">
      <alignment horizontal="center" vertical="center" textRotation="90"/>
    </xf>
    <xf numFmtId="0" fontId="5" fillId="0" borderId="13" xfId="0" applyFont="1" applyBorder="1" applyAlignment="1">
      <alignment horizontal="center" vertical="center" textRotation="90"/>
    </xf>
    <xf numFmtId="0" fontId="5" fillId="0" borderId="8" xfId="0" applyFont="1" applyBorder="1" applyAlignment="1">
      <alignment vertical="top" textRotation="90"/>
    </xf>
    <xf numFmtId="0" fontId="15" fillId="0" borderId="11" xfId="0" applyFont="1" applyBorder="1" applyAlignment="1">
      <alignment vertical="top" textRotation="90"/>
    </xf>
    <xf numFmtId="0" fontId="16" fillId="0" borderId="11" xfId="0" applyFont="1" applyBorder="1" applyAlignment="1">
      <alignment vertical="top" textRotation="90"/>
    </xf>
    <xf numFmtId="0" fontId="5" fillId="0" borderId="11" xfId="0" applyFont="1" applyBorder="1" applyAlignment="1">
      <alignment vertical="top" textRotation="90"/>
    </xf>
    <xf numFmtId="0" fontId="5" fillId="0" borderId="13" xfId="0" applyFont="1" applyBorder="1" applyAlignment="1">
      <alignment vertical="top" textRotation="90"/>
    </xf>
    <xf numFmtId="0" fontId="5" fillId="0" borderId="8" xfId="0" applyFont="1" applyBorder="1" applyAlignment="1">
      <alignment vertical="center" textRotation="90"/>
    </xf>
    <xf numFmtId="0" fontId="11" fillId="0" borderId="11" xfId="0" applyFont="1" applyBorder="1" applyAlignment="1">
      <alignment vertical="center" textRotation="90"/>
    </xf>
    <xf numFmtId="0" fontId="10" fillId="0" borderId="13" xfId="0" applyFont="1" applyBorder="1" applyAlignment="1">
      <alignment vertical="center" textRotation="90"/>
    </xf>
    <xf numFmtId="0" fontId="5" fillId="0" borderId="8" xfId="0" applyFont="1" applyBorder="1" applyAlignment="1">
      <alignment horizontal="right" textRotation="90"/>
    </xf>
    <xf numFmtId="0" fontId="16" fillId="0" borderId="11" xfId="0" applyFont="1" applyBorder="1" applyAlignment="1">
      <alignment vertical="center" textRotation="90"/>
    </xf>
    <xf numFmtId="0" fontId="5" fillId="0" borderId="13" xfId="0" applyFont="1" applyBorder="1" applyAlignment="1">
      <alignment vertical="center" textRotation="90"/>
    </xf>
    <xf numFmtId="0" fontId="5" fillId="0" borderId="11" xfId="0" applyFont="1" applyBorder="1" applyAlignment="1">
      <alignment horizontal="left"/>
    </xf>
    <xf numFmtId="0" fontId="1" fillId="0" borderId="29" xfId="0" applyFont="1" applyFill="1" applyBorder="1" applyAlignment="1">
      <alignment horizontal="left"/>
    </xf>
    <xf numFmtId="0" fontId="1" fillId="0" borderId="14" xfId="0" applyFont="1" applyFill="1" applyBorder="1"/>
    <xf numFmtId="165" fontId="1" fillId="0" borderId="14" xfId="0" applyNumberFormat="1" applyFont="1" applyFill="1" applyBorder="1"/>
    <xf numFmtId="165" fontId="1" fillId="0" borderId="15" xfId="0" applyNumberFormat="1" applyFont="1" applyFill="1" applyBorder="1"/>
    <xf numFmtId="165" fontId="1" fillId="0" borderId="7" xfId="0" applyNumberFormat="1" applyFont="1" applyFill="1" applyBorder="1"/>
    <xf numFmtId="0" fontId="2" fillId="0" borderId="0" xfId="0" applyFont="1" applyAlignment="1">
      <alignment horizontal="center" vertical="top"/>
    </xf>
    <xf numFmtId="0" fontId="11" fillId="0" borderId="0" xfId="0" applyFont="1" applyBorder="1" applyAlignment="1">
      <alignment vertical="top" wrapText="1"/>
    </xf>
    <xf numFmtId="0" fontId="11" fillId="0" borderId="12" xfId="0" applyFont="1" applyBorder="1" applyAlignment="1">
      <alignment vertical="top" wrapText="1"/>
    </xf>
    <xf numFmtId="0" fontId="2" fillId="0" borderId="9" xfId="0" applyFont="1" applyBorder="1" applyAlignment="1">
      <alignment horizontal="center" vertical="top"/>
    </xf>
    <xf numFmtId="0" fontId="0" fillId="0" borderId="9" xfId="0" applyBorder="1" applyAlignment="1">
      <alignment horizontal="center" vertical="top"/>
    </xf>
    <xf numFmtId="0" fontId="0" fillId="0" borderId="0" xfId="0" applyAlignment="1">
      <alignment vertical="top" wrapText="1"/>
    </xf>
    <xf numFmtId="0" fontId="0" fillId="0" borderId="0" xfId="0" applyAlignment="1">
      <alignment wrapText="1"/>
    </xf>
    <xf numFmtId="0" fontId="2" fillId="0" borderId="0" xfId="0" applyFont="1" applyAlignment="1">
      <alignment horizontal="center"/>
    </xf>
    <xf numFmtId="0" fontId="0" fillId="0" borderId="0" xfId="0" applyAlignment="1">
      <alignment horizontal="center"/>
    </xf>
    <xf numFmtId="0" fontId="2" fillId="0" borderId="34" xfId="0" applyFont="1" applyBorder="1" applyAlignment="1">
      <alignment horizontal="center" vertical="top"/>
    </xf>
    <xf numFmtId="0" fontId="2" fillId="0" borderId="0" xfId="0" applyFont="1" applyAlignment="1">
      <alignment horizontal="center" vertical="top"/>
    </xf>
    <xf numFmtId="0" fontId="11" fillId="0" borderId="11" xfId="0" applyFont="1" applyBorder="1" applyAlignment="1">
      <alignment vertical="top" wrapText="1"/>
    </xf>
    <xf numFmtId="0" fontId="11" fillId="0" borderId="0" xfId="0" applyFont="1" applyBorder="1" applyAlignment="1">
      <alignment vertical="top" wrapText="1"/>
    </xf>
    <xf numFmtId="0" fontId="11" fillId="0" borderId="12" xfId="0" applyFont="1" applyBorder="1" applyAlignment="1">
      <alignment vertical="top" wrapText="1"/>
    </xf>
    <xf numFmtId="0" fontId="11" fillId="0" borderId="11" xfId="0" applyFont="1" applyBorder="1" applyAlignment="1">
      <alignment wrapText="1"/>
    </xf>
    <xf numFmtId="0" fontId="11" fillId="0" borderId="0" xfId="0" applyFont="1" applyBorder="1" applyAlignment="1"/>
    <xf numFmtId="0" fontId="11" fillId="0" borderId="12" xfId="0" applyFont="1" applyBorder="1" applyAlignment="1"/>
    <xf numFmtId="0" fontId="12" fillId="0" borderId="11" xfId="0" applyFont="1" applyBorder="1" applyAlignment="1">
      <alignment horizontal="justify" vertical="top" wrapText="1"/>
    </xf>
    <xf numFmtId="0" fontId="12" fillId="0" borderId="0" xfId="0" applyFont="1" applyBorder="1" applyAlignment="1">
      <alignment horizontal="justify" vertical="top" wrapText="1"/>
    </xf>
    <xf numFmtId="0" fontId="12" fillId="0" borderId="0" xfId="0" applyFont="1" applyBorder="1" applyAlignment="1">
      <alignment horizontal="justify"/>
    </xf>
    <xf numFmtId="0" fontId="12" fillId="0" borderId="12" xfId="0" applyFont="1" applyBorder="1" applyAlignment="1">
      <alignment horizontal="justify"/>
    </xf>
    <xf numFmtId="0" fontId="0" fillId="0" borderId="0" xfId="0" applyAlignment="1">
      <alignment horizontal="center" vertical="top"/>
    </xf>
    <xf numFmtId="0" fontId="2" fillId="0" borderId="9" xfId="0" applyFont="1" applyBorder="1" applyAlignment="1">
      <alignment horizontal="center" vertical="top"/>
    </xf>
    <xf numFmtId="0" fontId="0" fillId="0" borderId="9" xfId="0" applyBorder="1" applyAlignment="1">
      <alignment horizontal="center" vertical="top"/>
    </xf>
    <xf numFmtId="0" fontId="0" fillId="0" borderId="0" xfId="0" applyAlignment="1">
      <alignment horizontal="justify" vertical="center" wrapText="1"/>
    </xf>
    <xf numFmtId="0" fontId="2" fillId="8" borderId="21" xfId="0" applyFont="1" applyFill="1" applyBorder="1" applyAlignment="1">
      <alignment vertical="center" textRotation="89"/>
    </xf>
    <xf numFmtId="0" fontId="2" fillId="0" borderId="0" xfId="0" applyFont="1" applyBorder="1" applyAlignment="1">
      <alignment vertical="center" textRotation="89"/>
    </xf>
    <xf numFmtId="0" fontId="2" fillId="0" borderId="22" xfId="0" applyFont="1" applyBorder="1" applyAlignment="1">
      <alignment vertical="center" textRotation="89"/>
    </xf>
    <xf numFmtId="0" fontId="2" fillId="0" borderId="21" xfId="0" applyFont="1" applyFill="1" applyBorder="1" applyAlignment="1">
      <alignment vertical="center" textRotation="89"/>
    </xf>
    <xf numFmtId="0" fontId="2" fillId="0" borderId="0" xfId="0" applyFont="1" applyFill="1" applyBorder="1" applyAlignment="1">
      <alignment vertical="center" textRotation="89"/>
    </xf>
    <xf numFmtId="0" fontId="2" fillId="0" borderId="22" xfId="0" applyFont="1" applyFill="1" applyBorder="1" applyAlignment="1">
      <alignment vertical="center" textRotation="89"/>
    </xf>
    <xf numFmtId="0" fontId="2" fillId="8" borderId="0" xfId="0" applyFont="1" applyFill="1" applyBorder="1" applyAlignment="1">
      <alignment vertical="center" textRotation="89"/>
    </xf>
    <xf numFmtId="0" fontId="2" fillId="0" borderId="0" xfId="0" applyFont="1" applyBorder="1" applyAlignment="1">
      <alignment horizontal="center" vertical="center" textRotation="90"/>
    </xf>
    <xf numFmtId="0" fontId="8" fillId="0" borderId="0" xfId="0" applyFont="1" applyAlignment="1">
      <alignment horizontal="center" vertical="center" textRotation="90"/>
    </xf>
    <xf numFmtId="0" fontId="2" fillId="0" borderId="0" xfId="0" applyFont="1" applyAlignment="1">
      <alignment horizontal="center" vertical="center" textRotation="90"/>
    </xf>
    <xf numFmtId="0" fontId="0" fillId="0" borderId="0" xfId="0" applyAlignment="1">
      <alignment vertical="center" textRotation="90"/>
    </xf>
    <xf numFmtId="0" fontId="16" fillId="3" borderId="0" xfId="0" applyFont="1" applyFill="1"/>
    <xf numFmtId="0" fontId="11" fillId="3"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0</xdr:row>
          <xdr:rowOff>152400</xdr:rowOff>
        </xdr:from>
        <xdr:to>
          <xdr:col>14</xdr:col>
          <xdr:colOff>676275</xdr:colOff>
          <xdr:row>2</xdr:row>
          <xdr:rowOff>9525</xdr:rowOff>
        </xdr:to>
        <xdr:sp macro="" textlink="">
          <xdr:nvSpPr>
            <xdr:cNvPr id="3078" name="Button 6" hidden="1">
              <a:extLst>
                <a:ext uri="{63B3BB69-23CF-44E3-9099-C40C66FF867C}">
                  <a14:compatExt spid="_x0000_s307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Eliminer lignes vides pce comptables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xdr:row>
          <xdr:rowOff>9525</xdr:rowOff>
        </xdr:from>
        <xdr:to>
          <xdr:col>14</xdr:col>
          <xdr:colOff>685800</xdr:colOff>
          <xdr:row>4</xdr:row>
          <xdr:rowOff>95250</xdr:rowOff>
        </xdr:to>
        <xdr:sp macro="" textlink="">
          <xdr:nvSpPr>
            <xdr:cNvPr id="3080" name="Button 8" hidden="1">
              <a:extLst>
                <a:ext uri="{63B3BB69-23CF-44E3-9099-C40C66FF867C}">
                  <a14:compatExt spid="_x0000_s308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Eliminer les lignes vides budget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0</xdr:row>
          <xdr:rowOff>152400</xdr:rowOff>
        </xdr:from>
        <xdr:to>
          <xdr:col>14</xdr:col>
          <xdr:colOff>695325</xdr:colOff>
          <xdr:row>2</xdr:row>
          <xdr:rowOff>9525</xdr:rowOff>
        </xdr:to>
        <xdr:sp macro="" textlink="">
          <xdr:nvSpPr>
            <xdr:cNvPr id="16385" name="Button 1" hidden="1">
              <a:extLst>
                <a:ext uri="{63B3BB69-23CF-44E3-9099-C40C66FF867C}">
                  <a14:compatExt spid="_x0000_s1638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Eliminer lignes vides pce comptables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xdr:row>
          <xdr:rowOff>9525</xdr:rowOff>
        </xdr:from>
        <xdr:to>
          <xdr:col>14</xdr:col>
          <xdr:colOff>638175</xdr:colOff>
          <xdr:row>4</xdr:row>
          <xdr:rowOff>95250</xdr:rowOff>
        </xdr:to>
        <xdr:sp macro="" textlink="">
          <xdr:nvSpPr>
            <xdr:cNvPr id="16386" name="Button 2" hidden="1">
              <a:extLst>
                <a:ext uri="{63B3BB69-23CF-44E3-9099-C40C66FF867C}">
                  <a14:compatExt spid="_x0000_s1638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Eliminer les lignes vides budget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xdr:row>
          <xdr:rowOff>9525</xdr:rowOff>
        </xdr:from>
        <xdr:to>
          <xdr:col>14</xdr:col>
          <xdr:colOff>685800</xdr:colOff>
          <xdr:row>4</xdr:row>
          <xdr:rowOff>95250</xdr:rowOff>
        </xdr:to>
        <xdr:sp macro="" textlink="">
          <xdr:nvSpPr>
            <xdr:cNvPr id="16390" name="Button 6" hidden="1">
              <a:extLst>
                <a:ext uri="{63B3BB69-23CF-44E3-9099-C40C66FF867C}">
                  <a14:compatExt spid="_x0000_s1639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Eliminer les lignes vides budget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0</xdr:row>
          <xdr:rowOff>152400</xdr:rowOff>
        </xdr:from>
        <xdr:to>
          <xdr:col>17</xdr:col>
          <xdr:colOff>142875</xdr:colOff>
          <xdr:row>1</xdr:row>
          <xdr:rowOff>123825</xdr:rowOff>
        </xdr:to>
        <xdr:sp macro="" textlink="">
          <xdr:nvSpPr>
            <xdr:cNvPr id="18433" name="Button 1" hidden="1">
              <a:extLst>
                <a:ext uri="{63B3BB69-23CF-44E3-9099-C40C66FF867C}">
                  <a14:compatExt spid="_x0000_s1843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Eliminer lignes vides pce comptables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xdr:row>
          <xdr:rowOff>9525</xdr:rowOff>
        </xdr:from>
        <xdr:to>
          <xdr:col>17</xdr:col>
          <xdr:colOff>85725</xdr:colOff>
          <xdr:row>4</xdr:row>
          <xdr:rowOff>123825</xdr:rowOff>
        </xdr:to>
        <xdr:sp macro="" textlink="">
          <xdr:nvSpPr>
            <xdr:cNvPr id="18434" name="Button 2" hidden="1">
              <a:extLst>
                <a:ext uri="{63B3BB69-23CF-44E3-9099-C40C66FF867C}">
                  <a14:compatExt spid="_x0000_s1843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Eliminer les lignes vides budget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xdr:row>
          <xdr:rowOff>9525</xdr:rowOff>
        </xdr:from>
        <xdr:to>
          <xdr:col>17</xdr:col>
          <xdr:colOff>133350</xdr:colOff>
          <xdr:row>4</xdr:row>
          <xdr:rowOff>123825</xdr:rowOff>
        </xdr:to>
        <xdr:sp macro="" textlink="">
          <xdr:nvSpPr>
            <xdr:cNvPr id="18435" name="Button 3" hidden="1">
              <a:extLst>
                <a:ext uri="{63B3BB69-23CF-44E3-9099-C40C66FF867C}">
                  <a14:compatExt spid="_x0000_s1843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Eliminer les lignes vides budget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3.vml"/><Relationship Id="rId1" Type="http://schemas.openxmlformats.org/officeDocument/2006/relationships/drawing" Target="../drawings/drawing3.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9" tint="0.39997558519241921"/>
  </sheetPr>
  <dimension ref="A1:J41"/>
  <sheetViews>
    <sheetView workbookViewId="0">
      <selection activeCell="A35" sqref="A35:XFD35"/>
    </sheetView>
  </sheetViews>
  <sheetFormatPr baseColWidth="10" defaultRowHeight="15" x14ac:dyDescent="0.25"/>
  <cols>
    <col min="1" max="1" width="3.7109375" style="35" customWidth="1"/>
  </cols>
  <sheetData>
    <row r="1" spans="1:10" ht="21" x14ac:dyDescent="0.35">
      <c r="A1" s="355" t="s">
        <v>94</v>
      </c>
      <c r="B1" s="356"/>
      <c r="C1" s="356"/>
      <c r="D1" s="356"/>
      <c r="E1" s="356"/>
      <c r="F1" s="356"/>
      <c r="G1" s="356"/>
      <c r="H1" s="356"/>
      <c r="I1" s="356"/>
      <c r="J1" s="356"/>
    </row>
    <row r="3" spans="1:10" ht="15.75" x14ac:dyDescent="0.25">
      <c r="A3" s="56" t="s">
        <v>113</v>
      </c>
    </row>
    <row r="4" spans="1:10" x14ac:dyDescent="0.25">
      <c r="A4" s="35">
        <v>1</v>
      </c>
      <c r="B4" t="s">
        <v>95</v>
      </c>
      <c r="J4" s="34"/>
    </row>
    <row r="5" spans="1:10" x14ac:dyDescent="0.25">
      <c r="B5" t="s">
        <v>160</v>
      </c>
      <c r="J5" s="34"/>
    </row>
    <row r="6" spans="1:10" x14ac:dyDescent="0.25">
      <c r="B6" t="s">
        <v>151</v>
      </c>
      <c r="J6" s="34"/>
    </row>
    <row r="7" spans="1:10" x14ac:dyDescent="0.25">
      <c r="B7" t="s">
        <v>152</v>
      </c>
      <c r="J7" s="34"/>
    </row>
    <row r="8" spans="1:10" ht="46.5" customHeight="1" x14ac:dyDescent="0.25">
      <c r="B8" s="354" t="s">
        <v>122</v>
      </c>
      <c r="C8" s="354"/>
      <c r="D8" s="354"/>
      <c r="E8" s="354"/>
      <c r="F8" s="354"/>
      <c r="G8" s="354"/>
      <c r="H8" s="354"/>
      <c r="I8" s="354"/>
      <c r="J8" s="354"/>
    </row>
    <row r="9" spans="1:10" ht="15.75" x14ac:dyDescent="0.25">
      <c r="A9" s="56" t="s">
        <v>114</v>
      </c>
    </row>
    <row r="10" spans="1:10" x14ac:dyDescent="0.25">
      <c r="A10" s="35">
        <v>2</v>
      </c>
      <c r="B10" t="s">
        <v>121</v>
      </c>
      <c r="D10" s="38"/>
      <c r="E10" t="s">
        <v>112</v>
      </c>
      <c r="J10" s="34"/>
    </row>
    <row r="11" spans="1:10" ht="32.25" customHeight="1" x14ac:dyDescent="0.25">
      <c r="B11" s="353" t="s">
        <v>123</v>
      </c>
      <c r="C11" s="353"/>
      <c r="D11" s="353"/>
      <c r="E11" s="353"/>
      <c r="F11" s="353"/>
      <c r="G11" s="353"/>
      <c r="H11" s="353"/>
      <c r="I11" s="353"/>
      <c r="J11" s="353"/>
    </row>
    <row r="12" spans="1:10" ht="15.75" x14ac:dyDescent="0.25">
      <c r="A12" s="56" t="s">
        <v>84</v>
      </c>
    </row>
    <row r="15" spans="1:10" ht="15.75" x14ac:dyDescent="0.25">
      <c r="A15" s="56" t="s">
        <v>36</v>
      </c>
    </row>
    <row r="16" spans="1:10" x14ac:dyDescent="0.25">
      <c r="B16" t="s">
        <v>215</v>
      </c>
    </row>
    <row r="17" spans="1:10" x14ac:dyDescent="0.25">
      <c r="B17" t="s">
        <v>216</v>
      </c>
    </row>
    <row r="18" spans="1:10" ht="31.5" customHeight="1" x14ac:dyDescent="0.25">
      <c r="B18" s="353" t="s">
        <v>217</v>
      </c>
      <c r="C18" s="353"/>
      <c r="D18" s="353"/>
      <c r="E18" s="353"/>
      <c r="F18" s="353"/>
      <c r="G18" s="353"/>
      <c r="H18" s="353"/>
      <c r="I18" s="353"/>
      <c r="J18" s="353"/>
    </row>
    <row r="19" spans="1:10" ht="15.75" x14ac:dyDescent="0.25">
      <c r="A19" s="56" t="s">
        <v>38</v>
      </c>
    </row>
    <row r="21" spans="1:10" ht="15.75" x14ac:dyDescent="0.25">
      <c r="A21" s="56" t="s">
        <v>54</v>
      </c>
    </row>
    <row r="22" spans="1:10" ht="48.75" customHeight="1" x14ac:dyDescent="0.25">
      <c r="A22" s="56"/>
      <c r="B22" s="353" t="s">
        <v>207</v>
      </c>
      <c r="C22" s="353"/>
      <c r="D22" s="353"/>
      <c r="E22" s="353"/>
      <c r="F22" s="353"/>
      <c r="G22" s="353"/>
      <c r="H22" s="353"/>
      <c r="I22" s="353"/>
      <c r="J22" s="353"/>
    </row>
    <row r="23" spans="1:10" ht="34.5" customHeight="1" x14ac:dyDescent="0.25">
      <c r="A23" s="56"/>
      <c r="B23" s="353" t="s">
        <v>197</v>
      </c>
      <c r="C23" s="353"/>
      <c r="D23" s="353"/>
      <c r="E23" s="353"/>
      <c r="F23" s="353"/>
      <c r="G23" s="353"/>
      <c r="H23" s="353"/>
      <c r="I23" s="353"/>
      <c r="J23" s="353"/>
    </row>
    <row r="24" spans="1:10" ht="48" customHeight="1" x14ac:dyDescent="0.25">
      <c r="A24" s="56"/>
      <c r="B24" s="353" t="s">
        <v>208</v>
      </c>
      <c r="C24" s="353"/>
      <c r="D24" s="353"/>
      <c r="E24" s="353"/>
      <c r="F24" s="353"/>
      <c r="G24" s="353"/>
      <c r="H24" s="353"/>
      <c r="I24" s="353"/>
      <c r="J24" s="353"/>
    </row>
    <row r="25" spans="1:10" ht="15.75" x14ac:dyDescent="0.25">
      <c r="A25" s="56" t="s">
        <v>34</v>
      </c>
    </row>
    <row r="26" spans="1:10" ht="33.75" customHeight="1" x14ac:dyDescent="0.25">
      <c r="A26" s="56"/>
      <c r="B26" s="353" t="s">
        <v>209</v>
      </c>
      <c r="C26" s="353"/>
      <c r="D26" s="353"/>
      <c r="E26" s="353"/>
      <c r="F26" s="353"/>
      <c r="G26" s="353"/>
      <c r="H26" s="353"/>
      <c r="I26" s="353"/>
      <c r="J26" s="353"/>
    </row>
    <row r="27" spans="1:10" ht="48" customHeight="1" x14ac:dyDescent="0.25">
      <c r="A27" s="56"/>
      <c r="B27" s="353" t="s">
        <v>210</v>
      </c>
      <c r="C27" s="353"/>
      <c r="D27" s="353"/>
      <c r="E27" s="353"/>
      <c r="F27" s="353"/>
      <c r="G27" s="353"/>
      <c r="H27" s="353"/>
      <c r="I27" s="353"/>
      <c r="J27" s="353"/>
    </row>
    <row r="28" spans="1:10" ht="15.75" x14ac:dyDescent="0.25">
      <c r="A28" s="56" t="s">
        <v>57</v>
      </c>
    </row>
    <row r="32" spans="1:10" ht="15.75" x14ac:dyDescent="0.25">
      <c r="A32" s="56" t="s">
        <v>69</v>
      </c>
      <c r="I32" t="s">
        <v>120</v>
      </c>
    </row>
    <row r="36" spans="1:1" ht="15.75" x14ac:dyDescent="0.25">
      <c r="A36" s="56" t="s">
        <v>115</v>
      </c>
    </row>
    <row r="38" spans="1:1" ht="15.75" x14ac:dyDescent="0.25">
      <c r="A38" s="56" t="s">
        <v>116</v>
      </c>
    </row>
    <row r="39" spans="1:1" ht="21" x14ac:dyDescent="0.35">
      <c r="A39" s="59" t="s">
        <v>117</v>
      </c>
    </row>
    <row r="40" spans="1:1" ht="21" x14ac:dyDescent="0.35">
      <c r="A40" s="59" t="s">
        <v>118</v>
      </c>
    </row>
    <row r="41" spans="1:1" ht="21" x14ac:dyDescent="0.35">
      <c r="A41" s="59" t="s">
        <v>119</v>
      </c>
    </row>
  </sheetData>
  <mergeCells count="9">
    <mergeCell ref="B27:J27"/>
    <mergeCell ref="B18:J18"/>
    <mergeCell ref="B8:J8"/>
    <mergeCell ref="B11:J11"/>
    <mergeCell ref="A1:J1"/>
    <mergeCell ref="B22:J22"/>
    <mergeCell ref="B23:J23"/>
    <mergeCell ref="B24:J24"/>
    <mergeCell ref="B26:J2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92D050"/>
  </sheetPr>
  <dimension ref="A1:T220"/>
  <sheetViews>
    <sheetView showZeros="0" topLeftCell="B1" workbookViewId="0">
      <selection activeCell="N119" sqref="N119"/>
    </sheetView>
  </sheetViews>
  <sheetFormatPr baseColWidth="10" defaultRowHeight="15" x14ac:dyDescent="0.25"/>
  <cols>
    <col min="1" max="1" width="5.85546875" style="235" hidden="1" customWidth="1"/>
    <col min="2" max="2" width="16.85546875" style="35" customWidth="1"/>
    <col min="3" max="3" width="21.140625" customWidth="1"/>
    <col min="4" max="4" width="14" customWidth="1"/>
    <col min="5" max="8" width="11.42578125" customWidth="1"/>
    <col min="9" max="9" width="3.5703125" customWidth="1"/>
    <col min="10" max="11" width="4" style="1" customWidth="1"/>
    <col min="12" max="13" width="6.85546875" style="1" customWidth="1"/>
    <col min="14" max="14" width="9.42578125" customWidth="1"/>
  </cols>
  <sheetData>
    <row r="1" spans="1:15" ht="22.5" customHeight="1" x14ac:dyDescent="0.25">
      <c r="A1" s="229"/>
      <c r="B1" s="358" t="s">
        <v>4</v>
      </c>
      <c r="C1" s="358"/>
      <c r="D1" s="358"/>
      <c r="E1" s="358"/>
      <c r="F1" s="358"/>
      <c r="G1" s="358"/>
      <c r="H1" s="358"/>
    </row>
    <row r="2" spans="1:15" s="203" customFormat="1" ht="12.75" x14ac:dyDescent="0.2">
      <c r="A2" s="229"/>
      <c r="B2" s="207" t="s">
        <v>7</v>
      </c>
      <c r="C2" s="221" t="s">
        <v>133</v>
      </c>
      <c r="D2" s="203" t="s">
        <v>6</v>
      </c>
      <c r="E2" s="236">
        <f>'Les normes-données de base'!B1</f>
        <v>2015</v>
      </c>
      <c r="F2" s="203" t="s">
        <v>24</v>
      </c>
      <c r="H2" s="207" t="str">
        <f>'Les normes-données de base'!B5</f>
        <v>NV</v>
      </c>
      <c r="J2" s="202"/>
      <c r="K2" s="202"/>
      <c r="L2" s="202"/>
      <c r="M2" s="202"/>
    </row>
    <row r="3" spans="1:15" s="203" customFormat="1" ht="12.75" x14ac:dyDescent="0.2">
      <c r="A3" s="229"/>
      <c r="B3" s="207" t="s">
        <v>5</v>
      </c>
      <c r="D3" s="203" t="str">
        <f>'Les normes-données de base'!B3</f>
        <v>Nicole Villet</v>
      </c>
      <c r="F3" s="203" t="s">
        <v>23</v>
      </c>
      <c r="H3" s="207">
        <f>'Les normes-données de base'!B4</f>
        <v>977</v>
      </c>
      <c r="J3" s="202"/>
      <c r="K3" s="202"/>
      <c r="L3" s="202"/>
      <c r="M3" s="202"/>
    </row>
    <row r="4" spans="1:15" s="203" customFormat="1" ht="12.75" x14ac:dyDescent="0.2">
      <c r="A4" s="229"/>
      <c r="B4" s="207" t="s">
        <v>14</v>
      </c>
      <c r="D4" s="203" t="str">
        <f>'Les normes-données de base'!B14</f>
        <v>Impasse de l'Opéra 1</v>
      </c>
      <c r="F4" s="203" t="s">
        <v>25</v>
      </c>
      <c r="H4" s="207">
        <f>'Les normes-données de base'!B12</f>
        <v>2231</v>
      </c>
      <c r="J4" s="202"/>
      <c r="K4" s="202"/>
      <c r="L4" s="202"/>
      <c r="M4" s="202"/>
    </row>
    <row r="5" spans="1:15" s="203" customFormat="1" ht="12.75" x14ac:dyDescent="0.2">
      <c r="A5" s="229"/>
      <c r="B5" s="207"/>
      <c r="D5" s="203" t="str">
        <f>'Les normes-données de base'!D14</f>
        <v>1696 Vuisternens-en-Ogoz</v>
      </c>
      <c r="F5" s="203" t="s">
        <v>26</v>
      </c>
      <c r="H5" s="207">
        <f>'Les normes-données de base'!B13</f>
        <v>2231</v>
      </c>
      <c r="J5" s="202"/>
      <c r="K5" s="202"/>
      <c r="L5" s="202"/>
      <c r="M5" s="202"/>
    </row>
    <row r="6" spans="1:15" s="203" customFormat="1" ht="12.75" x14ac:dyDescent="0.2">
      <c r="A6" s="229"/>
      <c r="B6" s="207" t="s">
        <v>16</v>
      </c>
      <c r="D6" s="200">
        <f>'Les normes-données de base'!B8</f>
        <v>24682</v>
      </c>
      <c r="E6" s="151"/>
      <c r="F6" s="203" t="s">
        <v>68</v>
      </c>
      <c r="G6" s="151"/>
      <c r="H6" s="205">
        <f ca="1">TODAY()</f>
        <v>41987</v>
      </c>
      <c r="J6" s="202"/>
      <c r="K6" s="202"/>
      <c r="L6" s="202"/>
      <c r="M6" s="202"/>
    </row>
    <row r="7" spans="1:15" s="203" customFormat="1" ht="12.75" x14ac:dyDescent="0.2">
      <c r="A7" s="229"/>
      <c r="B7" s="207" t="s">
        <v>15</v>
      </c>
      <c r="D7" s="151" t="str">
        <f t="array" ref="D7">INDEX('Les normes-données de base'!B18:B29,MATCH(1,('Les normes-données de base'!A18:A29=C2)*('Les normes-données de base'!B3='BU-janv'!D3),0))</f>
        <v>veuve</v>
      </c>
      <c r="E7" s="151"/>
      <c r="F7" s="203" t="s">
        <v>19</v>
      </c>
      <c r="H7" s="203" t="str">
        <f>'Les normes-données de base'!B9</f>
        <v>Treyvaux</v>
      </c>
      <c r="J7" s="202"/>
      <c r="K7" s="202"/>
      <c r="L7" s="202"/>
      <c r="M7" s="202"/>
    </row>
    <row r="8" spans="1:15" s="203" customFormat="1" ht="12.75" x14ac:dyDescent="0.2">
      <c r="A8" s="229"/>
      <c r="B8" s="207" t="s">
        <v>107</v>
      </c>
      <c r="D8" s="228">
        <f ca="1">SUMIF('Les normes-données de base'!A18:C29,C2,'Les normes-données de base'!C18:C29)</f>
        <v>4</v>
      </c>
      <c r="E8" s="151"/>
      <c r="F8" s="203" t="s">
        <v>20</v>
      </c>
      <c r="H8" s="203" t="str">
        <f>'Les normes-données de base'!B10</f>
        <v>FR</v>
      </c>
      <c r="J8" s="202"/>
      <c r="K8" s="202"/>
      <c r="L8" s="202"/>
      <c r="M8" s="202"/>
    </row>
    <row r="9" spans="1:15" s="203" customFormat="1" ht="12.75" x14ac:dyDescent="0.2">
      <c r="A9" s="229"/>
      <c r="B9" s="207" t="s">
        <v>106</v>
      </c>
      <c r="D9" s="228">
        <f ca="1">SUMIF('Les normes-données de base'!A18:D29,C2,'Les normes-données de base'!D18:D29)</f>
        <v>2</v>
      </c>
      <c r="E9" s="151"/>
      <c r="F9" s="203" t="s">
        <v>21</v>
      </c>
      <c r="H9" s="203" t="str">
        <f>'Les normes-données de base'!B11</f>
        <v>CH</v>
      </c>
      <c r="J9" s="202"/>
      <c r="K9" s="202"/>
      <c r="L9" s="202"/>
      <c r="M9" s="202"/>
    </row>
    <row r="10" spans="1:15" s="203" customFormat="1" ht="12.75" x14ac:dyDescent="0.2">
      <c r="A10" s="229"/>
      <c r="B10" s="207" t="s">
        <v>17</v>
      </c>
      <c r="D10" s="207">
        <f>'Les normes-données de base'!B16</f>
        <v>2014</v>
      </c>
      <c r="F10" s="203" t="s">
        <v>18</v>
      </c>
      <c r="H10" s="203" t="str">
        <f>'Les normes-données de base'!B15</f>
        <v>32/33</v>
      </c>
      <c r="J10" s="202"/>
      <c r="K10" s="202"/>
      <c r="L10" s="202"/>
      <c r="M10" s="202"/>
    </row>
    <row r="11" spans="1:15" s="16" customFormat="1" ht="39" customHeight="1" x14ac:dyDescent="0.25">
      <c r="A11" s="230"/>
      <c r="B11" s="196"/>
      <c r="D11" s="22"/>
      <c r="E11" s="20" t="s">
        <v>0</v>
      </c>
      <c r="F11" s="21" t="s">
        <v>1</v>
      </c>
      <c r="G11" s="21" t="s">
        <v>2</v>
      </c>
      <c r="H11" s="20" t="s">
        <v>3</v>
      </c>
      <c r="J11" s="124" t="s">
        <v>28</v>
      </c>
      <c r="K11" s="124" t="s">
        <v>66</v>
      </c>
      <c r="L11" s="124" t="s">
        <v>49</v>
      </c>
      <c r="M11" s="124" t="s">
        <v>49</v>
      </c>
    </row>
    <row r="12" spans="1:15" s="203" customFormat="1" ht="12.75" customHeight="1" x14ac:dyDescent="0.2">
      <c r="A12" s="326" t="s">
        <v>84</v>
      </c>
      <c r="B12" s="277" t="s">
        <v>32</v>
      </c>
      <c r="C12" s="294"/>
      <c r="D12" s="279"/>
      <c r="E12" s="311"/>
      <c r="F12" s="312"/>
      <c r="G12" s="312"/>
      <c r="H12" s="311"/>
      <c r="J12" s="224"/>
      <c r="K12" s="224"/>
      <c r="L12" s="224"/>
      <c r="M12" s="224"/>
      <c r="O12" s="226"/>
    </row>
    <row r="13" spans="1:15" s="285" customFormat="1" ht="12" x14ac:dyDescent="0.2">
      <c r="A13" s="327"/>
      <c r="B13" s="292" t="s">
        <v>58</v>
      </c>
      <c r="C13" s="290"/>
      <c r="D13" s="291"/>
      <c r="E13" s="243">
        <f>SUMIFS(Ressources!D:D,Ressources!$C:$C,$B13,Ressources!$A:$A,$C$2)</f>
        <v>402</v>
      </c>
      <c r="F13" s="243">
        <f>SUMIFS(Ressources!E:E,Ressources!$C:$C,$B13,Ressources!$A:$A,$C$2)</f>
        <v>0</v>
      </c>
      <c r="G13" s="283">
        <f>E13+F13</f>
        <v>402</v>
      </c>
      <c r="H13" s="243"/>
      <c r="J13" s="274" t="s">
        <v>33</v>
      </c>
      <c r="K13" s="274" t="s">
        <v>263</v>
      </c>
      <c r="L13" s="274">
        <v>2027</v>
      </c>
      <c r="M13" s="274"/>
      <c r="O13" s="290"/>
    </row>
    <row r="14" spans="1:15" s="285" customFormat="1" ht="12" x14ac:dyDescent="0.2">
      <c r="A14" s="327"/>
      <c r="B14" s="292" t="s">
        <v>59</v>
      </c>
      <c r="C14" s="290"/>
      <c r="D14" s="291"/>
      <c r="E14" s="243">
        <f>SUMIFS(Ressources!D:D,Ressources!$C:$C,B14,Ressources!$A:$A,$C$2)</f>
        <v>0</v>
      </c>
      <c r="F14" s="243">
        <f>SUMIFS(Ressources!E:E,Ressources!$C:$C,$B14,Ressources!$A:$A,$C$2)</f>
        <v>34</v>
      </c>
      <c r="G14" s="283">
        <f t="shared" ref="G14:G26" si="0">E14+F14</f>
        <v>34</v>
      </c>
      <c r="H14" s="243"/>
      <c r="J14" s="274" t="s">
        <v>33</v>
      </c>
      <c r="K14" s="274" t="s">
        <v>263</v>
      </c>
      <c r="L14" s="274">
        <v>2027</v>
      </c>
      <c r="M14" s="274"/>
      <c r="O14" s="290"/>
    </row>
    <row r="15" spans="1:15" s="285" customFormat="1" ht="12" x14ac:dyDescent="0.2">
      <c r="A15" s="327"/>
      <c r="B15" s="292" t="s">
        <v>93</v>
      </c>
      <c r="C15" s="290"/>
      <c r="D15" s="291"/>
      <c r="E15" s="243">
        <f>SUMIFS(Ressources!D:D,Ressources!$C:$C,B15,Ressources!$A:$A,$C$2)</f>
        <v>0</v>
      </c>
      <c r="F15" s="243">
        <f>SUMIFS(Ressources!E:E,Ressources!$C:$C,$B15,Ressources!$A:$A,$C$2)</f>
        <v>0</v>
      </c>
      <c r="G15" s="283">
        <f t="shared" si="0"/>
        <v>0</v>
      </c>
      <c r="H15" s="243"/>
      <c r="J15" s="274" t="s">
        <v>33</v>
      </c>
      <c r="K15" s="274" t="s">
        <v>263</v>
      </c>
      <c r="L15" s="274">
        <v>2027</v>
      </c>
      <c r="M15" s="274"/>
      <c r="O15" s="290"/>
    </row>
    <row r="16" spans="1:15" s="285" customFormat="1" ht="12" x14ac:dyDescent="0.2">
      <c r="A16" s="327"/>
      <c r="B16" s="292" t="s">
        <v>60</v>
      </c>
      <c r="C16" s="290"/>
      <c r="D16" s="291"/>
      <c r="E16" s="243">
        <f>SUMIFS(Ressources!D:D,Ressources!$C:$C,B16,Ressources!$A:$A,$C$2)</f>
        <v>5</v>
      </c>
      <c r="F16" s="243">
        <f>SUMIFS(Ressources!E:E,Ressources!$C:$C,$B16,Ressources!$A:$A,$C$2)</f>
        <v>0</v>
      </c>
      <c r="G16" s="283">
        <f t="shared" si="0"/>
        <v>5</v>
      </c>
      <c r="H16" s="243"/>
      <c r="J16" s="274" t="s">
        <v>33</v>
      </c>
      <c r="K16" s="274" t="s">
        <v>264</v>
      </c>
      <c r="L16" s="274">
        <v>2027</v>
      </c>
      <c r="M16" s="274"/>
      <c r="O16" s="290"/>
    </row>
    <row r="17" spans="1:16" s="285" customFormat="1" ht="12" x14ac:dyDescent="0.2">
      <c r="A17" s="327"/>
      <c r="B17" s="292" t="s">
        <v>61</v>
      </c>
      <c r="C17" s="290"/>
      <c r="D17" s="291"/>
      <c r="E17" s="243">
        <f>SUMIFS(Ressources!D:D,Ressources!$C:$C,B17,Ressources!$A:$A,$C$2)</f>
        <v>0</v>
      </c>
      <c r="F17" s="243">
        <f>SUMIFS(Ressources!E:E,Ressources!$C:$C,$B17,Ressources!$A:$A,$C$2)</f>
        <v>0</v>
      </c>
      <c r="G17" s="283">
        <f t="shared" si="0"/>
        <v>0</v>
      </c>
      <c r="H17" s="243"/>
      <c r="J17" s="274" t="s">
        <v>33</v>
      </c>
      <c r="K17" s="274" t="s">
        <v>257</v>
      </c>
      <c r="L17" s="274">
        <v>2027</v>
      </c>
      <c r="M17" s="274"/>
      <c r="O17" s="290"/>
    </row>
    <row r="18" spans="1:16" s="285" customFormat="1" ht="12" x14ac:dyDescent="0.2">
      <c r="A18" s="327"/>
      <c r="B18" s="292" t="s">
        <v>62</v>
      </c>
      <c r="C18" s="290"/>
      <c r="D18" s="291"/>
      <c r="E18" s="243">
        <f>SUMIFS(Ressources!D:D,Ressources!$C:$C,B18,Ressources!$A:$A,$C$2)</f>
        <v>0</v>
      </c>
      <c r="F18" s="243">
        <f>SUMIFS(Ressources!E:E,Ressources!$C:$C,$B18,Ressources!$A:$A,$C$2)</f>
        <v>0</v>
      </c>
      <c r="G18" s="283">
        <f t="shared" si="0"/>
        <v>0</v>
      </c>
      <c r="H18" s="243"/>
      <c r="J18" s="274" t="s">
        <v>33</v>
      </c>
      <c r="K18" s="274" t="s">
        <v>265</v>
      </c>
      <c r="L18" s="274">
        <v>2027</v>
      </c>
      <c r="M18" s="274"/>
      <c r="O18" s="290"/>
    </row>
    <row r="19" spans="1:16" s="285" customFormat="1" ht="12" x14ac:dyDescent="0.2">
      <c r="A19" s="327"/>
      <c r="B19" s="292" t="s">
        <v>101</v>
      </c>
      <c r="C19" s="290"/>
      <c r="D19" s="291"/>
      <c r="E19" s="243">
        <f>SUMIFS(Ressources!D:D,Ressources!$C:$C,B19,Ressources!$A:$A,$C$2)</f>
        <v>0</v>
      </c>
      <c r="F19" s="243">
        <f>SUMIFS(Ressources!E:E,Ressources!$C:$C,$B19,Ressources!$A:$A,$C$2)</f>
        <v>0</v>
      </c>
      <c r="G19" s="283">
        <f t="shared" si="0"/>
        <v>0</v>
      </c>
      <c r="H19" s="243"/>
      <c r="J19" s="274" t="s">
        <v>33</v>
      </c>
      <c r="K19" s="274" t="s">
        <v>266</v>
      </c>
      <c r="L19" s="274">
        <v>2027</v>
      </c>
      <c r="M19" s="274"/>
      <c r="O19" s="290"/>
    </row>
    <row r="20" spans="1:16" s="285" customFormat="1" ht="12" x14ac:dyDescent="0.2">
      <c r="A20" s="327"/>
      <c r="B20" s="292" t="s">
        <v>102</v>
      </c>
      <c r="C20" s="290"/>
      <c r="D20" s="291"/>
      <c r="E20" s="243">
        <f>SUMIFS(Ressources!D:D,Ressources!$C:$C,B20,Ressources!$A:$A,$C$2)</f>
        <v>0</v>
      </c>
      <c r="F20" s="243">
        <f>SUMIFS(Ressources!E:E,Ressources!$C:$C,$B20,Ressources!$A:$A,$C$2)</f>
        <v>0</v>
      </c>
      <c r="G20" s="283">
        <f t="shared" si="0"/>
        <v>0</v>
      </c>
      <c r="H20" s="243"/>
      <c r="J20" s="274" t="s">
        <v>33</v>
      </c>
      <c r="K20" s="274" t="s">
        <v>267</v>
      </c>
      <c r="L20" s="274">
        <v>2027</v>
      </c>
      <c r="M20" s="274"/>
      <c r="O20" s="290"/>
    </row>
    <row r="21" spans="1:16" s="285" customFormat="1" ht="12" x14ac:dyDescent="0.2">
      <c r="A21" s="327"/>
      <c r="B21" s="292" t="s">
        <v>63</v>
      </c>
      <c r="C21" s="290"/>
      <c r="D21" s="291"/>
      <c r="E21" s="243">
        <f>SUMIFS(Ressources!D:D,Ressources!$C:$C,B21,Ressources!$A:$A,$C$2)</f>
        <v>0</v>
      </c>
      <c r="F21" s="243">
        <f>SUMIFS(Ressources!E:E,Ressources!$C:$C,$B21,Ressources!$A:$A,$C$2)</f>
        <v>0</v>
      </c>
      <c r="G21" s="283">
        <f t="shared" si="0"/>
        <v>0</v>
      </c>
      <c r="H21" s="243"/>
      <c r="J21" s="274" t="s">
        <v>33</v>
      </c>
      <c r="K21" s="274" t="s">
        <v>268</v>
      </c>
      <c r="L21" s="274">
        <v>2027</v>
      </c>
      <c r="M21" s="274"/>
      <c r="O21" s="290"/>
    </row>
    <row r="22" spans="1:16" s="285" customFormat="1" ht="12" x14ac:dyDescent="0.2">
      <c r="A22" s="327"/>
      <c r="B22" s="292" t="s">
        <v>91</v>
      </c>
      <c r="C22" s="290"/>
      <c r="D22" s="291"/>
      <c r="E22" s="243">
        <f>SUMIFS(Ressources!D:D,Ressources!$C:$C,B22,Ressources!$A:$A,$C$2)</f>
        <v>0</v>
      </c>
      <c r="F22" s="243">
        <f>SUMIFS(Ressources!E:E,Ressources!$C:$C,$B22,Ressources!$A:$A,$C$2)</f>
        <v>0</v>
      </c>
      <c r="G22" s="283">
        <f t="shared" si="0"/>
        <v>0</v>
      </c>
      <c r="H22" s="243"/>
      <c r="J22" s="274" t="s">
        <v>33</v>
      </c>
      <c r="K22" s="274" t="s">
        <v>263</v>
      </c>
      <c r="L22" s="274">
        <v>2027</v>
      </c>
      <c r="M22" s="274"/>
      <c r="O22" s="290"/>
    </row>
    <row r="23" spans="1:16" s="285" customFormat="1" ht="12" x14ac:dyDescent="0.2">
      <c r="A23" s="327"/>
      <c r="B23" s="292" t="s">
        <v>92</v>
      </c>
      <c r="C23" s="290"/>
      <c r="D23" s="291"/>
      <c r="E23" s="243">
        <f>SUMIFS(Ressources!D:D,Ressources!$C:$C,B23,Ressources!$A:$A,$C$2)</f>
        <v>0</v>
      </c>
      <c r="F23" s="243">
        <f>SUMIFS(Ressources!E:E,Ressources!$C:$C,$B23,Ressources!$A:$A,$C$2)</f>
        <v>0</v>
      </c>
      <c r="G23" s="283">
        <f t="shared" si="0"/>
        <v>0</v>
      </c>
      <c r="H23" s="243"/>
      <c r="J23" s="274" t="s">
        <v>33</v>
      </c>
      <c r="K23" s="274" t="s">
        <v>263</v>
      </c>
      <c r="L23" s="274">
        <v>2027</v>
      </c>
      <c r="M23" s="274"/>
      <c r="O23" s="290"/>
    </row>
    <row r="24" spans="1:16" s="285" customFormat="1" ht="12" x14ac:dyDescent="0.2">
      <c r="A24" s="327"/>
      <c r="B24" s="240" t="s">
        <v>196</v>
      </c>
      <c r="C24" s="290"/>
      <c r="D24" s="291"/>
      <c r="E24" s="243"/>
      <c r="F24" s="243"/>
      <c r="G24" s="283"/>
      <c r="H24" s="243"/>
      <c r="J24" s="274" t="s">
        <v>33</v>
      </c>
      <c r="K24" s="274" t="s">
        <v>269</v>
      </c>
      <c r="L24" s="274">
        <v>2027</v>
      </c>
      <c r="M24" s="274"/>
      <c r="O24" s="290"/>
    </row>
    <row r="25" spans="1:16" s="285" customFormat="1" ht="12" x14ac:dyDescent="0.2">
      <c r="A25" s="327"/>
      <c r="B25" s="292" t="s">
        <v>85</v>
      </c>
      <c r="C25" s="290"/>
      <c r="D25" s="291"/>
      <c r="E25" s="243">
        <f>SUMIFS(Ressources!D:D,Ressources!$C:$C,B25,Ressources!$A:$A,$C$2)</f>
        <v>0</v>
      </c>
      <c r="F25" s="243">
        <f>SUMIFS(Ressources!E:E,Ressources!$C:$C,$B25,Ressources!$A:$A,$C$2)</f>
        <v>0</v>
      </c>
      <c r="G25" s="283">
        <f t="shared" si="0"/>
        <v>0</v>
      </c>
      <c r="H25" s="243"/>
      <c r="J25" s="274" t="s">
        <v>33</v>
      </c>
      <c r="K25" s="274" t="s">
        <v>270</v>
      </c>
      <c r="L25" s="274">
        <v>2027</v>
      </c>
      <c r="M25" s="274"/>
      <c r="O25" s="290"/>
    </row>
    <row r="26" spans="1:16" s="203" customFormat="1" ht="12.75" x14ac:dyDescent="0.2">
      <c r="A26" s="328"/>
      <c r="B26" s="342" t="s">
        <v>136</v>
      </c>
      <c r="C26" s="226"/>
      <c r="D26" s="148"/>
      <c r="E26" s="150"/>
      <c r="F26" s="150">
        <f>SUMIFS(Ressources!E:E,Ressources!$C:$C,$B26,Ressources!$A:$A,$C$2)</f>
        <v>0</v>
      </c>
      <c r="G26" s="223">
        <f t="shared" si="0"/>
        <v>0</v>
      </c>
      <c r="H26" s="150"/>
      <c r="J26" s="224"/>
      <c r="K26" s="224"/>
      <c r="L26" s="224"/>
      <c r="M26" s="224"/>
      <c r="O26" s="226"/>
    </row>
    <row r="27" spans="1:16" ht="29.25" customHeight="1" x14ac:dyDescent="0.25">
      <c r="A27" s="329"/>
      <c r="B27" s="359" t="s">
        <v>137</v>
      </c>
      <c r="C27" s="360"/>
      <c r="D27" s="361"/>
      <c r="E27" s="98"/>
      <c r="F27" s="98">
        <f>SUMIFS(Ressources!E:E,Ressources!$C:$C,$B27,Ressources!$A:$A,$C$2)</f>
        <v>0</v>
      </c>
      <c r="G27" s="99">
        <f>-SUMIFS(Ressources!F:F,Ressources!C:C,'BU-janv'!B27:B27,Ressources!A:A,C2)</f>
        <v>-600</v>
      </c>
      <c r="H27" s="98"/>
      <c r="J27" s="125" t="s">
        <v>33</v>
      </c>
      <c r="K27" s="125" t="s">
        <v>271</v>
      </c>
      <c r="L27" s="125"/>
      <c r="M27" s="125"/>
      <c r="O27" s="8"/>
    </row>
    <row r="28" spans="1:16" s="203" customFormat="1" ht="12.75" x14ac:dyDescent="0.2">
      <c r="A28" s="328"/>
      <c r="B28" s="269" t="s">
        <v>139</v>
      </c>
      <c r="C28" s="270"/>
      <c r="D28" s="271"/>
      <c r="E28" s="275">
        <f>SUM(E12:E27)</f>
        <v>407</v>
      </c>
      <c r="F28" s="275">
        <f>SUM(F12:F27)</f>
        <v>34</v>
      </c>
      <c r="G28" s="275">
        <f>SUM(G12:G27)</f>
        <v>-159</v>
      </c>
      <c r="H28" s="276">
        <f>SUM(H12:H27)</f>
        <v>0</v>
      </c>
      <c r="J28" s="224" t="s">
        <v>33</v>
      </c>
      <c r="K28" s="224" t="s">
        <v>270</v>
      </c>
      <c r="L28" s="224"/>
      <c r="M28" s="224"/>
      <c r="O28" s="226"/>
    </row>
    <row r="29" spans="1:16" s="203" customFormat="1" ht="12.75" x14ac:dyDescent="0.2">
      <c r="A29" s="328"/>
      <c r="B29" s="277" t="s">
        <v>138</v>
      </c>
      <c r="C29" s="294"/>
      <c r="D29" s="279"/>
      <c r="E29" s="281"/>
      <c r="F29" s="280"/>
      <c r="G29" s="280"/>
      <c r="H29" s="281"/>
      <c r="J29" s="224"/>
      <c r="K29" s="224"/>
      <c r="L29" s="224"/>
      <c r="M29" s="224"/>
      <c r="N29" s="222" t="s">
        <v>157</v>
      </c>
      <c r="O29" s="310"/>
      <c r="P29" s="222"/>
    </row>
    <row r="30" spans="1:16" s="285" customFormat="1" ht="23.25" customHeight="1" thickBot="1" x14ac:dyDescent="0.25">
      <c r="A30" s="327"/>
      <c r="B30" s="362" t="s">
        <v>153</v>
      </c>
      <c r="C30" s="363"/>
      <c r="D30" s="364"/>
      <c r="E30" s="297"/>
      <c r="F30" s="293"/>
      <c r="G30" s="283">
        <f>SUMIFS(Supplément!C:C,Supplément!A:A,C2,Supplément!B:B,B30)</f>
        <v>0</v>
      </c>
      <c r="H30" s="293"/>
      <c r="J30" s="274" t="s">
        <v>33</v>
      </c>
      <c r="K30" s="274" t="s">
        <v>272</v>
      </c>
      <c r="L30" s="274"/>
      <c r="M30" s="274"/>
      <c r="O30" s="290"/>
    </row>
    <row r="31" spans="1:16" s="285" customFormat="1" ht="13.5" thickTop="1" thickBot="1" x14ac:dyDescent="0.25">
      <c r="A31" s="327"/>
      <c r="B31" s="362" t="s">
        <v>154</v>
      </c>
      <c r="C31" s="363"/>
      <c r="D31" s="364"/>
      <c r="E31" s="297"/>
      <c r="F31" s="293"/>
      <c r="G31" s="283">
        <f>SUMIFS(Supplément!C:C,Supplément!A:A,C2,Supplément!B:B,B31)</f>
        <v>500</v>
      </c>
      <c r="H31" s="297"/>
      <c r="J31" s="274" t="s">
        <v>33</v>
      </c>
      <c r="K31" s="274" t="s">
        <v>272</v>
      </c>
      <c r="L31" s="274"/>
      <c r="M31" s="274"/>
      <c r="N31" s="308" t="s">
        <v>111</v>
      </c>
      <c r="O31" s="290" t="s">
        <v>158</v>
      </c>
    </row>
    <row r="32" spans="1:16" s="285" customFormat="1" ht="24" customHeight="1" thickTop="1" thickBot="1" x14ac:dyDescent="0.25">
      <c r="A32" s="327"/>
      <c r="B32" s="362" t="s">
        <v>155</v>
      </c>
      <c r="C32" s="363"/>
      <c r="D32" s="364"/>
      <c r="E32" s="293"/>
      <c r="F32" s="293"/>
      <c r="G32" s="283">
        <f>SUMIFS(Supplément!C:C,Supplément!A:A,C2,Supplément!B:B,B32)</f>
        <v>0</v>
      </c>
      <c r="H32" s="297"/>
      <c r="J32" s="274" t="s">
        <v>33</v>
      </c>
      <c r="K32" s="274" t="s">
        <v>272</v>
      </c>
      <c r="L32" s="274"/>
      <c r="M32" s="274"/>
      <c r="N32" s="309">
        <v>2</v>
      </c>
      <c r="O32" s="290" t="s">
        <v>159</v>
      </c>
    </row>
    <row r="33" spans="1:15" s="203" customFormat="1" ht="12.75" customHeight="1" thickTop="1" x14ac:dyDescent="0.2">
      <c r="A33" s="330"/>
      <c r="B33" s="269" t="s">
        <v>140</v>
      </c>
      <c r="C33" s="270"/>
      <c r="D33" s="271"/>
      <c r="E33" s="275">
        <f>SUM(E30:E32)</f>
        <v>0</v>
      </c>
      <c r="F33" s="275">
        <f>SUM(F30:F32)</f>
        <v>0</v>
      </c>
      <c r="G33" s="275">
        <f>SUM(G30:G32)</f>
        <v>500</v>
      </c>
      <c r="H33" s="275">
        <f>SUM(H30:H32)</f>
        <v>0</v>
      </c>
      <c r="J33" s="224" t="s">
        <v>33</v>
      </c>
      <c r="K33" s="224" t="s">
        <v>272</v>
      </c>
      <c r="L33" s="224"/>
      <c r="M33" s="224"/>
      <c r="O33" s="226"/>
    </row>
    <row r="34" spans="1:15" s="203" customFormat="1" ht="12.75" customHeight="1" x14ac:dyDescent="0.2">
      <c r="A34" s="331" t="s">
        <v>54</v>
      </c>
      <c r="B34" s="277" t="s">
        <v>50</v>
      </c>
      <c r="C34" s="294"/>
      <c r="D34" s="279"/>
      <c r="E34" s="281"/>
      <c r="F34" s="281"/>
      <c r="G34" s="307">
        <f ca="1">(SUMIFS('Les normes-données de base'!B34:B41,'Les normes-données de base'!A34:A41,D8))/D8*D9</f>
        <v>1045</v>
      </c>
      <c r="H34" s="281"/>
      <c r="J34" s="224" t="s">
        <v>31</v>
      </c>
      <c r="K34" s="224" t="s">
        <v>86</v>
      </c>
      <c r="L34" s="224"/>
      <c r="M34" s="224"/>
      <c r="O34" s="226"/>
    </row>
    <row r="35" spans="1:15" ht="68.25" customHeight="1" x14ac:dyDescent="0.25">
      <c r="A35" s="332"/>
      <c r="B35" s="365" t="s">
        <v>56</v>
      </c>
      <c r="C35" s="366"/>
      <c r="D35" s="366"/>
      <c r="E35" s="367"/>
      <c r="F35" s="367"/>
      <c r="G35" s="367"/>
      <c r="H35" s="368"/>
      <c r="J35" s="125"/>
      <c r="K35" s="125"/>
      <c r="L35" s="125"/>
      <c r="M35" s="125"/>
      <c r="O35" s="8"/>
    </row>
    <row r="36" spans="1:15" s="285" customFormat="1" ht="13.5" customHeight="1" x14ac:dyDescent="0.2">
      <c r="A36" s="333"/>
      <c r="B36" s="292" t="str">
        <f t="array" ref="B36">INDEX('Caisse maladie'!$C$2:$C$49,MATCH(1,('Caisse maladie'!$A$2:$A$49=C2)*('Caisse maladie'!$B$2:$B$49="LCA"),0))</f>
        <v>CSS</v>
      </c>
      <c r="C36" s="298"/>
      <c r="D36" s="238" t="s">
        <v>46</v>
      </c>
      <c r="E36" s="243">
        <f>SUMIFS('Caisse maladie'!D:D,'Caisse maladie'!A:A,C2,'Caisse maladie'!B:B,D36,'Caisse maladie'!E:E,"non")</f>
        <v>0</v>
      </c>
      <c r="F36" s="243">
        <f>SUMIFS('Caisse maladie'!D:D,'Caisse maladie'!A:A,C2,'Caisse maladie'!B:B,D36,'Caisse maladie'!E:E,"oui")</f>
        <v>12.4</v>
      </c>
      <c r="G36" s="243"/>
      <c r="H36" s="243"/>
      <c r="J36" s="274" t="s">
        <v>31</v>
      </c>
      <c r="K36" s="274" t="s">
        <v>46</v>
      </c>
      <c r="L36" s="274"/>
      <c r="M36" s="274"/>
      <c r="O36" s="290"/>
    </row>
    <row r="37" spans="1:15" s="285" customFormat="1" ht="13.5" customHeight="1" x14ac:dyDescent="0.2">
      <c r="A37" s="333"/>
      <c r="B37" s="240" t="str">
        <f ca="1">IF(OFFSET(OFFSET(INDEX('Paiements échelonnés'!C:C,MATCH($C$2,'Paiements échelonnés'!B:B,0)),ROW()-37,0),0,2)&lt;&gt;"",OFFSET(INDEX('Paiements échelonnés'!C:C,MATCH($C$2,'Paiements échelonnés'!B:B,0)),ROW()-37,0),"")</f>
        <v>Impôts communaux</v>
      </c>
      <c r="C37" s="299" t="str">
        <f ca="1">IF(OFFSET(OFFSET(INDEX('Paiements échelonnés'!D:D,MATCH($C$2,'Paiements échelonnés'!B:B,0)),ROW()-37,0),0,2)&lt;&gt;"",OFFSET(INDEX('Paiements échelonnés'!D:D,MATCH($C$2,'Paiements échelonnés'!B:B,0)),ROW()-37,0),"")</f>
        <v>Commune de Farvagny</v>
      </c>
      <c r="D37" s="238"/>
      <c r="E37" s="243">
        <f ca="1">SUMIFS('Paiements échelonnés'!E:E,'Paiements échelonnés'!C:C,B37,'Paiements échelonnés'!A:A,$C$2,'Paiements échelonnés'!F:F,"non")</f>
        <v>81.5</v>
      </c>
      <c r="F37" s="243">
        <f ca="1">SUMIFS('Paiements échelonnés'!E:E,'Paiements échelonnés'!C:C,B37,'Paiements échelonnés'!A:A,$C$2,'Paiements échelonnés'!F:F,"oui")</f>
        <v>0</v>
      </c>
      <c r="G37" s="243"/>
      <c r="H37" s="243"/>
      <c r="J37" s="274" t="s">
        <v>31</v>
      </c>
      <c r="K37" s="274" t="s">
        <v>86</v>
      </c>
      <c r="L37" s="274"/>
      <c r="M37" s="274"/>
      <c r="O37" s="290"/>
    </row>
    <row r="38" spans="1:15" s="285" customFormat="1" ht="13.5" customHeight="1" x14ac:dyDescent="0.2">
      <c r="A38" s="333"/>
      <c r="B38" s="240" t="str">
        <f ca="1">IF(OFFSET(OFFSET(INDEX('Paiements échelonnés'!C:C,MATCH($C$2,'Paiements échelonnés'!B:B,0)),ROW()-37,0),0,2)&lt;&gt;"",OFFSET(INDEX('Paiements échelonnés'!C:C,MATCH($C$2,'Paiements échelonnés'!B:B,0)),ROW()-37,0),"")</f>
        <v>Impôts cantonaux</v>
      </c>
      <c r="C38" s="299" t="str">
        <f ca="1">IF(OFFSET(OFFSET(INDEX('Paiements échelonnés'!D:D,MATCH($C$2,'Paiements échelonnés'!B:B,0)),ROW()-37,0),0,2)&lt;&gt;"",OFFSET(INDEX('Paiements échelonnés'!D:D,MATCH($C$2,'Paiements échelonnés'!B:B,0)),ROW()-37,0),"")</f>
        <v>SCC</v>
      </c>
      <c r="D38" s="238"/>
      <c r="E38" s="243">
        <f ca="1">SUMIFS('Paiements échelonnés'!E:E,'Paiements échelonnés'!C:C,B38,'Paiements échelonnés'!A:A,$C$2,'Paiements échelonnés'!F:F,"non")</f>
        <v>0</v>
      </c>
      <c r="F38" s="243">
        <f ca="1">SUMIFS('Paiements échelonnés'!E:E,'Paiements échelonnés'!C:C,B38,'Paiements échelonnés'!A:A,$C$2,'Paiements échelonnés'!F:F,"oui")</f>
        <v>82.3</v>
      </c>
      <c r="G38" s="243"/>
      <c r="H38" s="243"/>
      <c r="J38" s="274" t="s">
        <v>31</v>
      </c>
      <c r="K38" s="274" t="s">
        <v>86</v>
      </c>
      <c r="L38" s="274"/>
      <c r="M38" s="274"/>
      <c r="O38" s="290"/>
    </row>
    <row r="39" spans="1:15" s="285" customFormat="1" ht="13.5" customHeight="1" x14ac:dyDescent="0.2">
      <c r="A39" s="333"/>
      <c r="B39" s="240" t="str">
        <f ca="1">IF(OFFSET(OFFSET(INDEX('Paiements échelonnés'!C:C,MATCH($C$2,'Paiements échelonnés'!B:B,0)),ROW()-37,0),0,2)&lt;&gt;"",OFFSET(INDEX('Paiements échelonnés'!C:C,MATCH($C$2,'Paiements échelonnés'!B:B,0)),ROW()-37,0),"")</f>
        <v/>
      </c>
      <c r="C39" s="299" t="str">
        <f ca="1">IF(OFFSET(OFFSET(INDEX('Paiements échelonnés'!D:D,MATCH($C$2,'Paiements échelonnés'!B:B,0)),ROW()-37,0),0,2)&lt;&gt;"",OFFSET(INDEX('Paiements échelonnés'!D:D,MATCH($C$2,'Paiements échelonnés'!B:B,0)),ROW()-37,0),"")</f>
        <v/>
      </c>
      <c r="D39" s="238"/>
      <c r="E39" s="243">
        <f ca="1">SUMIFS('Paiements échelonnés'!E:E,'Paiements échelonnés'!C:C,B39,'Paiements échelonnés'!A:A,$C$2,'Paiements échelonnés'!F:F,"non")</f>
        <v>0</v>
      </c>
      <c r="F39" s="243">
        <f ca="1">SUMIFS('Paiements échelonnés'!E:E,'Paiements échelonnés'!C:C,B39,'Paiements échelonnés'!A:A,$C$2,'Paiements échelonnés'!F:F,"oui")</f>
        <v>0</v>
      </c>
      <c r="G39" s="243"/>
      <c r="H39" s="243"/>
      <c r="J39" s="274" t="s">
        <v>31</v>
      </c>
      <c r="K39" s="274" t="s">
        <v>86</v>
      </c>
      <c r="L39" s="274"/>
      <c r="M39" s="274"/>
      <c r="O39" s="290"/>
    </row>
    <row r="40" spans="1:15" s="285" customFormat="1" ht="13.5" customHeight="1" x14ac:dyDescent="0.2">
      <c r="A40" s="333"/>
      <c r="B40" s="240" t="str">
        <f ca="1">IF(OFFSET(OFFSET(INDEX('Paiements échelonnés'!C:C,MATCH($C$2,'Paiements échelonnés'!B:B,0)),ROW()-37,0),0,2)&lt;&gt;"",OFFSET(INDEX('Paiements échelonnés'!C:C,MATCH($C$2,'Paiements échelonnés'!B:B,0)),ROW()-37,0),"")</f>
        <v/>
      </c>
      <c r="C40" s="299" t="str">
        <f ca="1">IF(OFFSET(OFFSET(INDEX('Paiements échelonnés'!D:D,MATCH($C$2,'Paiements échelonnés'!B:B,0)),ROW()-37,0),0,2)&lt;&gt;"",OFFSET(INDEX('Paiements échelonnés'!D:D,MATCH($C$2,'Paiements échelonnés'!B:B,0)),ROW()-37,0),"")</f>
        <v/>
      </c>
      <c r="D40" s="300"/>
      <c r="E40" s="243">
        <f ca="1">SUMIFS('Paiements échelonnés'!E:E,'Paiements échelonnés'!C:C,B40,'Paiements échelonnés'!A:A,$C$2,'Paiements échelonnés'!F:F,"non")</f>
        <v>0</v>
      </c>
      <c r="F40" s="243">
        <f ca="1">SUMIFS('Paiements échelonnés'!E:E,'Paiements échelonnés'!C:C,B40,'Paiements échelonnés'!A:A,$C$2,'Paiements échelonnés'!F:F,"oui")</f>
        <v>0</v>
      </c>
      <c r="G40" s="243"/>
      <c r="H40" s="243"/>
      <c r="J40" s="274" t="s">
        <v>31</v>
      </c>
      <c r="K40" s="274" t="s">
        <v>86</v>
      </c>
      <c r="L40" s="274"/>
      <c r="M40" s="274"/>
      <c r="O40" s="290"/>
    </row>
    <row r="41" spans="1:15" s="285" customFormat="1" ht="13.5" customHeight="1" x14ac:dyDescent="0.2">
      <c r="A41" s="333"/>
      <c r="B41" s="240" t="str">
        <f ca="1">IF(OFFSET(OFFSET(INDEX('Paiements échelonnés'!C:C,MATCH($C$2,'Paiements échelonnés'!B:B,0)),ROW()-37,0),0,2)&lt;&gt;"",OFFSET(INDEX('Paiements échelonnés'!C:C,MATCH($C$2,'Paiements échelonnés'!B:B,0)),ROW()-37,0),"")</f>
        <v/>
      </c>
      <c r="C41" s="299" t="str">
        <f ca="1">IF(OFFSET(OFFSET(INDEX('Paiements échelonnés'!D:D,MATCH($C$2,'Paiements échelonnés'!B:B,0)),ROW()-37,0),0,2)&lt;&gt;"",OFFSET(INDEX('Paiements échelonnés'!D:D,MATCH($C$2,'Paiements échelonnés'!B:B,0)),ROW()-37,0),"")</f>
        <v/>
      </c>
      <c r="D41" s="300"/>
      <c r="E41" s="243">
        <f ca="1">SUMIFS('Paiements échelonnés'!E:E,'Paiements échelonnés'!C:C,B41,'Paiements échelonnés'!A:A,$C$2,'Paiements échelonnés'!F:F,"non")</f>
        <v>0</v>
      </c>
      <c r="F41" s="243">
        <f ca="1">SUMIFS('Paiements échelonnés'!E:E,'Paiements échelonnés'!C:C,B41,'Paiements échelonnés'!A:A,$C$2,'Paiements échelonnés'!F:F,"oui")</f>
        <v>0</v>
      </c>
      <c r="G41" s="243"/>
      <c r="H41" s="243"/>
      <c r="J41" s="274" t="s">
        <v>31</v>
      </c>
      <c r="K41" s="274" t="s">
        <v>86</v>
      </c>
      <c r="L41" s="274"/>
      <c r="M41" s="274"/>
      <c r="O41" s="290"/>
    </row>
    <row r="42" spans="1:15" s="285" customFormat="1" ht="13.5" customHeight="1" x14ac:dyDescent="0.2">
      <c r="A42" s="333"/>
      <c r="B42" s="240" t="str">
        <f ca="1">IF(OFFSET(OFFSET(INDEX('Paiements échelonnés'!C:C,MATCH($C$2,'Paiements échelonnés'!B:B,0)),ROW()-37,0),0,2)&lt;&gt;"",OFFSET(INDEX('Paiements échelonnés'!C:C,MATCH($C$2,'Paiements échelonnés'!B:B,0)),ROW()-37,0),"")</f>
        <v/>
      </c>
      <c r="C42" s="299" t="str">
        <f ca="1">IF(OFFSET(OFFSET(INDEX('Paiements échelonnés'!D:D,MATCH($C$2,'Paiements échelonnés'!B:B,0)),ROW()-37,0),0,2)&lt;&gt;"",OFFSET(INDEX('Paiements échelonnés'!D:D,MATCH($C$2,'Paiements échelonnés'!B:B,0)),ROW()-37,0),"")</f>
        <v/>
      </c>
      <c r="D42" s="300"/>
      <c r="E42" s="243">
        <f ca="1">SUMIFS('Paiements échelonnés'!E:E,'Paiements échelonnés'!C:C,B42,'Paiements échelonnés'!A:A,$C$2,'Paiements échelonnés'!F:F,"non")</f>
        <v>0</v>
      </c>
      <c r="F42" s="243">
        <f ca="1">SUMIFS('Paiements échelonnés'!E:E,'Paiements échelonnés'!C:C,B42,'Paiements échelonnés'!A:A,$C$2,'Paiements échelonnés'!F:F,"oui")</f>
        <v>0</v>
      </c>
      <c r="G42" s="243"/>
      <c r="H42" s="243"/>
      <c r="J42" s="274" t="s">
        <v>31</v>
      </c>
      <c r="K42" s="274" t="s">
        <v>86</v>
      </c>
      <c r="L42" s="274"/>
      <c r="M42" s="274"/>
      <c r="O42" s="290"/>
    </row>
    <row r="43" spans="1:15" s="285" customFormat="1" ht="13.5" customHeight="1" x14ac:dyDescent="0.2">
      <c r="A43" s="333"/>
      <c r="B43" s="240" t="str">
        <f ca="1">IF(OFFSET(OFFSET(INDEX('Paiements échelonnés'!C:C,MATCH($C$2,'Paiements échelonnés'!B:B,0)),ROW()-37,0),0,2)&lt;&gt;"",OFFSET(INDEX('Paiements échelonnés'!C:C,MATCH($C$2,'Paiements échelonnés'!B:B,0)),ROW()-37,0),"")</f>
        <v>tutu</v>
      </c>
      <c r="C43" s="299">
        <f ca="1">IF(OFFSET(OFFSET(INDEX('Paiements échelonnés'!D:D,MATCH($C$2,'Paiements échelonnés'!B:B,0)),ROW()-37,0),0,2)&lt;&gt;"",OFFSET(INDEX('Paiements échelonnés'!D:D,MATCH($C$2,'Paiements échelonnés'!B:B,0)),ROW()-37,0),"")</f>
        <v>0</v>
      </c>
      <c r="D43" s="300"/>
      <c r="E43" s="243">
        <f ca="1">SUMIFS('Paiements échelonnés'!E:E,'Paiements échelonnés'!C:C,B43,'Paiements échelonnés'!A:A,$C$2,'Paiements échelonnés'!F:F,"non")</f>
        <v>0</v>
      </c>
      <c r="F43" s="243">
        <f ca="1">SUMIFS('Paiements échelonnés'!E:E,'Paiements échelonnés'!C:C,B43,'Paiements échelonnés'!A:A,$C$2,'Paiements échelonnés'!F:F,"oui")</f>
        <v>12</v>
      </c>
      <c r="G43" s="243"/>
      <c r="H43" s="243"/>
      <c r="J43" s="274" t="s">
        <v>31</v>
      </c>
      <c r="K43" s="274" t="s">
        <v>86</v>
      </c>
      <c r="L43" s="274"/>
      <c r="M43" s="274"/>
      <c r="O43" s="290"/>
    </row>
    <row r="44" spans="1:15" s="285" customFormat="1" ht="13.5" customHeight="1" x14ac:dyDescent="0.2">
      <c r="A44" s="333"/>
      <c r="B44" s="240" t="str">
        <f ca="1">IF(OFFSET(OFFSET(INDEX('Paiements échelonnés'!C:C,MATCH($C$2,'Paiements échelonnés'!B:B,0)),ROW()-37,0),0,2)&lt;&gt;"",OFFSET(INDEX('Paiements échelonnés'!C:C,MATCH($C$2,'Paiements échelonnés'!B:B,0)),ROW()-37,0),"")</f>
        <v/>
      </c>
      <c r="C44" s="299" t="str">
        <f ca="1">IF(OFFSET(OFFSET(INDEX('Paiements échelonnés'!D:D,MATCH($C$2,'Paiements échelonnés'!B:B,0)),ROW()-37,0),0,2)&lt;&gt;"",OFFSET(INDEX('Paiements échelonnés'!D:D,MATCH($C$2,'Paiements échelonnés'!B:B,0)),ROW()-37,0),"")</f>
        <v/>
      </c>
      <c r="D44" s="300"/>
      <c r="E44" s="243">
        <f ca="1">SUMIFS('Paiements échelonnés'!E:E,'Paiements échelonnés'!C:C,B44,'Paiements échelonnés'!A:A,$C$2,'Paiements échelonnés'!F:F,"non")</f>
        <v>0</v>
      </c>
      <c r="F44" s="243">
        <f ca="1">SUMIFS('Paiements échelonnés'!E:E,'Paiements échelonnés'!C:C,B44,'Paiements échelonnés'!A:A,$C$2,'Paiements échelonnés'!F:F,"oui")</f>
        <v>0</v>
      </c>
      <c r="G44" s="243"/>
      <c r="H44" s="243"/>
      <c r="J44" s="274" t="s">
        <v>31</v>
      </c>
      <c r="K44" s="274" t="s">
        <v>86</v>
      </c>
      <c r="L44" s="274"/>
      <c r="M44" s="274"/>
      <c r="O44" s="290"/>
    </row>
    <row r="45" spans="1:15" s="285" customFormat="1" ht="13.5" customHeight="1" x14ac:dyDescent="0.2">
      <c r="A45" s="333"/>
      <c r="B45" s="240" t="str">
        <f ca="1">IF(OFFSET(OFFSET(INDEX('Paiements échelonnés'!C:C,MATCH($C$2,'Paiements échelonnés'!B:B,0)),ROW()-37,0),0,2)&lt;&gt;"",OFFSET(INDEX('Paiements échelonnés'!C:C,MATCH($C$2,'Paiements échelonnés'!B:B,0)),ROW()-37,0),"")</f>
        <v/>
      </c>
      <c r="C45" s="299" t="str">
        <f ca="1">IF(OFFSET(OFFSET(INDEX('Paiements échelonnés'!D:D,MATCH($C$2,'Paiements échelonnés'!B:B,0)),ROW()-37,0),0,2)&lt;&gt;"",OFFSET(INDEX('Paiements échelonnés'!D:D,MATCH($C$2,'Paiements échelonnés'!B:B,0)),ROW()-37,0),"")</f>
        <v/>
      </c>
      <c r="D45" s="300"/>
      <c r="E45" s="243">
        <f ca="1">SUMIFS('Paiements échelonnés'!E:E,'Paiements échelonnés'!C:C,B45,'Paiements échelonnés'!A:A,$C$2,'Paiements échelonnés'!F:F,"non")</f>
        <v>0</v>
      </c>
      <c r="F45" s="243">
        <f ca="1">SUMIFS('Paiements échelonnés'!E:E,'Paiements échelonnés'!C:C,B45,'Paiements échelonnés'!A:A,$C$2,'Paiements échelonnés'!F:F,"oui")</f>
        <v>0</v>
      </c>
      <c r="G45" s="243"/>
      <c r="H45" s="243"/>
      <c r="J45" s="274" t="s">
        <v>31</v>
      </c>
      <c r="K45" s="274" t="s">
        <v>86</v>
      </c>
      <c r="L45" s="274"/>
      <c r="M45" s="274"/>
      <c r="O45" s="290"/>
    </row>
    <row r="46" spans="1:15" s="285" customFormat="1" ht="13.5" customHeight="1" x14ac:dyDescent="0.2">
      <c r="A46" s="333"/>
      <c r="B46" s="240" t="str">
        <f ca="1">IF(OFFSET(OFFSET(INDEX('Paiements échelonnés'!C:C,MATCH($C$2,'Paiements échelonnés'!B:B,0)),ROW()-37,0),0,2)&lt;&gt;"",OFFSET(INDEX('Paiements échelonnés'!C:C,MATCH($C$2,'Paiements échelonnés'!B:B,0)),ROW()-37,0),"")</f>
        <v/>
      </c>
      <c r="C46" s="299" t="str">
        <f ca="1">IF(OFFSET(OFFSET(INDEX('Paiements échelonnés'!D:D,MATCH($C$2,'Paiements échelonnés'!B:B,0)),ROW()-37,0),0,2)&lt;&gt;"",OFFSET(INDEX('Paiements échelonnés'!D:D,MATCH($C$2,'Paiements échelonnés'!B:B,0)),ROW()-37,0),"")</f>
        <v/>
      </c>
      <c r="D46" s="300"/>
      <c r="E46" s="243">
        <f ca="1">SUMIFS('Paiements échelonnés'!E:E,'Paiements échelonnés'!C:C,B46,'Paiements échelonnés'!A:A,$C$2,'Paiements échelonnés'!F:F,"non")</f>
        <v>0</v>
      </c>
      <c r="F46" s="243">
        <f ca="1">SUMIFS('Paiements échelonnés'!E:E,'Paiements échelonnés'!C:C,B46,'Paiements échelonnés'!A:A,$C$2,'Paiements échelonnés'!F:F,"oui")</f>
        <v>0</v>
      </c>
      <c r="G46" s="243"/>
      <c r="H46" s="243"/>
      <c r="J46" s="274" t="s">
        <v>31</v>
      </c>
      <c r="K46" s="274" t="s">
        <v>86</v>
      </c>
      <c r="L46" s="274"/>
      <c r="M46" s="274"/>
      <c r="O46" s="290"/>
    </row>
    <row r="47" spans="1:15" s="285" customFormat="1" ht="13.5" customHeight="1" x14ac:dyDescent="0.2">
      <c r="A47" s="333"/>
      <c r="B47" s="240" t="str">
        <f ca="1">IF(OFFSET(OFFSET(INDEX('Paiements échelonnés'!C:C,MATCH($C$2,'Paiements échelonnés'!B:B,0)),ROW()-37,0),0,2)&lt;&gt;"",OFFSET(INDEX('Paiements échelonnés'!C:C,MATCH($C$2,'Paiements échelonnés'!B:B,0)),ROW()-37,0),"")</f>
        <v/>
      </c>
      <c r="C47" s="299" t="str">
        <f ca="1">IF(OFFSET(OFFSET(INDEX('Paiements échelonnés'!D:D,MATCH($C$2,'Paiements échelonnés'!B:B,0)),ROW()-37,0),0,2)&lt;&gt;"",OFFSET(INDEX('Paiements échelonnés'!D:D,MATCH($C$2,'Paiements échelonnés'!B:B,0)),ROW()-37,0),"")</f>
        <v/>
      </c>
      <c r="D47" s="300"/>
      <c r="E47" s="243">
        <f ca="1">SUMIFS('Paiements échelonnés'!E:E,'Paiements échelonnés'!C:C,B47,'Paiements échelonnés'!A:A,$C$2,'Paiements échelonnés'!F:F,"non")</f>
        <v>0</v>
      </c>
      <c r="F47" s="243">
        <f ca="1">SUMIFS('Paiements échelonnés'!E:E,'Paiements échelonnés'!C:C,B47,'Paiements échelonnés'!A:A,$C$2,'Paiements échelonnés'!F:F,"oui")</f>
        <v>0</v>
      </c>
      <c r="G47" s="243"/>
      <c r="H47" s="243"/>
      <c r="J47" s="274" t="s">
        <v>31</v>
      </c>
      <c r="K47" s="274" t="s">
        <v>86</v>
      </c>
      <c r="L47" s="274"/>
      <c r="M47" s="274"/>
      <c r="O47" s="290"/>
    </row>
    <row r="48" spans="1:15" s="285" customFormat="1" ht="13.5" customHeight="1" x14ac:dyDescent="0.2">
      <c r="A48" s="333"/>
      <c r="B48" s="240" t="str">
        <f ca="1">IF(OFFSET(OFFSET(INDEX('Paiements échelonnés'!C:C,MATCH($C$2,'Paiements échelonnés'!B:B,0)),ROW()-37,0),0,2)&lt;&gt;"",OFFSET(INDEX('Paiements échelonnés'!C:C,MATCH($C$2,'Paiements échelonnés'!B:B,0)),ROW()-37,0),"")</f>
        <v/>
      </c>
      <c r="C48" s="299" t="str">
        <f ca="1">IF(OFFSET(OFFSET(INDEX('Paiements échelonnés'!D:D,MATCH($C$2,'Paiements échelonnés'!B:B,0)),ROW()-37,0),0,2)&lt;&gt;"",OFFSET(INDEX('Paiements échelonnés'!D:D,MATCH($C$2,'Paiements échelonnés'!B:B,0)),ROW()-37,0),"")</f>
        <v/>
      </c>
      <c r="D48" s="300"/>
      <c r="E48" s="243">
        <f ca="1">SUMIFS('Paiements échelonnés'!E:E,'Paiements échelonnés'!C:C,B48,'Paiements échelonnés'!A:A,$C$2,'Paiements échelonnés'!F:F,"non")</f>
        <v>0</v>
      </c>
      <c r="F48" s="243">
        <f ca="1">SUMIFS('Paiements échelonnés'!E:E,'Paiements échelonnés'!C:C,B48,'Paiements échelonnés'!A:A,$C$2,'Paiements échelonnés'!F:F,"oui")</f>
        <v>0</v>
      </c>
      <c r="G48" s="243"/>
      <c r="H48" s="243"/>
      <c r="J48" s="274" t="s">
        <v>31</v>
      </c>
      <c r="K48" s="274" t="s">
        <v>86</v>
      </c>
      <c r="L48" s="274"/>
      <c r="M48" s="274"/>
      <c r="O48" s="290"/>
    </row>
    <row r="49" spans="1:15" s="285" customFormat="1" ht="13.5" customHeight="1" x14ac:dyDescent="0.2">
      <c r="A49" s="333"/>
      <c r="B49" s="240" t="str">
        <f ca="1">IF(OFFSET(OFFSET(INDEX('Paiements échelonnés'!C:C,MATCH($C$2,'Paiements échelonnés'!B:B,0)),ROW()-37,0),0,2)&lt;&gt;"",OFFSET(INDEX('Paiements échelonnés'!C:C,MATCH($C$2,'Paiements échelonnés'!B:B,0)),ROW()-37,0),"")</f>
        <v/>
      </c>
      <c r="C49" s="299" t="str">
        <f ca="1">IF(OFFSET(OFFSET(INDEX('Paiements échelonnés'!D:D,MATCH($C$2,'Paiements échelonnés'!B:B,0)),ROW()-37,0),0,2)&lt;&gt;"",OFFSET(INDEX('Paiements échelonnés'!D:D,MATCH($C$2,'Paiements échelonnés'!B:B,0)),ROW()-37,0),"")</f>
        <v/>
      </c>
      <c r="D49" s="300"/>
      <c r="E49" s="243">
        <f ca="1">SUMIFS('Paiements échelonnés'!E:E,'Paiements échelonnés'!C:C,B49,'Paiements échelonnés'!A:A,$C$2,'Paiements échelonnés'!F:F,"non")</f>
        <v>0</v>
      </c>
      <c r="F49" s="243">
        <f ca="1">SUMIFS('Paiements échelonnés'!E:E,'Paiements échelonnés'!C:C,B49,'Paiements échelonnés'!A:A,$C$2,'Paiements échelonnés'!F:F,"oui")</f>
        <v>0</v>
      </c>
      <c r="G49" s="243"/>
      <c r="H49" s="243"/>
      <c r="J49" s="274" t="s">
        <v>31</v>
      </c>
      <c r="K49" s="274" t="s">
        <v>86</v>
      </c>
      <c r="L49" s="274"/>
      <c r="M49" s="274"/>
      <c r="O49" s="290"/>
    </row>
    <row r="50" spans="1:15" s="285" customFormat="1" ht="13.5" customHeight="1" x14ac:dyDescent="0.2">
      <c r="A50" s="333"/>
      <c r="B50" s="240" t="str">
        <f ca="1">IF(OFFSET(OFFSET(INDEX('Paiements échelonnés'!C:C,MATCH($C$2,'Paiements échelonnés'!B:B,0)),ROW()-37,0),0,2)&lt;&gt;"",OFFSET(INDEX('Paiements échelonnés'!C:C,MATCH($C$2,'Paiements échelonnés'!B:B,0)),ROW()-37,0),"")</f>
        <v/>
      </c>
      <c r="C50" s="299" t="str">
        <f ca="1">IF(OFFSET(OFFSET(INDEX('Paiements échelonnés'!D:D,MATCH($C$2,'Paiements échelonnés'!B:B,0)),ROW()-37,0),0,2)&lt;&gt;"",OFFSET(INDEX('Paiements échelonnés'!D:D,MATCH($C$2,'Paiements échelonnés'!B:B,0)),ROW()-37,0),"")</f>
        <v/>
      </c>
      <c r="D50" s="300"/>
      <c r="E50" s="243">
        <f ca="1">SUMIFS('Paiements échelonnés'!E:E,'Paiements échelonnés'!C:C,B50,'Paiements échelonnés'!A:A,$C$2,'Paiements échelonnés'!F:F,"non")</f>
        <v>0</v>
      </c>
      <c r="F50" s="243">
        <f ca="1">SUMIFS('Paiements échelonnés'!E:E,'Paiements échelonnés'!C:C,B50,'Paiements échelonnés'!A:A,$C$2,'Paiements échelonnés'!F:F,"oui")</f>
        <v>0</v>
      </c>
      <c r="G50" s="243"/>
      <c r="H50" s="243"/>
      <c r="J50" s="274" t="s">
        <v>31</v>
      </c>
      <c r="K50" s="274" t="s">
        <v>86</v>
      </c>
      <c r="L50" s="274"/>
      <c r="M50" s="274"/>
      <c r="O50" s="290"/>
    </row>
    <row r="51" spans="1:15" s="285" customFormat="1" ht="13.5" customHeight="1" x14ac:dyDescent="0.2">
      <c r="A51" s="333"/>
      <c r="B51" s="240" t="str">
        <f ca="1">IF(OFFSET(OFFSET(INDEX('Paiements échelonnés'!H:H,MATCH($C$2,'Paiements échelonnés'!B:B,0)),ROW()-51,0),0,2)&lt;&gt;"",OFFSET(INDEX('Paiements échelonnés'!H:H,MATCH($C$2,'Paiements échelonnés'!B:B,0)),ROW()-51,0),"")</f>
        <v>Assurance ménage</v>
      </c>
      <c r="C51" s="241" t="str">
        <f ca="1">IF(OFFSET(OFFSET(INDEX('Paiements échelonnés'!I:I,MATCH($C$2,'Paiements échelonnés'!B:B,0)),ROW()-51,0),0,1)&lt;&gt;"",OFFSET(INDEX('Paiements échelonnés'!I:I,MATCH($C$2,'Paiements échelonnés'!B:B,0)),ROW()-51,0),"")</f>
        <v>Générali</v>
      </c>
      <c r="D51" s="300"/>
      <c r="E51" s="243">
        <f ca="1">SUMIFS('Paiements échelonnés'!J:J,'Paiements échelonnés'!H:H,B51,'Paiements échelonnés'!A:A,$C$2,'Paiements échelonnés'!K:K,"non")</f>
        <v>0</v>
      </c>
      <c r="F51" s="243">
        <f ca="1">SUMIFS('Paiements échelonnés'!J:J,'Paiements échelonnés'!H:H,B51,'Paiements échelonnés'!A:A,$C$2,'Paiements échelonnés'!K:K,"oui")</f>
        <v>12</v>
      </c>
      <c r="G51" s="243"/>
      <c r="H51" s="243">
        <f ca="1">-F51</f>
        <v>-12</v>
      </c>
      <c r="J51" s="274" t="s">
        <v>31</v>
      </c>
      <c r="K51" s="274" t="s">
        <v>86</v>
      </c>
      <c r="L51" s="274" t="s">
        <v>201</v>
      </c>
      <c r="M51" s="274" t="s">
        <v>261</v>
      </c>
      <c r="O51" s="290"/>
    </row>
    <row r="52" spans="1:15" s="285" customFormat="1" ht="13.5" customHeight="1" x14ac:dyDescent="0.2">
      <c r="A52" s="333"/>
      <c r="B52" s="240" t="str">
        <f ca="1">IF(OFFSET(OFFSET(INDEX('Paiements échelonnés'!H:H,MATCH($C$2,'Paiements échelonnés'!B:B,0)),ROW()-51,0),0,2)&lt;&gt;"",OFFSET(INDEX('Paiements échelonnés'!H:H,MATCH($C$2,'Paiements échelonnés'!B:B,0)),ROW()-51,0),"")</f>
        <v/>
      </c>
      <c r="C52" s="241" t="str">
        <f ca="1">IF(OFFSET(OFFSET(INDEX('Paiements échelonnés'!I:I,MATCH($C$2,'Paiements échelonnés'!B:B,0)),ROW()-51,0),0,1)&lt;&gt;"",OFFSET(INDEX('Paiements échelonnés'!I:I,MATCH($C$2,'Paiements échelonnés'!B:B,0)),ROW()-51,0),"")</f>
        <v/>
      </c>
      <c r="D52" s="300"/>
      <c r="E52" s="243">
        <f ca="1">SUMIFS('Paiements échelonnés'!J:J,'Paiements échelonnés'!H:H,B52,'Paiements échelonnés'!A:A,$C$2,'Paiements échelonnés'!K:K,"non")</f>
        <v>0</v>
      </c>
      <c r="F52" s="243">
        <f ca="1">SUMIFS('Paiements échelonnés'!J:J,'Paiements échelonnés'!H:H,B52,'Paiements échelonnés'!A:A,$C$2,'Paiements échelonnés'!K:K,"oui")</f>
        <v>0</v>
      </c>
      <c r="G52" s="243"/>
      <c r="H52" s="243">
        <f t="shared" ref="H52:H64" ca="1" si="1">-F52</f>
        <v>0</v>
      </c>
      <c r="J52" s="274" t="s">
        <v>31</v>
      </c>
      <c r="K52" s="274" t="s">
        <v>86</v>
      </c>
      <c r="L52" s="274" t="s">
        <v>201</v>
      </c>
      <c r="M52" s="274" t="s">
        <v>261</v>
      </c>
      <c r="O52" s="290"/>
    </row>
    <row r="53" spans="1:15" s="285" customFormat="1" ht="13.5" customHeight="1" x14ac:dyDescent="0.2">
      <c r="A53" s="333"/>
      <c r="B53" s="240" t="str">
        <f ca="1">IF(OFFSET(OFFSET(INDEX('Paiements échelonnés'!H:H,MATCH($C$2,'Paiements échelonnés'!B:B,0)),ROW()-51,0),0,2)&lt;&gt;"",OFFSET(INDEX('Paiements échelonnés'!H:H,MATCH($C$2,'Paiements échelonnés'!B:B,0)),ROW()-51,0),"")</f>
        <v>Impôt véhicule</v>
      </c>
      <c r="C53" s="241" t="str">
        <f ca="1">IF(OFFSET(OFFSET(INDEX('Paiements échelonnés'!I:I,MATCH($C$2,'Paiements échelonnés'!B:B,0)),ROW()-51,0),0,1)&lt;&gt;"",OFFSET(INDEX('Paiements échelonnés'!I:I,MATCH($C$2,'Paiements échelonnés'!B:B,0)),ROW()-51,0),"")</f>
        <v>OCN</v>
      </c>
      <c r="D53" s="300"/>
      <c r="E53" s="243">
        <f ca="1">SUMIFS('Paiements échelonnés'!J:J,'Paiements échelonnés'!H:H,B53,'Paiements échelonnés'!A:A,$C$2,'Paiements échelonnés'!K:K,"non")</f>
        <v>0</v>
      </c>
      <c r="F53" s="243">
        <f ca="1">SUMIFS('Paiements échelonnés'!J:J,'Paiements échelonnés'!H:H,B53,'Paiements échelonnés'!A:A,$C$2,'Paiements échelonnés'!K:K,"oui")</f>
        <v>28</v>
      </c>
      <c r="G53" s="243"/>
      <c r="H53" s="243">
        <f t="shared" ca="1" si="1"/>
        <v>-28</v>
      </c>
      <c r="J53" s="274" t="s">
        <v>31</v>
      </c>
      <c r="K53" s="274" t="s">
        <v>86</v>
      </c>
      <c r="L53" s="274" t="s">
        <v>201</v>
      </c>
      <c r="M53" s="274" t="s">
        <v>261</v>
      </c>
      <c r="O53" s="290"/>
    </row>
    <row r="54" spans="1:15" s="285" customFormat="1" ht="13.5" customHeight="1" x14ac:dyDescent="0.2">
      <c r="A54" s="333"/>
      <c r="B54" s="240" t="str">
        <f ca="1">IF(OFFSET(OFFSET(INDEX('Paiements échelonnés'!H:H,MATCH($C$2,'Paiements échelonnés'!B:B,0)),ROW()-51,0),0,2)&lt;&gt;"",OFFSET(INDEX('Paiements échelonnés'!H:H,MATCH($C$2,'Paiements échelonnés'!B:B,0)),ROW()-51,0),"")</f>
        <v/>
      </c>
      <c r="C54" s="241" t="str">
        <f ca="1">IF(OFFSET(OFFSET(INDEX('Paiements échelonnés'!I:I,MATCH($C$2,'Paiements échelonnés'!B:B,0)),ROW()-51,0),0,1)&lt;&gt;"",OFFSET(INDEX('Paiements échelonnés'!I:I,MATCH($C$2,'Paiements échelonnés'!B:B,0)),ROW()-51,0),"")</f>
        <v/>
      </c>
      <c r="D54" s="300"/>
      <c r="E54" s="243">
        <f ca="1">SUMIFS('Paiements échelonnés'!J:J,'Paiements échelonnés'!H:H,B54,'Paiements échelonnés'!A:A,$C$2,'Paiements échelonnés'!K:K,"non")</f>
        <v>0</v>
      </c>
      <c r="F54" s="243">
        <f ca="1">SUMIFS('Paiements échelonnés'!J:J,'Paiements échelonnés'!H:H,B54,'Paiements échelonnés'!A:A,$C$2,'Paiements échelonnés'!K:K,"oui")</f>
        <v>0</v>
      </c>
      <c r="G54" s="243"/>
      <c r="H54" s="243">
        <f t="shared" ca="1" si="1"/>
        <v>0</v>
      </c>
      <c r="J54" s="274" t="s">
        <v>31</v>
      </c>
      <c r="K54" s="274" t="s">
        <v>86</v>
      </c>
      <c r="L54" s="274" t="s">
        <v>201</v>
      </c>
      <c r="M54" s="274" t="s">
        <v>261</v>
      </c>
      <c r="O54" s="290"/>
    </row>
    <row r="55" spans="1:15" s="285" customFormat="1" ht="13.5" customHeight="1" x14ac:dyDescent="0.2">
      <c r="A55" s="333"/>
      <c r="B55" s="240" t="str">
        <f ca="1">IF(OFFSET(OFFSET(INDEX('Paiements échelonnés'!H:H,MATCH($C$2,'Paiements échelonnés'!B:B,0)),ROW()-51,0),0,2)&lt;&gt;"",OFFSET(INDEX('Paiements échelonnés'!H:H,MATCH($C$2,'Paiements échelonnés'!B:B,0)),ROW()-51,0),"")</f>
        <v>Billag</v>
      </c>
      <c r="C55" s="241">
        <f ca="1">IF(OFFSET(OFFSET(INDEX('Paiements échelonnés'!I:I,MATCH($C$2,'Paiements échelonnés'!B:B,0)),ROW()-51,0),0,1)&lt;&gt;"",OFFSET(INDEX('Paiements échelonnés'!I:I,MATCH($C$2,'Paiements échelonnés'!B:B,0)),ROW()-51,0),"")</f>
        <v>0</v>
      </c>
      <c r="D55" s="300"/>
      <c r="E55" s="243">
        <f ca="1">SUMIFS('Paiements échelonnés'!J:J,'Paiements échelonnés'!H:H,B55,'Paiements échelonnés'!A:A,$C$2,'Paiements échelonnés'!K:K,"non")</f>
        <v>0</v>
      </c>
      <c r="F55" s="243">
        <f ca="1">SUMIFS('Paiements échelonnés'!J:J,'Paiements échelonnés'!H:H,B55,'Paiements échelonnés'!A:A,$C$2,'Paiements échelonnés'!K:K,"oui")</f>
        <v>15</v>
      </c>
      <c r="G55" s="243"/>
      <c r="H55" s="243">
        <f t="shared" ca="1" si="1"/>
        <v>-15</v>
      </c>
      <c r="J55" s="274" t="s">
        <v>31</v>
      </c>
      <c r="K55" s="274" t="s">
        <v>86</v>
      </c>
      <c r="L55" s="274" t="s">
        <v>201</v>
      </c>
      <c r="M55" s="274" t="s">
        <v>261</v>
      </c>
      <c r="O55" s="290"/>
    </row>
    <row r="56" spans="1:15" s="285" customFormat="1" ht="13.5" customHeight="1" x14ac:dyDescent="0.2">
      <c r="A56" s="333"/>
      <c r="B56" s="240" t="str">
        <f ca="1">IF(OFFSET(OFFSET(INDEX('Paiements échelonnés'!H:H,MATCH($C$2,'Paiements échelonnés'!B:B,0)),ROW()-51,0),0,2)&lt;&gt;"",OFFSET(INDEX('Paiements échelonnés'!H:H,MATCH($C$2,'Paiements échelonnés'!B:B,0)),ROW()-51,0),"")</f>
        <v/>
      </c>
      <c r="C56" s="241" t="str">
        <f ca="1">IF(OFFSET(OFFSET(INDEX('Paiements échelonnés'!I:I,MATCH($C$2,'Paiements échelonnés'!B:B,0)),ROW()-51,0),0,1)&lt;&gt;"",OFFSET(INDEX('Paiements échelonnés'!I:I,MATCH($C$2,'Paiements échelonnés'!B:B,0)),ROW()-51,0),"")</f>
        <v/>
      </c>
      <c r="D56" s="300"/>
      <c r="E56" s="243">
        <f ca="1">SUMIFS('Paiements échelonnés'!J:J,'Paiements échelonnés'!H:H,B56,'Paiements échelonnés'!A:A,$C$2,'Paiements échelonnés'!K:K,"non")</f>
        <v>0</v>
      </c>
      <c r="F56" s="243">
        <f ca="1">SUMIFS('Paiements échelonnés'!J:J,'Paiements échelonnés'!H:H,B56,'Paiements échelonnés'!A:A,$C$2,'Paiements échelonnés'!K:K,"oui")</f>
        <v>0</v>
      </c>
      <c r="G56" s="243"/>
      <c r="H56" s="243">
        <f t="shared" ca="1" si="1"/>
        <v>0</v>
      </c>
      <c r="J56" s="274" t="s">
        <v>31</v>
      </c>
      <c r="K56" s="274" t="s">
        <v>86</v>
      </c>
      <c r="L56" s="274" t="s">
        <v>201</v>
      </c>
      <c r="M56" s="274" t="s">
        <v>261</v>
      </c>
      <c r="O56" s="290"/>
    </row>
    <row r="57" spans="1:15" s="285" customFormat="1" ht="13.5" customHeight="1" x14ac:dyDescent="0.2">
      <c r="A57" s="333"/>
      <c r="B57" s="240" t="str">
        <f ca="1">IF(OFFSET(OFFSET(INDEX('Paiements échelonnés'!H:H,MATCH($C$2,'Paiements échelonnés'!B:B,0)),ROW()-51,0),0,2)&lt;&gt;"",OFFSET(INDEX('Paiements échelonnés'!H:H,MATCH($C$2,'Paiements échelonnés'!B:B,0)),ROW()-51,0),"")</f>
        <v/>
      </c>
      <c r="C57" s="299" t="str">
        <f ca="1">IF(OFFSET(OFFSET(INDEX('Paiements échelonnés'!I:I,MATCH($C$2,'Paiements échelonnés'!B:B,0)),ROW()-51,0),0,1)&lt;&gt;"",OFFSET(INDEX('Paiements échelonnés'!I:I,MATCH($C$2,'Paiements échelonnés'!B:B,0)),ROW()-51,0),"")</f>
        <v/>
      </c>
      <c r="D57" s="300"/>
      <c r="E57" s="243">
        <f ca="1">SUMIFS('Paiements échelonnés'!J:J,'Paiements échelonnés'!H:H,B57,'Paiements échelonnés'!A:A,$C$2,'Paiements échelonnés'!K:K,"non")</f>
        <v>0</v>
      </c>
      <c r="F57" s="243">
        <f ca="1">SUMIFS('Paiements échelonnés'!J:J,'Paiements échelonnés'!H:H,B57,'Paiements échelonnés'!A:A,$C$2,'Paiements échelonnés'!K:K,"oui")</f>
        <v>0</v>
      </c>
      <c r="G57" s="243"/>
      <c r="H57" s="243">
        <f t="shared" ca="1" si="1"/>
        <v>0</v>
      </c>
      <c r="J57" s="274" t="s">
        <v>31</v>
      </c>
      <c r="K57" s="274" t="s">
        <v>86</v>
      </c>
      <c r="L57" s="274" t="s">
        <v>201</v>
      </c>
      <c r="M57" s="274" t="s">
        <v>261</v>
      </c>
      <c r="O57" s="290"/>
    </row>
    <row r="58" spans="1:15" s="285" customFormat="1" ht="13.5" customHeight="1" x14ac:dyDescent="0.2">
      <c r="A58" s="333"/>
      <c r="B58" s="240" t="str">
        <f ca="1">IF(OFFSET(OFFSET(INDEX('Paiements échelonnés'!H:H,MATCH($C$2,'Paiements échelonnés'!B:B,0)),ROW()-51,0),0,2)&lt;&gt;"",OFFSET(INDEX('Paiements échelonnés'!H:H,MATCH($C$2,'Paiements échelonnés'!B:B,0)),ROW()-51,0),"")</f>
        <v/>
      </c>
      <c r="C58" s="299" t="str">
        <f ca="1">IF(OFFSET(OFFSET(INDEX('Paiements échelonnés'!I:I,MATCH($C$2,'Paiements échelonnés'!B:B,0)),ROW()-51,0),0,1)&lt;&gt;"",OFFSET(INDEX('Paiements échelonnés'!I:I,MATCH($C$2,'Paiements échelonnés'!B:B,0)),ROW()-51,0),"")</f>
        <v/>
      </c>
      <c r="D58" s="300"/>
      <c r="E58" s="243">
        <f ca="1">SUMIFS('Paiements échelonnés'!J:J,'Paiements échelonnés'!H:H,B58,'Paiements échelonnés'!A:A,$C$2,'Paiements échelonnés'!K:K,"non")</f>
        <v>0</v>
      </c>
      <c r="F58" s="243">
        <f ca="1">SUMIFS('Paiements échelonnés'!J:J,'Paiements échelonnés'!H:H,B58,'Paiements échelonnés'!A:A,$C$2,'Paiements échelonnés'!K:K,"oui")</f>
        <v>0</v>
      </c>
      <c r="G58" s="243"/>
      <c r="H58" s="243">
        <f t="shared" ca="1" si="1"/>
        <v>0</v>
      </c>
      <c r="J58" s="274" t="s">
        <v>31</v>
      </c>
      <c r="K58" s="274" t="s">
        <v>86</v>
      </c>
      <c r="L58" s="274" t="s">
        <v>201</v>
      </c>
      <c r="M58" s="274" t="s">
        <v>261</v>
      </c>
      <c r="O58" s="290"/>
    </row>
    <row r="59" spans="1:15" s="285" customFormat="1" ht="13.5" customHeight="1" x14ac:dyDescent="0.2">
      <c r="A59" s="333"/>
      <c r="B59" s="240" t="str">
        <f ca="1">IF(OFFSET(OFFSET(INDEX('Paiements échelonnés'!H:H,MATCH($C$2,'Paiements échelonnés'!B:B,0)),ROW()-51,0),0,2)&lt;&gt;"",OFFSET(INDEX('Paiements échelonnés'!H:H,MATCH($C$2,'Paiements échelonnés'!B:B,0)),ROW()-51,0),"")</f>
        <v/>
      </c>
      <c r="C59" s="299" t="str">
        <f ca="1">IF(OFFSET(OFFSET(INDEX('Paiements échelonnés'!I:I,MATCH($C$2,'Paiements échelonnés'!B:B,0)),ROW()-51,0),0,1)&lt;&gt;"",OFFSET(INDEX('Paiements échelonnés'!I:I,MATCH($C$2,'Paiements échelonnés'!B:B,0)),ROW()-51,0),"")</f>
        <v/>
      </c>
      <c r="D59" s="300"/>
      <c r="E59" s="243">
        <f ca="1">SUMIFS('Paiements échelonnés'!J:J,'Paiements échelonnés'!H:H,B59,'Paiements échelonnés'!A:A,$C$2,'Paiements échelonnés'!K:K,"non")</f>
        <v>0</v>
      </c>
      <c r="F59" s="243">
        <f ca="1">SUMIFS('Paiements échelonnés'!J:J,'Paiements échelonnés'!H:H,B59,'Paiements échelonnés'!A:A,$C$2,'Paiements échelonnés'!K:K,"oui")</f>
        <v>0</v>
      </c>
      <c r="G59" s="243"/>
      <c r="H59" s="243">
        <f t="shared" ca="1" si="1"/>
        <v>0</v>
      </c>
      <c r="J59" s="274" t="s">
        <v>31</v>
      </c>
      <c r="K59" s="274" t="s">
        <v>86</v>
      </c>
      <c r="L59" s="274" t="s">
        <v>201</v>
      </c>
      <c r="M59" s="274" t="s">
        <v>261</v>
      </c>
      <c r="O59" s="290"/>
    </row>
    <row r="60" spans="1:15" s="285" customFormat="1" ht="13.5" customHeight="1" x14ac:dyDescent="0.2">
      <c r="A60" s="333"/>
      <c r="B60" s="240" t="str">
        <f ca="1">IF(OFFSET(OFFSET(INDEX('Paiements échelonnés'!H:H,MATCH($C$2,'Paiements échelonnés'!B:B,0)),ROW()-51,0),0,2)&lt;&gt;"",OFFSET(INDEX('Paiements échelonnés'!H:H,MATCH($C$2,'Paiements échelonnés'!B:B,0)),ROW()-51,0),"")</f>
        <v/>
      </c>
      <c r="C60" s="299" t="str">
        <f ca="1">IF(OFFSET(OFFSET(INDEX('Paiements échelonnés'!I:I,MATCH($C$2,'Paiements échelonnés'!B:B,0)),ROW()-51,0),0,1)&lt;&gt;"",OFFSET(INDEX('Paiements échelonnés'!I:I,MATCH($C$2,'Paiements échelonnés'!B:B,0)),ROW()-51,0),"")</f>
        <v/>
      </c>
      <c r="D60" s="300"/>
      <c r="E60" s="243">
        <f ca="1">SUMIFS('Paiements échelonnés'!J:J,'Paiements échelonnés'!H:H,B60,'Paiements échelonnés'!A:A,$C$2,'Paiements échelonnés'!K:K,"non")</f>
        <v>0</v>
      </c>
      <c r="F60" s="243">
        <f ca="1">SUMIFS('Paiements échelonnés'!J:J,'Paiements échelonnés'!H:H,B60,'Paiements échelonnés'!A:A,$C$2,'Paiements échelonnés'!K:K,"oui")</f>
        <v>0</v>
      </c>
      <c r="G60" s="243"/>
      <c r="H60" s="243">
        <f t="shared" ca="1" si="1"/>
        <v>0</v>
      </c>
      <c r="J60" s="274" t="s">
        <v>31</v>
      </c>
      <c r="K60" s="274" t="s">
        <v>86</v>
      </c>
      <c r="L60" s="274" t="s">
        <v>201</v>
      </c>
      <c r="M60" s="274" t="s">
        <v>261</v>
      </c>
      <c r="O60" s="290"/>
    </row>
    <row r="61" spans="1:15" s="285" customFormat="1" ht="13.5" customHeight="1" x14ac:dyDescent="0.2">
      <c r="A61" s="333"/>
      <c r="B61" s="240" t="str">
        <f ca="1">IF(OFFSET(OFFSET(INDEX('Paiements échelonnés'!H:H,MATCH($C$2,'Paiements échelonnés'!B:B,0)),ROW()-51,0),0,2)&lt;&gt;"",OFFSET(INDEX('Paiements échelonnés'!H:H,MATCH($C$2,'Paiements échelonnés'!B:B,0)),ROW()-51,0),"")</f>
        <v/>
      </c>
      <c r="C61" s="299" t="str">
        <f ca="1">IF(OFFSET(OFFSET(INDEX('Paiements échelonnés'!I:I,MATCH($C$2,'Paiements échelonnés'!B:B,0)),ROW()-51,0),0,1)&lt;&gt;"",OFFSET(INDEX('Paiements échelonnés'!I:I,MATCH($C$2,'Paiements échelonnés'!B:B,0)),ROW()-51,0),"")</f>
        <v/>
      </c>
      <c r="D61" s="300"/>
      <c r="E61" s="243">
        <f ca="1">SUMIFS('Paiements échelonnés'!J:J,'Paiements échelonnés'!H:H,B61,'Paiements échelonnés'!A:A,$C$2,'Paiements échelonnés'!K:K,"non")</f>
        <v>0</v>
      </c>
      <c r="F61" s="243">
        <f ca="1">SUMIFS('Paiements échelonnés'!J:J,'Paiements échelonnés'!H:H,B61,'Paiements échelonnés'!A:A,$C$2,'Paiements échelonnés'!K:K,"oui")</f>
        <v>0</v>
      </c>
      <c r="G61" s="243"/>
      <c r="H61" s="243">
        <f t="shared" ca="1" si="1"/>
        <v>0</v>
      </c>
      <c r="J61" s="274" t="s">
        <v>31</v>
      </c>
      <c r="K61" s="274" t="s">
        <v>86</v>
      </c>
      <c r="L61" s="274" t="s">
        <v>201</v>
      </c>
      <c r="M61" s="274" t="s">
        <v>261</v>
      </c>
      <c r="O61" s="290"/>
    </row>
    <row r="62" spans="1:15" s="285" customFormat="1" ht="13.5" customHeight="1" x14ac:dyDescent="0.2">
      <c r="A62" s="333"/>
      <c r="B62" s="240" t="str">
        <f ca="1">IF(OFFSET(OFFSET(INDEX('Paiements échelonnés'!H:H,MATCH($C$2,'Paiements échelonnés'!B:B,0)),ROW()-51,0),0,2)&lt;&gt;"",OFFSET(INDEX('Paiements échelonnés'!H:H,MATCH($C$2,'Paiements échelonnés'!B:B,0)),ROW()-51,0),"")</f>
        <v/>
      </c>
      <c r="C62" s="299" t="str">
        <f ca="1">IF(OFFSET(OFFSET(INDEX('Paiements échelonnés'!I:I,MATCH($C$2,'Paiements échelonnés'!B:B,0)),ROW()-51,0),0,1)&lt;&gt;"",OFFSET(INDEX('Paiements échelonnés'!I:I,MATCH($C$2,'Paiements échelonnés'!B:B,0)),ROW()-51,0),"")</f>
        <v/>
      </c>
      <c r="D62" s="300"/>
      <c r="E62" s="243">
        <f ca="1">SUMIFS('Paiements échelonnés'!J:J,'Paiements échelonnés'!H:H,B62,'Paiements échelonnés'!A:A,$C$2,'Paiements échelonnés'!K:K,"non")</f>
        <v>0</v>
      </c>
      <c r="F62" s="243">
        <f ca="1">SUMIFS('Paiements échelonnés'!J:J,'Paiements échelonnés'!H:H,B62,'Paiements échelonnés'!A:A,$C$2,'Paiements échelonnés'!K:K,"oui")</f>
        <v>0</v>
      </c>
      <c r="G62" s="243"/>
      <c r="H62" s="243">
        <f t="shared" ca="1" si="1"/>
        <v>0</v>
      </c>
      <c r="J62" s="274" t="s">
        <v>31</v>
      </c>
      <c r="K62" s="274" t="s">
        <v>86</v>
      </c>
      <c r="L62" s="274" t="s">
        <v>201</v>
      </c>
      <c r="M62" s="274" t="s">
        <v>261</v>
      </c>
      <c r="O62" s="290"/>
    </row>
    <row r="63" spans="1:15" s="285" customFormat="1" ht="13.5" customHeight="1" x14ac:dyDescent="0.2">
      <c r="A63" s="333"/>
      <c r="B63" s="240" t="str">
        <f ca="1">IF(OFFSET(OFFSET(INDEX('Paiements échelonnés'!H:H,MATCH($C$2,'Paiements échelonnés'!B:B,0)),ROW()-51,0),0,2)&lt;&gt;"",OFFSET(INDEX('Paiements échelonnés'!H:H,MATCH($C$2,'Paiements échelonnés'!B:B,0)),ROW()-51,0),"")</f>
        <v/>
      </c>
      <c r="C63" s="299" t="str">
        <f ca="1">IF(OFFSET(OFFSET(INDEX('Paiements échelonnés'!I:I,MATCH($C$2,'Paiements échelonnés'!B:B,0)),ROW()-51,0),0,1)&lt;&gt;"",OFFSET(INDEX('Paiements échelonnés'!I:I,MATCH($C$2,'Paiements échelonnés'!B:B,0)),ROW()-51,0),"")</f>
        <v/>
      </c>
      <c r="D63" s="300"/>
      <c r="E63" s="243">
        <f ca="1">SUMIFS('Paiements échelonnés'!J:J,'Paiements échelonnés'!H:H,B63,'Paiements échelonnés'!A:A,$C$2,'Paiements échelonnés'!K:K,"non")</f>
        <v>0</v>
      </c>
      <c r="F63" s="243">
        <f ca="1">SUMIFS('Paiements échelonnés'!J:J,'Paiements échelonnés'!H:H,B63,'Paiements échelonnés'!A:A,$C$2,'Paiements échelonnés'!K:K,"oui")</f>
        <v>0</v>
      </c>
      <c r="G63" s="243"/>
      <c r="H63" s="243">
        <f t="shared" ca="1" si="1"/>
        <v>0</v>
      </c>
      <c r="J63" s="274" t="s">
        <v>31</v>
      </c>
      <c r="K63" s="274" t="s">
        <v>86</v>
      </c>
      <c r="L63" s="274" t="s">
        <v>201</v>
      </c>
      <c r="M63" s="274" t="s">
        <v>261</v>
      </c>
      <c r="O63" s="290"/>
    </row>
    <row r="64" spans="1:15" s="285" customFormat="1" ht="13.5" customHeight="1" x14ac:dyDescent="0.2">
      <c r="A64" s="333"/>
      <c r="B64" s="240" t="str">
        <f ca="1">IF(OFFSET(OFFSET(INDEX('Paiements échelonnés'!H:H,MATCH($C$2,'Paiements échelonnés'!B:B,0)),ROW()-51,0),0,2)&lt;&gt;"",OFFSET(INDEX('Paiements échelonnés'!H:H,MATCH($C$2,'Paiements échelonnés'!B:B,0)),ROW()-51,0),"")</f>
        <v/>
      </c>
      <c r="C64" s="299" t="str">
        <f ca="1">IF(OFFSET(OFFSET(INDEX('Paiements échelonnés'!I:I,MATCH($C$2,'Paiements échelonnés'!B:B,0)),ROW()-51,0),0,1)&lt;&gt;"",OFFSET(INDEX('Paiements échelonnés'!I:I,MATCH($C$2,'Paiements échelonnés'!B:B,0)),ROW()-51,0),"")</f>
        <v/>
      </c>
      <c r="D64" s="300"/>
      <c r="E64" s="243">
        <f ca="1">SUMIFS('Paiements échelonnés'!J:J,'Paiements échelonnés'!H:H,B64,'Paiements échelonnés'!A:A,$C$2,'Paiements échelonnés'!K:K,"non")</f>
        <v>0</v>
      </c>
      <c r="F64" s="243">
        <f ca="1">SUMIFS('Paiements échelonnés'!J:J,'Paiements échelonnés'!H:H,B64,'Paiements échelonnés'!A:A,$C$2,'Paiements échelonnés'!K:K,"oui")</f>
        <v>0</v>
      </c>
      <c r="G64" s="243"/>
      <c r="H64" s="243">
        <f t="shared" ca="1" si="1"/>
        <v>0</v>
      </c>
      <c r="J64" s="274" t="s">
        <v>31</v>
      </c>
      <c r="K64" s="274" t="s">
        <v>86</v>
      </c>
      <c r="L64" s="274" t="s">
        <v>201</v>
      </c>
      <c r="M64" s="274" t="s">
        <v>261</v>
      </c>
      <c r="O64" s="290"/>
    </row>
    <row r="65" spans="1:15" s="285" customFormat="1" ht="14.25" customHeight="1" x14ac:dyDescent="0.2">
      <c r="A65" s="333"/>
      <c r="B65" s="240"/>
      <c r="C65" s="301"/>
      <c r="D65" s="302"/>
      <c r="E65" s="303"/>
      <c r="F65" s="303"/>
      <c r="G65" s="303"/>
      <c r="H65" s="303"/>
      <c r="J65" s="384" t="s">
        <v>31</v>
      </c>
      <c r="K65" s="384" t="s">
        <v>86</v>
      </c>
      <c r="L65" s="384"/>
      <c r="M65" s="384">
        <v>2027</v>
      </c>
      <c r="O65" s="290"/>
    </row>
    <row r="66" spans="1:15" s="285" customFormat="1" ht="13.5" customHeight="1" x14ac:dyDescent="0.2">
      <c r="A66" s="333"/>
      <c r="B66" s="240"/>
      <c r="C66" s="301"/>
      <c r="D66" s="302"/>
      <c r="E66" s="303"/>
      <c r="F66" s="303"/>
      <c r="G66" s="303"/>
      <c r="H66" s="303"/>
      <c r="J66" s="384" t="s">
        <v>31</v>
      </c>
      <c r="K66" s="384" t="s">
        <v>86</v>
      </c>
      <c r="L66" s="384"/>
      <c r="M66" s="384">
        <v>2027</v>
      </c>
      <c r="O66" s="290"/>
    </row>
    <row r="67" spans="1:15" s="285" customFormat="1" ht="13.5" customHeight="1" x14ac:dyDescent="0.2">
      <c r="A67" s="333"/>
      <c r="B67" s="240"/>
      <c r="C67" s="301"/>
      <c r="D67" s="302"/>
      <c r="E67" s="303"/>
      <c r="F67" s="303"/>
      <c r="G67" s="303"/>
      <c r="H67" s="303"/>
      <c r="J67" s="384" t="s">
        <v>31</v>
      </c>
      <c r="K67" s="384" t="s">
        <v>86</v>
      </c>
      <c r="L67" s="384"/>
      <c r="M67" s="384">
        <v>2027</v>
      </c>
      <c r="O67" s="290"/>
    </row>
    <row r="68" spans="1:15" s="285" customFormat="1" ht="13.5" customHeight="1" x14ac:dyDescent="0.2">
      <c r="A68" s="333"/>
      <c r="B68" s="240"/>
      <c r="C68" s="301"/>
      <c r="D68" s="302"/>
      <c r="E68" s="303"/>
      <c r="F68" s="303"/>
      <c r="G68" s="303"/>
      <c r="H68" s="303"/>
      <c r="J68" s="384" t="s">
        <v>31</v>
      </c>
      <c r="K68" s="384" t="s">
        <v>86</v>
      </c>
      <c r="L68" s="384"/>
      <c r="M68" s="384">
        <v>2027</v>
      </c>
      <c r="O68" s="290"/>
    </row>
    <row r="69" spans="1:15" s="285" customFormat="1" ht="13.5" customHeight="1" x14ac:dyDescent="0.2">
      <c r="A69" s="333"/>
      <c r="B69" s="240"/>
      <c r="C69" s="301"/>
      <c r="D69" s="302"/>
      <c r="E69" s="303"/>
      <c r="F69" s="303"/>
      <c r="G69" s="303"/>
      <c r="H69" s="303"/>
      <c r="J69" s="384" t="s">
        <v>31</v>
      </c>
      <c r="K69" s="384" t="s">
        <v>86</v>
      </c>
      <c r="L69" s="384"/>
      <c r="M69" s="384">
        <v>2027</v>
      </c>
      <c r="O69" s="290"/>
    </row>
    <row r="70" spans="1:15" s="285" customFormat="1" ht="13.5" customHeight="1" x14ac:dyDescent="0.2">
      <c r="A70" s="333"/>
      <c r="B70" s="304" t="s">
        <v>238</v>
      </c>
      <c r="C70" s="305"/>
      <c r="D70" s="306"/>
      <c r="E70" s="303"/>
      <c r="F70" s="303">
        <f ca="1">IF(G72-SUM(F36:F69)&lt;=0,0,G72-SUM(F36:F69))</f>
        <v>883.3</v>
      </c>
      <c r="G70" s="303"/>
      <c r="H70" s="303"/>
      <c r="J70" s="274" t="s">
        <v>31</v>
      </c>
      <c r="K70" s="274" t="s">
        <v>86</v>
      </c>
      <c r="L70" s="274"/>
      <c r="M70" s="274"/>
      <c r="O70" s="290"/>
    </row>
    <row r="71" spans="1:15" s="285" customFormat="1" ht="13.5" customHeight="1" x14ac:dyDescent="0.2">
      <c r="A71" s="333"/>
      <c r="B71" s="292" t="s">
        <v>53</v>
      </c>
      <c r="C71" s="290"/>
      <c r="D71" s="291"/>
      <c r="E71" s="297"/>
      <c r="F71" s="297"/>
      <c r="G71" s="297"/>
      <c r="H71" s="297"/>
      <c r="J71" s="274" t="s">
        <v>31</v>
      </c>
      <c r="K71" s="274" t="s">
        <v>86</v>
      </c>
      <c r="L71" s="274"/>
      <c r="M71" s="274"/>
      <c r="O71" s="290"/>
    </row>
    <row r="72" spans="1:15" s="202" customFormat="1" ht="12.75" x14ac:dyDescent="0.2">
      <c r="A72" s="334"/>
      <c r="B72" s="269" t="s">
        <v>52</v>
      </c>
      <c r="C72" s="270"/>
      <c r="D72" s="271"/>
      <c r="E72" s="275">
        <f ca="1">SUM(E34:E71)</f>
        <v>81.5</v>
      </c>
      <c r="F72" s="275">
        <f ca="1">SUM(F34:F71)</f>
        <v>1045</v>
      </c>
      <c r="G72" s="275">
        <f ca="1">SUM(G34:G71)</f>
        <v>1045</v>
      </c>
      <c r="H72" s="275">
        <f ca="1">SUM(H34:H71)</f>
        <v>-55</v>
      </c>
      <c r="J72" s="224"/>
      <c r="K72" s="224"/>
      <c r="L72" s="224"/>
      <c r="M72" s="224"/>
      <c r="O72" s="296"/>
    </row>
    <row r="73" spans="1:15" s="203" customFormat="1" ht="12.75" x14ac:dyDescent="0.2">
      <c r="A73" s="334"/>
      <c r="B73" s="277" t="s">
        <v>38</v>
      </c>
      <c r="C73" s="294"/>
      <c r="D73" s="279"/>
      <c r="E73" s="280"/>
      <c r="F73" s="280"/>
      <c r="G73" s="280"/>
      <c r="H73" s="281"/>
      <c r="J73" s="224"/>
      <c r="K73" s="224"/>
      <c r="L73" s="224"/>
      <c r="M73" s="224"/>
    </row>
    <row r="74" spans="1:15" s="285" customFormat="1" ht="12" x14ac:dyDescent="0.2">
      <c r="A74" s="333"/>
      <c r="B74" s="292" t="s">
        <v>51</v>
      </c>
      <c r="C74" s="290"/>
      <c r="D74" s="291"/>
      <c r="E74" s="293"/>
      <c r="F74" s="297">
        <f>SUMIFS('Frais de logement'!F:F,'Frais de logement'!A:A,C2,'Frais de logement'!B:B,B74)</f>
        <v>2400</v>
      </c>
      <c r="G74" s="297">
        <f ca="1">SUMIFS('Frais de logement'!G:G,'Frais de logement'!A:A,C2,'Frais de logement'!B:B,B74)</f>
        <v>1150</v>
      </c>
      <c r="H74" s="297"/>
      <c r="J74" s="274" t="s">
        <v>39</v>
      </c>
      <c r="K74" s="274" t="s">
        <v>82</v>
      </c>
      <c r="L74" s="274">
        <v>4010</v>
      </c>
      <c r="M74" s="274">
        <v>2027</v>
      </c>
    </row>
    <row r="75" spans="1:15" s="285" customFormat="1" ht="12" x14ac:dyDescent="0.2">
      <c r="A75" s="333"/>
      <c r="B75" s="292" t="s">
        <v>43</v>
      </c>
      <c r="C75" s="290"/>
      <c r="D75" s="291"/>
      <c r="E75" s="293">
        <f>SUMIFS('Frais de logement'!E:E,'Frais de logement'!A:A,C2,'Frais de logement'!B:B,B75)</f>
        <v>0</v>
      </c>
      <c r="F75" s="297">
        <f>SUMIFS('Frais de logement'!F:F,'Frais de logement'!A:A,C2,'Frais de logement'!B:B,B75)</f>
        <v>270</v>
      </c>
      <c r="G75" s="297">
        <f>SUMIFS('Frais de logement'!G:G,'Frais de logement'!A:A,C2,'Frais de logement'!B:B,B75)</f>
        <v>270</v>
      </c>
      <c r="H75" s="297">
        <f>IF(F75+E75&lt;G75,0,F75-G75)</f>
        <v>0</v>
      </c>
      <c r="J75" s="274" t="s">
        <v>39</v>
      </c>
      <c r="K75" s="274" t="s">
        <v>83</v>
      </c>
      <c r="L75" s="274">
        <v>4010</v>
      </c>
      <c r="M75" s="274">
        <v>2027</v>
      </c>
      <c r="N75" s="285">
        <f>IF(C2='Caisse maladie'!A:A,"SI(D49=''Caisse maladie'!:C)",0)</f>
        <v>0</v>
      </c>
    </row>
    <row r="76" spans="1:15" s="202" customFormat="1" ht="12.75" customHeight="1" x14ac:dyDescent="0.2">
      <c r="A76" s="335"/>
      <c r="B76" s="269" t="s">
        <v>44</v>
      </c>
      <c r="C76" s="270"/>
      <c r="D76" s="271"/>
      <c r="E76" s="275">
        <f>SUM(E74:E75)</f>
        <v>0</v>
      </c>
      <c r="F76" s="275">
        <f>SUM(F74:F75)</f>
        <v>2670</v>
      </c>
      <c r="G76" s="275">
        <f ca="1">SUM(G74:G75)</f>
        <v>1420</v>
      </c>
      <c r="H76" s="276">
        <f>SUM(H74:H75)</f>
        <v>0</v>
      </c>
      <c r="J76" s="224"/>
      <c r="K76" s="224"/>
      <c r="L76" s="224"/>
      <c r="M76" s="224"/>
    </row>
    <row r="77" spans="1:15" s="203" customFormat="1" ht="12.75" customHeight="1" x14ac:dyDescent="0.2">
      <c r="A77" s="336" t="s">
        <v>34</v>
      </c>
      <c r="B77" s="277" t="s">
        <v>34</v>
      </c>
      <c r="C77" s="278" t="s">
        <v>55</v>
      </c>
      <c r="D77" s="294"/>
      <c r="E77" s="295"/>
      <c r="F77" s="295"/>
      <c r="G77" s="295"/>
      <c r="H77" s="281"/>
      <c r="J77" s="224"/>
      <c r="K77" s="224"/>
      <c r="L77" s="224"/>
      <c r="M77" s="224"/>
    </row>
    <row r="78" spans="1:15" s="285" customFormat="1" ht="12" x14ac:dyDescent="0.2">
      <c r="A78" s="337"/>
      <c r="B78" s="240" t="str">
        <f t="array" ref="B78">INDEX('Caisse maladie'!$C$2:$C$49,MATCH(1,('Caisse maladie'!$A$2:$A$49=C2)*('Caisse maladie'!$B$2:$B$49="LAMAL"),0))</f>
        <v>CSS</v>
      </c>
      <c r="C78" s="290"/>
      <c r="D78" s="291" t="s">
        <v>45</v>
      </c>
      <c r="E78" s="283">
        <f>SUMIFS('Caisse maladie'!D:D,'Caisse maladie'!A:A,C2,'Caisse maladie'!B:B,D78,'Caisse maladie'!E:E,"non")</f>
        <v>0</v>
      </c>
      <c r="F78" s="283">
        <f>SUMIFS('Caisse maladie'!D:D,'Caisse maladie'!A:A,C2,'Caisse maladie'!B:B,D78,'Caisse maladie'!E:E,"oui")</f>
        <v>352.8</v>
      </c>
      <c r="G78" s="283">
        <f>F78+E78</f>
        <v>352.8</v>
      </c>
      <c r="H78" s="243">
        <f>G78-F78-E78</f>
        <v>0</v>
      </c>
      <c r="J78" s="274" t="s">
        <v>35</v>
      </c>
      <c r="K78" s="286" t="s">
        <v>41</v>
      </c>
      <c r="L78" s="286">
        <v>4024</v>
      </c>
      <c r="M78" s="274">
        <v>2027</v>
      </c>
    </row>
    <row r="79" spans="1:15" s="285" customFormat="1" ht="12" x14ac:dyDescent="0.2">
      <c r="A79" s="337"/>
      <c r="B79" s="292" t="s">
        <v>89</v>
      </c>
      <c r="C79" s="290"/>
      <c r="D79" s="291" t="s">
        <v>45</v>
      </c>
      <c r="E79" s="283">
        <f>-SUMIFS('Caisse maladie'!F:F,'Caisse maladie'!A:A,C2,'Caisse maladie'!B:B,D79,'Caisse maladie'!E:E,"non")</f>
        <v>0</v>
      </c>
      <c r="F79" s="283">
        <f>-SUMIFS('Caisse maladie'!F:F,'Caisse maladie'!A:A,C2,'Caisse maladie'!B:B,D79,'Caisse maladie'!E:E,"oui")</f>
        <v>-12.8</v>
      </c>
      <c r="G79" s="283">
        <f t="shared" ref="G79:G87" si="2">F79+E79</f>
        <v>-12.8</v>
      </c>
      <c r="H79" s="243">
        <f t="shared" ref="H79:H87" si="3">G79-F79-E79</f>
        <v>0</v>
      </c>
      <c r="J79" s="274" t="s">
        <v>35</v>
      </c>
      <c r="K79" s="286" t="s">
        <v>41</v>
      </c>
      <c r="L79" s="286">
        <v>4024</v>
      </c>
      <c r="M79" s="274">
        <v>2027</v>
      </c>
    </row>
    <row r="80" spans="1:15" s="285" customFormat="1" ht="12" x14ac:dyDescent="0.2">
      <c r="A80" s="337"/>
      <c r="B80" s="240" t="str">
        <f>B78</f>
        <v>CSS</v>
      </c>
      <c r="C80" s="290"/>
      <c r="D80" s="291" t="s">
        <v>47</v>
      </c>
      <c r="E80" s="293"/>
      <c r="F80" s="293"/>
      <c r="G80" s="283">
        <f t="shared" si="2"/>
        <v>0</v>
      </c>
      <c r="H80" s="243">
        <f t="shared" si="3"/>
        <v>0</v>
      </c>
      <c r="J80" s="274" t="s">
        <v>35</v>
      </c>
      <c r="K80" s="286" t="s">
        <v>273</v>
      </c>
      <c r="L80" s="286">
        <v>4023</v>
      </c>
      <c r="M80" s="274">
        <v>2027</v>
      </c>
    </row>
    <row r="81" spans="1:20" s="285" customFormat="1" ht="12" x14ac:dyDescent="0.2">
      <c r="A81" s="337"/>
      <c r="B81" s="240" t="str">
        <f>B78</f>
        <v>CSS</v>
      </c>
      <c r="C81" s="290"/>
      <c r="D81" s="291" t="s">
        <v>47</v>
      </c>
      <c r="E81" s="293"/>
      <c r="F81" s="293"/>
      <c r="G81" s="283">
        <f t="shared" si="2"/>
        <v>0</v>
      </c>
      <c r="H81" s="243">
        <f t="shared" si="3"/>
        <v>0</v>
      </c>
      <c r="J81" s="274" t="s">
        <v>35</v>
      </c>
      <c r="K81" s="286" t="s">
        <v>273</v>
      </c>
      <c r="L81" s="286">
        <v>4023</v>
      </c>
      <c r="M81" s="274">
        <v>2027</v>
      </c>
    </row>
    <row r="82" spans="1:20" s="285" customFormat="1" ht="12" x14ac:dyDescent="0.2">
      <c r="A82" s="337"/>
      <c r="B82" s="240" t="str">
        <f>B78</f>
        <v>CSS</v>
      </c>
      <c r="C82" s="290"/>
      <c r="D82" s="291" t="s">
        <v>47</v>
      </c>
      <c r="E82" s="293"/>
      <c r="F82" s="293">
        <v>26.8</v>
      </c>
      <c r="G82" s="283">
        <f t="shared" si="2"/>
        <v>26.8</v>
      </c>
      <c r="H82" s="243">
        <f t="shared" si="3"/>
        <v>0</v>
      </c>
      <c r="J82" s="274" t="s">
        <v>35</v>
      </c>
      <c r="K82" s="286" t="s">
        <v>273</v>
      </c>
      <c r="L82" s="286">
        <v>4023</v>
      </c>
      <c r="M82" s="274">
        <v>2027</v>
      </c>
    </row>
    <row r="83" spans="1:20" s="285" customFormat="1" ht="12" x14ac:dyDescent="0.2">
      <c r="A83" s="337"/>
      <c r="B83" s="240" t="str">
        <f>B78</f>
        <v>CSS</v>
      </c>
      <c r="C83" s="290"/>
      <c r="D83" s="291" t="s">
        <v>47</v>
      </c>
      <c r="E83" s="293"/>
      <c r="F83" s="293"/>
      <c r="G83" s="283">
        <f t="shared" si="2"/>
        <v>0</v>
      </c>
      <c r="H83" s="243">
        <f t="shared" si="3"/>
        <v>0</v>
      </c>
      <c r="J83" s="274" t="s">
        <v>35</v>
      </c>
      <c r="K83" s="286" t="s">
        <v>273</v>
      </c>
      <c r="L83" s="286">
        <v>4023</v>
      </c>
      <c r="M83" s="274">
        <v>2027</v>
      </c>
    </row>
    <row r="84" spans="1:20" s="285" customFormat="1" ht="12" x14ac:dyDescent="0.2">
      <c r="A84" s="337"/>
      <c r="B84" s="240" t="str">
        <f>B78</f>
        <v>CSS</v>
      </c>
      <c r="C84" s="290"/>
      <c r="D84" s="291" t="s">
        <v>47</v>
      </c>
      <c r="E84" s="293"/>
      <c r="F84" s="293"/>
      <c r="G84" s="283">
        <f t="shared" si="2"/>
        <v>0</v>
      </c>
      <c r="H84" s="243">
        <f t="shared" si="3"/>
        <v>0</v>
      </c>
      <c r="J84" s="274" t="s">
        <v>35</v>
      </c>
      <c r="K84" s="286" t="s">
        <v>273</v>
      </c>
      <c r="L84" s="286">
        <v>4023</v>
      </c>
      <c r="M84" s="274">
        <v>2027</v>
      </c>
    </row>
    <row r="85" spans="1:20" s="285" customFormat="1" ht="12" x14ac:dyDescent="0.2">
      <c r="A85" s="337"/>
      <c r="B85" s="240" t="s">
        <v>212</v>
      </c>
      <c r="C85" s="290"/>
      <c r="D85" s="291" t="s">
        <v>211</v>
      </c>
      <c r="E85" s="293"/>
      <c r="F85" s="293"/>
      <c r="G85" s="283">
        <f t="shared" si="2"/>
        <v>0</v>
      </c>
      <c r="H85" s="243">
        <f t="shared" si="3"/>
        <v>0</v>
      </c>
      <c r="J85" s="274" t="s">
        <v>35</v>
      </c>
      <c r="K85" s="286" t="s">
        <v>273</v>
      </c>
      <c r="L85" s="286">
        <v>4023</v>
      </c>
      <c r="M85" s="274">
        <v>2027</v>
      </c>
    </row>
    <row r="86" spans="1:20" s="285" customFormat="1" ht="12" x14ac:dyDescent="0.2">
      <c r="A86" s="337"/>
      <c r="B86" s="240"/>
      <c r="C86" s="290"/>
      <c r="D86" s="291" t="s">
        <v>175</v>
      </c>
      <c r="E86" s="293"/>
      <c r="F86" s="293"/>
      <c r="G86" s="283">
        <f t="shared" si="2"/>
        <v>0</v>
      </c>
      <c r="H86" s="243">
        <f t="shared" si="3"/>
        <v>0</v>
      </c>
      <c r="J86" s="274" t="s">
        <v>35</v>
      </c>
      <c r="K86" s="286" t="s">
        <v>273</v>
      </c>
      <c r="L86" s="286">
        <v>4023</v>
      </c>
      <c r="M86" s="274">
        <v>2027</v>
      </c>
    </row>
    <row r="87" spans="1:20" s="285" customFormat="1" ht="12" x14ac:dyDescent="0.2">
      <c r="A87" s="337"/>
      <c r="B87" s="240"/>
      <c r="C87" s="290"/>
      <c r="D87" s="282" t="s">
        <v>181</v>
      </c>
      <c r="E87" s="293"/>
      <c r="F87" s="293"/>
      <c r="G87" s="283">
        <f t="shared" si="2"/>
        <v>0</v>
      </c>
      <c r="H87" s="243">
        <f t="shared" si="3"/>
        <v>0</v>
      </c>
      <c r="J87" s="274" t="s">
        <v>35</v>
      </c>
      <c r="K87" s="286" t="s">
        <v>273</v>
      </c>
      <c r="L87" s="286">
        <v>4023</v>
      </c>
      <c r="M87" s="274">
        <v>2027</v>
      </c>
    </row>
    <row r="88" spans="1:20" s="202" customFormat="1" ht="12.75" x14ac:dyDescent="0.2">
      <c r="A88" s="338"/>
      <c r="B88" s="269" t="s">
        <v>48</v>
      </c>
      <c r="C88" s="270"/>
      <c r="D88" s="271"/>
      <c r="E88" s="275">
        <f>SUM(E78:E87)</f>
        <v>0</v>
      </c>
      <c r="F88" s="275">
        <f>SUM(F78:F87)</f>
        <v>366.8</v>
      </c>
      <c r="G88" s="275">
        <f>SUM(G78:G87)</f>
        <v>366.8</v>
      </c>
      <c r="H88" s="276">
        <f>SUM(H78:H87)</f>
        <v>0</v>
      </c>
      <c r="J88" s="224"/>
      <c r="K88" s="224"/>
      <c r="L88" s="224"/>
      <c r="M88" s="224"/>
    </row>
    <row r="89" spans="1:20" s="203" customFormat="1" ht="16.5" customHeight="1" x14ac:dyDescent="0.2">
      <c r="A89" s="339" t="s">
        <v>85</v>
      </c>
      <c r="B89" s="277" t="s">
        <v>36</v>
      </c>
      <c r="C89" s="278"/>
      <c r="D89" s="279"/>
      <c r="E89" s="280"/>
      <c r="F89" s="280"/>
      <c r="G89" s="280"/>
      <c r="H89" s="281"/>
      <c r="J89" s="224"/>
      <c r="K89" s="225"/>
      <c r="L89" s="225"/>
      <c r="M89" s="225"/>
    </row>
    <row r="90" spans="1:20" s="285" customFormat="1" ht="12" x14ac:dyDescent="0.2">
      <c r="A90" s="340"/>
      <c r="B90" s="240" t="s">
        <v>213</v>
      </c>
      <c r="C90" s="241"/>
      <c r="D90" s="282"/>
      <c r="E90" s="283"/>
      <c r="F90" s="283"/>
      <c r="G90" s="284">
        <f>SUMIFS('Frais de transport'!G:G,'Frais de transport'!A:A,C2)</f>
        <v>6058.8</v>
      </c>
      <c r="H90" s="243"/>
      <c r="J90" s="274" t="s">
        <v>37</v>
      </c>
      <c r="K90" s="286" t="s">
        <v>274</v>
      </c>
      <c r="L90" s="286">
        <v>4010</v>
      </c>
      <c r="M90" s="286">
        <v>2027</v>
      </c>
      <c r="O90" s="287" t="s">
        <v>241</v>
      </c>
      <c r="P90" s="288"/>
      <c r="Q90" s="288"/>
      <c r="R90" s="288"/>
      <c r="S90" s="288"/>
      <c r="T90" s="288"/>
    </row>
    <row r="91" spans="1:20" s="285" customFormat="1" ht="12" x14ac:dyDescent="0.2">
      <c r="A91" s="340"/>
      <c r="B91" s="240" t="s">
        <v>214</v>
      </c>
      <c r="C91" s="241"/>
      <c r="D91" s="282">
        <v>12</v>
      </c>
      <c r="E91" s="283"/>
      <c r="F91" s="283"/>
      <c r="G91" s="283">
        <f>IF(D91*10&gt;200,200,D91*10)</f>
        <v>120</v>
      </c>
      <c r="H91" s="243"/>
      <c r="J91" s="274" t="s">
        <v>37</v>
      </c>
      <c r="K91" s="286" t="s">
        <v>274</v>
      </c>
      <c r="L91" s="286">
        <v>4010</v>
      </c>
      <c r="M91" s="286">
        <v>2027</v>
      </c>
    </row>
    <row r="92" spans="1:20" s="285" customFormat="1" ht="12" x14ac:dyDescent="0.2">
      <c r="A92" s="340"/>
      <c r="B92" s="240"/>
      <c r="C92" s="241"/>
      <c r="D92" s="282"/>
      <c r="E92" s="283"/>
      <c r="F92" s="283"/>
      <c r="G92" s="283">
        <f>E92+F92</f>
        <v>0</v>
      </c>
      <c r="H92" s="243"/>
      <c r="J92" s="384" t="s">
        <v>37</v>
      </c>
      <c r="K92" s="385" t="s">
        <v>274</v>
      </c>
      <c r="L92" s="385">
        <v>4010</v>
      </c>
      <c r="M92" s="385">
        <v>2027</v>
      </c>
    </row>
    <row r="93" spans="1:20" s="285" customFormat="1" ht="12" x14ac:dyDescent="0.2">
      <c r="A93" s="340"/>
      <c r="B93" s="240"/>
      <c r="C93" s="241"/>
      <c r="D93" s="282"/>
      <c r="E93" s="283"/>
      <c r="F93" s="283"/>
      <c r="G93" s="283">
        <f>E93+F93</f>
        <v>0</v>
      </c>
      <c r="H93" s="243"/>
      <c r="J93" s="384" t="s">
        <v>37</v>
      </c>
      <c r="K93" s="385" t="s">
        <v>274</v>
      </c>
      <c r="L93" s="385">
        <v>4010</v>
      </c>
      <c r="M93" s="385">
        <v>2027</v>
      </c>
    </row>
    <row r="94" spans="1:20" s="285" customFormat="1" ht="12" x14ac:dyDescent="0.2">
      <c r="A94" s="340"/>
      <c r="B94" s="240"/>
      <c r="C94" s="289"/>
      <c r="D94" s="282"/>
      <c r="E94" s="283"/>
      <c r="F94" s="283"/>
      <c r="G94" s="283">
        <f>E94+F94</f>
        <v>0</v>
      </c>
      <c r="H94" s="243"/>
      <c r="J94" s="384"/>
      <c r="K94" s="385"/>
      <c r="L94" s="385">
        <v>4010</v>
      </c>
      <c r="M94" s="385">
        <v>2027</v>
      </c>
    </row>
    <row r="95" spans="1:20" s="285" customFormat="1" ht="12" x14ac:dyDescent="0.2">
      <c r="A95" s="340"/>
      <c r="B95" s="240"/>
      <c r="C95" s="241"/>
      <c r="D95" s="282"/>
      <c r="E95" s="283"/>
      <c r="F95" s="283"/>
      <c r="G95" s="283">
        <f>E95+F95</f>
        <v>0</v>
      </c>
      <c r="H95" s="243"/>
      <c r="J95" s="384"/>
      <c r="K95" s="385"/>
      <c r="L95" s="385">
        <v>4010</v>
      </c>
      <c r="M95" s="385">
        <v>2027</v>
      </c>
    </row>
    <row r="96" spans="1:20" s="202" customFormat="1" ht="12.75" x14ac:dyDescent="0.2">
      <c r="A96" s="341"/>
      <c r="B96" s="269" t="s">
        <v>141</v>
      </c>
      <c r="C96" s="270"/>
      <c r="D96" s="271"/>
      <c r="E96" s="275">
        <f>SUM(E90:E95)</f>
        <v>0</v>
      </c>
      <c r="F96" s="275">
        <f>SUM(F90:F95)</f>
        <v>0</v>
      </c>
      <c r="G96" s="275">
        <f>SUM(G90:G95)</f>
        <v>6178.8</v>
      </c>
      <c r="H96" s="275">
        <f>SUM(H90:H95)</f>
        <v>0</v>
      </c>
      <c r="J96" s="224" t="s">
        <v>37</v>
      </c>
      <c r="K96" s="224" t="s">
        <v>274</v>
      </c>
      <c r="L96" s="224"/>
      <c r="M96" s="224"/>
    </row>
    <row r="97" spans="1:19" s="1" customFormat="1" ht="6.75" customHeight="1" x14ac:dyDescent="0.25">
      <c r="A97" s="231"/>
      <c r="B97" s="343"/>
      <c r="C97" s="344"/>
      <c r="D97" s="344"/>
      <c r="E97" s="345"/>
      <c r="F97" s="346"/>
      <c r="G97" s="346"/>
      <c r="H97" s="347"/>
      <c r="I97" s="17"/>
    </row>
    <row r="98" spans="1:19" s="203" customFormat="1" ht="12.75" x14ac:dyDescent="0.2">
      <c r="A98" s="257"/>
      <c r="B98" s="258" t="s">
        <v>22</v>
      </c>
      <c r="C98" s="259"/>
      <c r="D98" s="260"/>
      <c r="E98" s="261">
        <f>E28</f>
        <v>407</v>
      </c>
      <c r="F98" s="261">
        <f>F28</f>
        <v>34</v>
      </c>
      <c r="G98" s="261">
        <f>G28</f>
        <v>-159</v>
      </c>
      <c r="H98" s="261">
        <f>H28</f>
        <v>0</v>
      </c>
      <c r="I98" s="226"/>
    </row>
    <row r="99" spans="1:19" s="203" customFormat="1" ht="12.75" x14ac:dyDescent="0.2">
      <c r="A99" s="262"/>
      <c r="B99" s="263" t="s">
        <v>239</v>
      </c>
      <c r="C99" s="264"/>
      <c r="D99" s="265"/>
      <c r="E99" s="266">
        <f ca="1">E33+E72+E76+E88+E96</f>
        <v>81.5</v>
      </c>
      <c r="F99" s="266">
        <f ca="1">F33+F72+F76+F88+F96</f>
        <v>4081.8</v>
      </c>
      <c r="G99" s="266">
        <f ca="1">G33+G72+G76+G88+G96</f>
        <v>9510.6</v>
      </c>
      <c r="H99" s="266">
        <f ca="1">H33+H72+H76+H88+H96</f>
        <v>-55</v>
      </c>
      <c r="N99" s="204"/>
      <c r="O99" s="204"/>
    </row>
    <row r="100" spans="1:19" s="203" customFormat="1" ht="5.25" customHeight="1" x14ac:dyDescent="0.2">
      <c r="A100" s="267"/>
      <c r="B100" s="263"/>
      <c r="C100" s="264"/>
      <c r="D100" s="265"/>
      <c r="E100" s="266"/>
      <c r="F100" s="266"/>
      <c r="G100" s="266"/>
      <c r="H100" s="268"/>
      <c r="J100" s="202"/>
      <c r="K100" s="202"/>
      <c r="L100" s="202"/>
      <c r="M100" s="202"/>
    </row>
    <row r="101" spans="1:19" s="203" customFormat="1" ht="13.5" thickBot="1" x14ac:dyDescent="0.25">
      <c r="A101" s="262"/>
      <c r="B101" s="269" t="s">
        <v>277</v>
      </c>
      <c r="C101" s="270"/>
      <c r="D101" s="271"/>
      <c r="E101" s="272">
        <f ca="1">E98-E99</f>
        <v>325.5</v>
      </c>
      <c r="F101" s="272">
        <f ca="1">F98-F99</f>
        <v>-4047.8</v>
      </c>
      <c r="G101" s="272">
        <f ca="1">G98-G99</f>
        <v>-9669.6</v>
      </c>
      <c r="H101" s="273">
        <f ca="1">H98-H99</f>
        <v>55</v>
      </c>
      <c r="N101" s="204"/>
      <c r="O101" s="204"/>
    </row>
    <row r="102" spans="1:19" s="38" customFormat="1" ht="6" customHeight="1" thickTop="1" x14ac:dyDescent="0.25">
      <c r="A102" s="232"/>
      <c r="B102" s="197"/>
      <c r="C102" s="97"/>
      <c r="D102" s="97"/>
      <c r="E102" s="84"/>
      <c r="F102" s="84"/>
      <c r="G102" s="84"/>
      <c r="H102" s="98"/>
      <c r="J102" s="127"/>
      <c r="K102" s="127"/>
      <c r="L102" s="127"/>
      <c r="M102" s="127"/>
      <c r="N102" s="78"/>
    </row>
    <row r="103" spans="1:19" s="244" customFormat="1" ht="12" x14ac:dyDescent="0.2">
      <c r="A103" s="246"/>
      <c r="B103" s="240" t="s">
        <v>256</v>
      </c>
      <c r="C103" s="241"/>
      <c r="D103" s="241"/>
      <c r="E103" s="242"/>
      <c r="F103" s="242"/>
      <c r="G103" s="242">
        <f ca="1">G101-F101</f>
        <v>-5621.8</v>
      </c>
      <c r="H103" s="243"/>
      <c r="J103" s="247"/>
      <c r="K103" s="247"/>
      <c r="L103" s="247"/>
      <c r="M103" s="247"/>
      <c r="N103" s="245"/>
    </row>
    <row r="104" spans="1:19" s="244" customFormat="1" ht="12" x14ac:dyDescent="0.2">
      <c r="A104" s="246"/>
      <c r="B104" s="240" t="s">
        <v>183</v>
      </c>
      <c r="C104" s="241"/>
      <c r="D104" s="241"/>
      <c r="E104" s="242"/>
      <c r="F104" s="242"/>
      <c r="G104" s="242"/>
      <c r="H104" s="243"/>
      <c r="J104" s="247"/>
      <c r="K104" s="247"/>
      <c r="L104" s="247"/>
      <c r="M104" s="247"/>
    </row>
    <row r="105" spans="1:19" s="244" customFormat="1" ht="12" x14ac:dyDescent="0.2">
      <c r="A105" s="246"/>
      <c r="B105" s="240" t="s">
        <v>184</v>
      </c>
      <c r="C105" s="241"/>
      <c r="D105" s="241"/>
      <c r="E105" s="242"/>
      <c r="F105" s="242"/>
      <c r="G105" s="242">
        <v>612</v>
      </c>
      <c r="H105" s="243"/>
      <c r="J105" s="248" t="s">
        <v>240</v>
      </c>
      <c r="K105" s="248"/>
      <c r="L105" s="248"/>
      <c r="M105" s="248"/>
      <c r="N105" s="248"/>
      <c r="O105" s="248"/>
      <c r="P105" s="248"/>
      <c r="Q105" s="247"/>
      <c r="R105" s="247"/>
      <c r="S105" s="247"/>
    </row>
    <row r="106" spans="1:19" s="244" customFormat="1" ht="12" x14ac:dyDescent="0.2">
      <c r="A106" s="246"/>
      <c r="B106" s="240" t="s">
        <v>242</v>
      </c>
      <c r="C106" s="241"/>
      <c r="D106" s="241"/>
      <c r="E106" s="242"/>
      <c r="F106" s="249"/>
      <c r="G106" s="242">
        <v>401</v>
      </c>
      <c r="H106" s="243"/>
      <c r="J106" s="248" t="s">
        <v>303</v>
      </c>
      <c r="K106" s="248"/>
      <c r="L106" s="248"/>
      <c r="M106" s="248"/>
      <c r="N106" s="248"/>
      <c r="O106" s="248"/>
      <c r="P106" s="248"/>
      <c r="Q106" s="247"/>
      <c r="R106" s="247"/>
      <c r="S106" s="247"/>
    </row>
    <row r="107" spans="1:19" s="244" customFormat="1" ht="12" x14ac:dyDescent="0.2">
      <c r="A107" s="246"/>
      <c r="B107" s="240" t="s">
        <v>246</v>
      </c>
      <c r="C107" s="241"/>
      <c r="D107" s="241"/>
      <c r="E107" s="242"/>
      <c r="F107" s="242"/>
      <c r="G107" s="242">
        <f ca="1">G108+G105-G106</f>
        <v>5832.8</v>
      </c>
      <c r="H107" s="243">
        <f ca="1">G107</f>
        <v>5832.8</v>
      </c>
      <c r="J107" s="247"/>
      <c r="K107" s="247"/>
      <c r="L107" s="247"/>
      <c r="M107" s="247"/>
    </row>
    <row r="108" spans="1:19" s="221" customFormat="1" ht="13.5" thickBot="1" x14ac:dyDescent="0.25">
      <c r="A108" s="250"/>
      <c r="B108" s="251" t="s">
        <v>228</v>
      </c>
      <c r="C108" s="252"/>
      <c r="D108" s="252"/>
      <c r="E108" s="253"/>
      <c r="F108" s="253"/>
      <c r="G108" s="254">
        <f ca="1">-G103</f>
        <v>5621.8</v>
      </c>
      <c r="H108" s="255">
        <f ca="1">SUM(H101:H107)</f>
        <v>5887.8</v>
      </c>
    </row>
    <row r="109" spans="1:19" s="151" customFormat="1" ht="5.25" customHeight="1" thickTop="1" x14ac:dyDescent="0.2">
      <c r="A109" s="250"/>
      <c r="B109" s="198"/>
      <c r="C109" s="131"/>
      <c r="D109" s="131"/>
      <c r="E109" s="149"/>
      <c r="F109" s="149"/>
      <c r="G109" s="149"/>
      <c r="H109" s="227"/>
      <c r="J109" s="221"/>
      <c r="K109" s="221"/>
      <c r="L109" s="221"/>
      <c r="M109" s="221"/>
    </row>
    <row r="110" spans="1:19" s="151" customFormat="1" ht="12.75" x14ac:dyDescent="0.2">
      <c r="A110" s="250"/>
      <c r="B110" s="251" t="s">
        <v>185</v>
      </c>
      <c r="C110" s="131"/>
      <c r="D110" s="131"/>
      <c r="E110" s="149"/>
      <c r="F110" s="149"/>
      <c r="G110" s="149"/>
      <c r="H110" s="150"/>
      <c r="J110" s="221"/>
      <c r="K110" s="221"/>
      <c r="L110" s="221"/>
      <c r="M110" s="221"/>
      <c r="N110" s="187"/>
    </row>
    <row r="111" spans="1:19" s="244" customFormat="1" ht="12" x14ac:dyDescent="0.2">
      <c r="A111" s="239"/>
      <c r="B111" s="240" t="s">
        <v>8</v>
      </c>
      <c r="C111" s="241"/>
      <c r="D111" s="241"/>
      <c r="E111" s="242"/>
      <c r="F111" s="242" t="s">
        <v>174</v>
      </c>
      <c r="G111" s="242"/>
      <c r="H111" s="243">
        <f>'Les normes-données de base'!B6</f>
        <v>-402.85</v>
      </c>
    </row>
    <row r="112" spans="1:19" s="244" customFormat="1" ht="12" x14ac:dyDescent="0.2">
      <c r="A112" s="239"/>
      <c r="B112" s="240" t="s">
        <v>8</v>
      </c>
      <c r="C112" s="241"/>
      <c r="D112" s="241"/>
      <c r="E112" s="242"/>
      <c r="F112" s="242" t="str">
        <f>C2</f>
        <v>janvier</v>
      </c>
      <c r="G112" s="242"/>
      <c r="H112" s="243">
        <f ca="1">H111+G101</f>
        <v>-10072.450000000001</v>
      </c>
      <c r="N112" s="245"/>
      <c r="O112" s="245"/>
    </row>
    <row r="113" spans="1:14" s="244" customFormat="1" ht="5.25" customHeight="1" x14ac:dyDescent="0.2">
      <c r="A113" s="239"/>
      <c r="B113" s="240"/>
      <c r="C113" s="241"/>
      <c r="D113" s="241"/>
      <c r="E113" s="242"/>
      <c r="F113" s="242"/>
      <c r="G113" s="242"/>
      <c r="H113" s="243"/>
    </row>
    <row r="114" spans="1:14" s="244" customFormat="1" ht="12" x14ac:dyDescent="0.2">
      <c r="A114" s="239"/>
      <c r="B114" s="240" t="s">
        <v>9</v>
      </c>
      <c r="C114" s="241"/>
      <c r="D114" s="241"/>
      <c r="E114" s="242"/>
      <c r="F114" s="242" t="s">
        <v>174</v>
      </c>
      <c r="G114" s="242"/>
      <c r="H114" s="243">
        <f>'Les normes-données de base'!B7</f>
        <v>-11213.4</v>
      </c>
      <c r="N114" s="245"/>
    </row>
    <row r="115" spans="1:14" s="244" customFormat="1" ht="12" x14ac:dyDescent="0.2">
      <c r="A115" s="239"/>
      <c r="B115" s="240" t="s">
        <v>9</v>
      </c>
      <c r="C115" s="241"/>
      <c r="D115" s="241"/>
      <c r="E115" s="242"/>
      <c r="F115" s="242" t="str">
        <f>C2</f>
        <v>janvier</v>
      </c>
      <c r="G115" s="242"/>
      <c r="H115" s="243">
        <f ca="1">H114+H108</f>
        <v>-5325.5999999999995</v>
      </c>
    </row>
    <row r="116" spans="1:14" s="38" customFormat="1" ht="5.25" customHeight="1" x14ac:dyDescent="0.25">
      <c r="A116" s="233"/>
      <c r="B116" s="197"/>
      <c r="C116" s="97"/>
      <c r="D116" s="97"/>
      <c r="E116" s="84"/>
      <c r="F116" s="84"/>
      <c r="G116" s="84"/>
      <c r="H116" s="98">
        <f>SUM(F116:G116)</f>
        <v>0</v>
      </c>
    </row>
    <row r="117" spans="1:14" s="221" customFormat="1" ht="13.5" thickBot="1" x14ac:dyDescent="0.25">
      <c r="A117" s="250"/>
      <c r="B117" s="251" t="s">
        <v>186</v>
      </c>
      <c r="C117" s="253" t="str">
        <f>F115</f>
        <v>janvier</v>
      </c>
      <c r="D117" s="131" t="s">
        <v>187</v>
      </c>
      <c r="E117" s="253"/>
      <c r="F117" s="253"/>
      <c r="G117" s="253"/>
      <c r="H117" s="255">
        <f ca="1">H112+H115</f>
        <v>-15398.05</v>
      </c>
      <c r="N117" s="256"/>
    </row>
    <row r="118" spans="1:14" s="38" customFormat="1" ht="15.75" thickTop="1" x14ac:dyDescent="0.25">
      <c r="A118" s="234"/>
      <c r="B118" s="199"/>
      <c r="C118" s="128"/>
      <c r="D118" s="128"/>
      <c r="E118" s="129"/>
      <c r="F118" s="129"/>
      <c r="G118" s="129"/>
      <c r="H118" s="130"/>
      <c r="I118" s="123"/>
      <c r="J118" s="97"/>
    </row>
    <row r="119" spans="1:14" ht="21" x14ac:dyDescent="0.25">
      <c r="A119" s="229"/>
      <c r="B119" s="323" t="str">
        <f>D3</f>
        <v>Nicole Villet</v>
      </c>
      <c r="C119" s="324"/>
      <c r="D119" s="323">
        <f>H3</f>
        <v>977</v>
      </c>
      <c r="E119" s="370" t="s">
        <v>27</v>
      </c>
      <c r="F119" s="371"/>
      <c r="G119" s="371"/>
      <c r="H119" s="371"/>
      <c r="I119" s="8"/>
      <c r="J119"/>
      <c r="K119"/>
      <c r="L119"/>
      <c r="M119"/>
    </row>
    <row r="120" spans="1:14" ht="21" x14ac:dyDescent="0.25">
      <c r="B120" s="358" t="str">
        <f>C2</f>
        <v>janvier</v>
      </c>
      <c r="C120" s="369"/>
      <c r="D120" s="369"/>
      <c r="E120" s="358">
        <f>E2</f>
        <v>2015</v>
      </c>
      <c r="F120" s="369"/>
      <c r="G120" s="369"/>
      <c r="H120" s="369"/>
    </row>
    <row r="121" spans="1:14" s="1" customFormat="1" x14ac:dyDescent="0.25">
      <c r="A121" s="235"/>
      <c r="B121" s="313" t="s">
        <v>64</v>
      </c>
      <c r="C121" s="314" t="s">
        <v>65</v>
      </c>
      <c r="D121" s="314" t="s">
        <v>28</v>
      </c>
      <c r="E121" s="314" t="s">
        <v>66</v>
      </c>
      <c r="F121" s="314" t="s">
        <v>49</v>
      </c>
      <c r="G121" s="314" t="s">
        <v>49</v>
      </c>
      <c r="H121" s="314" t="s">
        <v>223</v>
      </c>
    </row>
    <row r="122" spans="1:14" s="1" customFormat="1" x14ac:dyDescent="0.25">
      <c r="A122" s="235"/>
      <c r="B122" s="315">
        <f ca="1">TODAY()</f>
        <v>41987</v>
      </c>
      <c r="C122" s="316" t="str">
        <f>B13</f>
        <v>Revenu de M.</v>
      </c>
      <c r="D122" s="317" t="str">
        <f>J13</f>
        <v>A</v>
      </c>
      <c r="E122" s="317" t="str">
        <f>K13</f>
        <v>SAL</v>
      </c>
      <c r="F122" s="317">
        <f>L13</f>
        <v>2027</v>
      </c>
      <c r="G122" s="317"/>
      <c r="H122" s="318">
        <f>F13</f>
        <v>0</v>
      </c>
      <c r="I122" s="202"/>
      <c r="N122" s="188"/>
    </row>
    <row r="123" spans="1:14" s="1" customFormat="1" x14ac:dyDescent="0.25">
      <c r="A123" s="235"/>
      <c r="B123" s="315">
        <f t="shared" ref="B123:B134" ca="1" si="4">TODAY()</f>
        <v>41987</v>
      </c>
      <c r="C123" s="316" t="str">
        <f t="shared" ref="C123:C134" si="5">B14</f>
        <v>Revenu de Mme</v>
      </c>
      <c r="D123" s="317" t="str">
        <f t="shared" ref="D123:D134" si="6">J14</f>
        <v>A</v>
      </c>
      <c r="E123" s="317" t="str">
        <f t="shared" ref="E123:E134" si="7">K14</f>
        <v>SAL</v>
      </c>
      <c r="F123" s="317">
        <f t="shared" ref="F123:F134" si="8">L14</f>
        <v>2027</v>
      </c>
      <c r="G123" s="317"/>
      <c r="H123" s="318">
        <f t="shared" ref="H123:H134" si="9">-F14</f>
        <v>-34</v>
      </c>
      <c r="I123" s="202"/>
    </row>
    <row r="124" spans="1:14" s="1" customFormat="1" x14ac:dyDescent="0.25">
      <c r="A124" s="235"/>
      <c r="B124" s="315">
        <f t="shared" ca="1" si="4"/>
        <v>41987</v>
      </c>
      <c r="C124" s="316" t="str">
        <f t="shared" si="5"/>
        <v>Renevu autre membre de la famille</v>
      </c>
      <c r="D124" s="317" t="str">
        <f t="shared" si="6"/>
        <v>A</v>
      </c>
      <c r="E124" s="317" t="str">
        <f t="shared" si="7"/>
        <v>SAL</v>
      </c>
      <c r="F124" s="317">
        <f t="shared" si="8"/>
        <v>2027</v>
      </c>
      <c r="G124" s="317"/>
      <c r="H124" s="318">
        <f t="shared" si="9"/>
        <v>0</v>
      </c>
      <c r="I124" s="202"/>
    </row>
    <row r="125" spans="1:14" s="1" customFormat="1" x14ac:dyDescent="0.25">
      <c r="A125" s="235"/>
      <c r="B125" s="315">
        <f t="shared" ca="1" si="4"/>
        <v>41987</v>
      </c>
      <c r="C125" s="316" t="str">
        <f t="shared" si="5"/>
        <v>Rente AI</v>
      </c>
      <c r="D125" s="317" t="str">
        <f t="shared" si="6"/>
        <v>A</v>
      </c>
      <c r="E125" s="317" t="str">
        <f t="shared" si="7"/>
        <v>AI</v>
      </c>
      <c r="F125" s="317">
        <f t="shared" si="8"/>
        <v>2027</v>
      </c>
      <c r="G125" s="317"/>
      <c r="H125" s="318">
        <f t="shared" si="9"/>
        <v>0</v>
      </c>
      <c r="I125" s="202"/>
    </row>
    <row r="126" spans="1:14" s="1" customFormat="1" x14ac:dyDescent="0.25">
      <c r="A126" s="235"/>
      <c r="B126" s="315">
        <f t="shared" ca="1" si="4"/>
        <v>41987</v>
      </c>
      <c r="C126" s="316" t="str">
        <f t="shared" si="5"/>
        <v>Prestations complémentaires</v>
      </c>
      <c r="D126" s="317" t="str">
        <f t="shared" si="6"/>
        <v>A</v>
      </c>
      <c r="E126" s="317" t="str">
        <f t="shared" si="7"/>
        <v>PC</v>
      </c>
      <c r="F126" s="317">
        <f t="shared" si="8"/>
        <v>2027</v>
      </c>
      <c r="G126" s="317"/>
      <c r="H126" s="318">
        <f t="shared" si="9"/>
        <v>0</v>
      </c>
      <c r="I126" s="202"/>
    </row>
    <row r="127" spans="1:14" s="1" customFormat="1" x14ac:dyDescent="0.25">
      <c r="A127" s="235"/>
      <c r="B127" s="315">
        <f t="shared" ca="1" si="4"/>
        <v>41987</v>
      </c>
      <c r="C127" s="316" t="str">
        <f t="shared" si="5"/>
        <v>Rente AVS</v>
      </c>
      <c r="D127" s="317" t="str">
        <f t="shared" si="6"/>
        <v>A</v>
      </c>
      <c r="E127" s="317" t="str">
        <f t="shared" si="7"/>
        <v>AVS</v>
      </c>
      <c r="F127" s="317">
        <f t="shared" si="8"/>
        <v>2027</v>
      </c>
      <c r="G127" s="317"/>
      <c r="H127" s="318">
        <f t="shared" si="9"/>
        <v>0</v>
      </c>
      <c r="I127" s="202"/>
    </row>
    <row r="128" spans="1:14" s="1" customFormat="1" x14ac:dyDescent="0.25">
      <c r="A128" s="235"/>
      <c r="B128" s="315">
        <f t="shared" ca="1" si="4"/>
        <v>41987</v>
      </c>
      <c r="C128" s="316" t="str">
        <f t="shared" si="5"/>
        <v>Indemnité chômage</v>
      </c>
      <c r="D128" s="317" t="str">
        <f t="shared" si="6"/>
        <v>A</v>
      </c>
      <c r="E128" s="317" t="str">
        <f t="shared" si="7"/>
        <v>IC</v>
      </c>
      <c r="F128" s="317">
        <f t="shared" si="8"/>
        <v>2027</v>
      </c>
      <c r="G128" s="317"/>
      <c r="H128" s="318">
        <f t="shared" si="9"/>
        <v>0</v>
      </c>
      <c r="I128" s="202"/>
    </row>
    <row r="129" spans="1:9" s="1" customFormat="1" x14ac:dyDescent="0.25">
      <c r="A129" s="235"/>
      <c r="B129" s="315">
        <f t="shared" ca="1" si="4"/>
        <v>41987</v>
      </c>
      <c r="C129" s="316" t="str">
        <f t="shared" si="5"/>
        <v>Indemnité journalière mal/acc</v>
      </c>
      <c r="D129" s="317" t="str">
        <f t="shared" si="6"/>
        <v>A</v>
      </c>
      <c r="E129" s="317" t="str">
        <f t="shared" si="7"/>
        <v>IJ</v>
      </c>
      <c r="F129" s="317">
        <f t="shared" si="8"/>
        <v>2027</v>
      </c>
      <c r="G129" s="317"/>
      <c r="H129" s="318">
        <f t="shared" si="9"/>
        <v>0</v>
      </c>
      <c r="I129" s="202"/>
    </row>
    <row r="130" spans="1:9" s="1" customFormat="1" x14ac:dyDescent="0.25">
      <c r="A130" s="235"/>
      <c r="B130" s="315">
        <f t="shared" ca="1" si="4"/>
        <v>41987</v>
      </c>
      <c r="C130" s="316" t="str">
        <f t="shared" si="5"/>
        <v>Allocations familiales</v>
      </c>
      <c r="D130" s="317" t="str">
        <f t="shared" si="6"/>
        <v>A</v>
      </c>
      <c r="E130" s="317" t="str">
        <f t="shared" si="7"/>
        <v>AF</v>
      </c>
      <c r="F130" s="317">
        <f t="shared" si="8"/>
        <v>2027</v>
      </c>
      <c r="G130" s="317"/>
      <c r="H130" s="318">
        <f t="shared" si="9"/>
        <v>0</v>
      </c>
      <c r="I130" s="202"/>
    </row>
    <row r="131" spans="1:9" s="1" customFormat="1" x14ac:dyDescent="0.25">
      <c r="A131" s="235"/>
      <c r="B131" s="315">
        <f t="shared" ca="1" si="4"/>
        <v>41987</v>
      </c>
      <c r="C131" s="316" t="str">
        <f t="shared" si="5"/>
        <v>Treizième salaire de M.</v>
      </c>
      <c r="D131" s="317" t="str">
        <f t="shared" si="6"/>
        <v>A</v>
      </c>
      <c r="E131" s="317" t="str">
        <f t="shared" si="7"/>
        <v>SAL</v>
      </c>
      <c r="F131" s="317">
        <f t="shared" si="8"/>
        <v>2027</v>
      </c>
      <c r="G131" s="317"/>
      <c r="H131" s="318">
        <f t="shared" si="9"/>
        <v>0</v>
      </c>
      <c r="I131" s="202"/>
    </row>
    <row r="132" spans="1:9" s="1" customFormat="1" x14ac:dyDescent="0.25">
      <c r="A132" s="235"/>
      <c r="B132" s="315">
        <f t="shared" ca="1" si="4"/>
        <v>41987</v>
      </c>
      <c r="C132" s="316" t="str">
        <f t="shared" si="5"/>
        <v>Treizième salaire de Mme</v>
      </c>
      <c r="D132" s="317" t="str">
        <f t="shared" si="6"/>
        <v>A</v>
      </c>
      <c r="E132" s="317" t="str">
        <f t="shared" si="7"/>
        <v>SAL</v>
      </c>
      <c r="F132" s="317">
        <f t="shared" si="8"/>
        <v>2027</v>
      </c>
      <c r="G132" s="317"/>
      <c r="H132" s="318">
        <f t="shared" si="9"/>
        <v>0</v>
      </c>
      <c r="I132" s="202"/>
    </row>
    <row r="133" spans="1:9" s="1" customFormat="1" x14ac:dyDescent="0.25">
      <c r="A133" s="235"/>
      <c r="B133" s="315">
        <f t="shared" ca="1" si="4"/>
        <v>41987</v>
      </c>
      <c r="C133" s="316" t="str">
        <f t="shared" si="5"/>
        <v>Bourse (étude ou autres)</v>
      </c>
      <c r="D133" s="317" t="str">
        <f t="shared" si="6"/>
        <v>A</v>
      </c>
      <c r="E133" s="317" t="str">
        <f t="shared" si="7"/>
        <v>BOU</v>
      </c>
      <c r="F133" s="317">
        <f t="shared" si="8"/>
        <v>2027</v>
      </c>
      <c r="G133" s="317"/>
      <c r="H133" s="318">
        <f t="shared" si="9"/>
        <v>0</v>
      </c>
      <c r="I133" s="202"/>
    </row>
    <row r="134" spans="1:9" s="1" customFormat="1" x14ac:dyDescent="0.25">
      <c r="A134" s="235"/>
      <c r="B134" s="315">
        <f t="shared" ca="1" si="4"/>
        <v>41987</v>
      </c>
      <c r="C134" s="316" t="str">
        <f t="shared" si="5"/>
        <v>Autres</v>
      </c>
      <c r="D134" s="317" t="str">
        <f t="shared" si="6"/>
        <v>A</v>
      </c>
      <c r="E134" s="317" t="str">
        <f t="shared" si="7"/>
        <v>DIV</v>
      </c>
      <c r="F134" s="317">
        <f t="shared" si="8"/>
        <v>2027</v>
      </c>
      <c r="G134" s="317"/>
      <c r="H134" s="318">
        <f t="shared" si="9"/>
        <v>0</v>
      </c>
      <c r="I134" s="202"/>
    </row>
    <row r="135" spans="1:9" s="1" customFormat="1" x14ac:dyDescent="0.25">
      <c r="A135" s="235"/>
      <c r="B135" s="315">
        <f ca="1">TODAY()</f>
        <v>41987</v>
      </c>
      <c r="C135" s="319" t="str">
        <f ca="1">B51</f>
        <v>Assurance ménage</v>
      </c>
      <c r="D135" s="317" t="str">
        <f>J51</f>
        <v>E</v>
      </c>
      <c r="E135" s="317" t="str">
        <f>K51</f>
        <v>ENT</v>
      </c>
      <c r="F135" s="317" t="str">
        <f>L51</f>
        <v>SCC</v>
      </c>
      <c r="G135" s="317" t="str">
        <f>M51</f>
        <v>SG</v>
      </c>
      <c r="H135" s="320">
        <f t="shared" ref="H135:H148" ca="1" si="10">-H51</f>
        <v>12</v>
      </c>
      <c r="I135" s="202" t="s">
        <v>258</v>
      </c>
    </row>
    <row r="136" spans="1:9" s="1" customFormat="1" x14ac:dyDescent="0.25">
      <c r="A136" s="235"/>
      <c r="B136" s="315">
        <f t="shared" ref="B136:B160" ca="1" si="11">TODAY()</f>
        <v>41987</v>
      </c>
      <c r="C136" s="319" t="str">
        <f t="shared" ref="C136:C148" ca="1" si="12">B52</f>
        <v/>
      </c>
      <c r="D136" s="317" t="str">
        <f t="shared" ref="D136:D148" si="13">J52</f>
        <v>E</v>
      </c>
      <c r="E136" s="317" t="str">
        <f t="shared" ref="E136:E148" si="14">K52</f>
        <v>ENT</v>
      </c>
      <c r="F136" s="317" t="str">
        <f t="shared" ref="F136:F148" si="15">L52</f>
        <v>SCC</v>
      </c>
      <c r="G136" s="317" t="str">
        <f t="shared" ref="G136:G148" si="16">M52</f>
        <v>SG</v>
      </c>
      <c r="H136" s="320">
        <f t="shared" ca="1" si="10"/>
        <v>0</v>
      </c>
      <c r="I136" s="202" t="s">
        <v>258</v>
      </c>
    </row>
    <row r="137" spans="1:9" s="1" customFormat="1" x14ac:dyDescent="0.25">
      <c r="A137" s="235"/>
      <c r="B137" s="315">
        <f t="shared" ca="1" si="11"/>
        <v>41987</v>
      </c>
      <c r="C137" s="319" t="str">
        <f t="shared" ca="1" si="12"/>
        <v>Impôt véhicule</v>
      </c>
      <c r="D137" s="317" t="str">
        <f t="shared" si="13"/>
        <v>E</v>
      </c>
      <c r="E137" s="317" t="str">
        <f t="shared" si="14"/>
        <v>ENT</v>
      </c>
      <c r="F137" s="317" t="str">
        <f t="shared" si="15"/>
        <v>SCC</v>
      </c>
      <c r="G137" s="317" t="str">
        <f t="shared" si="16"/>
        <v>SG</v>
      </c>
      <c r="H137" s="320">
        <f t="shared" ca="1" si="10"/>
        <v>28</v>
      </c>
      <c r="I137" s="202" t="s">
        <v>258</v>
      </c>
    </row>
    <row r="138" spans="1:9" s="1" customFormat="1" x14ac:dyDescent="0.25">
      <c r="A138" s="235"/>
      <c r="B138" s="315">
        <f t="shared" ca="1" si="11"/>
        <v>41987</v>
      </c>
      <c r="C138" s="319" t="str">
        <f t="shared" ca="1" si="12"/>
        <v/>
      </c>
      <c r="D138" s="317" t="str">
        <f t="shared" si="13"/>
        <v>E</v>
      </c>
      <c r="E138" s="317" t="str">
        <f t="shared" si="14"/>
        <v>ENT</v>
      </c>
      <c r="F138" s="317" t="str">
        <f t="shared" si="15"/>
        <v>SCC</v>
      </c>
      <c r="G138" s="317" t="str">
        <f t="shared" si="16"/>
        <v>SG</v>
      </c>
      <c r="H138" s="320">
        <f t="shared" ca="1" si="10"/>
        <v>0</v>
      </c>
      <c r="I138" s="202" t="s">
        <v>258</v>
      </c>
    </row>
    <row r="139" spans="1:9" s="1" customFormat="1" x14ac:dyDescent="0.25">
      <c r="A139" s="235"/>
      <c r="B139" s="315">
        <f t="shared" ca="1" si="11"/>
        <v>41987</v>
      </c>
      <c r="C139" s="319" t="str">
        <f t="shared" ca="1" si="12"/>
        <v>Billag</v>
      </c>
      <c r="D139" s="317" t="str">
        <f t="shared" si="13"/>
        <v>E</v>
      </c>
      <c r="E139" s="317" t="str">
        <f t="shared" si="14"/>
        <v>ENT</v>
      </c>
      <c r="F139" s="317" t="str">
        <f t="shared" si="15"/>
        <v>SCC</v>
      </c>
      <c r="G139" s="317" t="str">
        <f t="shared" si="16"/>
        <v>SG</v>
      </c>
      <c r="H139" s="320">
        <f t="shared" ca="1" si="10"/>
        <v>15</v>
      </c>
      <c r="I139" s="202" t="s">
        <v>258</v>
      </c>
    </row>
    <row r="140" spans="1:9" s="1" customFormat="1" x14ac:dyDescent="0.25">
      <c r="A140" s="235"/>
      <c r="B140" s="315">
        <f t="shared" ca="1" si="11"/>
        <v>41987</v>
      </c>
      <c r="C140" s="319" t="str">
        <f t="shared" ca="1" si="12"/>
        <v/>
      </c>
      <c r="D140" s="317" t="str">
        <f t="shared" si="13"/>
        <v>E</v>
      </c>
      <c r="E140" s="317" t="str">
        <f t="shared" si="14"/>
        <v>ENT</v>
      </c>
      <c r="F140" s="317" t="str">
        <f t="shared" si="15"/>
        <v>SCC</v>
      </c>
      <c r="G140" s="317" t="str">
        <f t="shared" si="16"/>
        <v>SG</v>
      </c>
      <c r="H140" s="320">
        <f t="shared" ca="1" si="10"/>
        <v>0</v>
      </c>
      <c r="I140" s="202" t="s">
        <v>258</v>
      </c>
    </row>
    <row r="141" spans="1:9" s="1" customFormat="1" x14ac:dyDescent="0.25">
      <c r="A141" s="235"/>
      <c r="B141" s="315">
        <f t="shared" ca="1" si="11"/>
        <v>41987</v>
      </c>
      <c r="C141" s="319" t="str">
        <f t="shared" ca="1" si="12"/>
        <v/>
      </c>
      <c r="D141" s="317" t="str">
        <f t="shared" si="13"/>
        <v>E</v>
      </c>
      <c r="E141" s="317" t="str">
        <f t="shared" si="14"/>
        <v>ENT</v>
      </c>
      <c r="F141" s="317" t="str">
        <f t="shared" si="15"/>
        <v>SCC</v>
      </c>
      <c r="G141" s="317" t="str">
        <f t="shared" si="16"/>
        <v>SG</v>
      </c>
      <c r="H141" s="320">
        <f t="shared" ca="1" si="10"/>
        <v>0</v>
      </c>
      <c r="I141" s="202" t="s">
        <v>258</v>
      </c>
    </row>
    <row r="142" spans="1:9" s="1" customFormat="1" x14ac:dyDescent="0.25">
      <c r="A142" s="235"/>
      <c r="B142" s="315">
        <f t="shared" ca="1" si="11"/>
        <v>41987</v>
      </c>
      <c r="C142" s="319" t="str">
        <f t="shared" ca="1" si="12"/>
        <v/>
      </c>
      <c r="D142" s="317" t="str">
        <f t="shared" si="13"/>
        <v>E</v>
      </c>
      <c r="E142" s="317" t="str">
        <f t="shared" si="14"/>
        <v>ENT</v>
      </c>
      <c r="F142" s="317" t="str">
        <f t="shared" si="15"/>
        <v>SCC</v>
      </c>
      <c r="G142" s="317" t="str">
        <f t="shared" si="16"/>
        <v>SG</v>
      </c>
      <c r="H142" s="320">
        <f t="shared" ca="1" si="10"/>
        <v>0</v>
      </c>
      <c r="I142" s="202" t="s">
        <v>258</v>
      </c>
    </row>
    <row r="143" spans="1:9" s="1" customFormat="1" x14ac:dyDescent="0.25">
      <c r="A143" s="235"/>
      <c r="B143" s="315">
        <f t="shared" ca="1" si="11"/>
        <v>41987</v>
      </c>
      <c r="C143" s="319" t="str">
        <f t="shared" ca="1" si="12"/>
        <v/>
      </c>
      <c r="D143" s="317" t="str">
        <f t="shared" si="13"/>
        <v>E</v>
      </c>
      <c r="E143" s="317" t="str">
        <f t="shared" si="14"/>
        <v>ENT</v>
      </c>
      <c r="F143" s="317" t="str">
        <f t="shared" si="15"/>
        <v>SCC</v>
      </c>
      <c r="G143" s="317" t="str">
        <f t="shared" si="16"/>
        <v>SG</v>
      </c>
      <c r="H143" s="320">
        <f t="shared" ca="1" si="10"/>
        <v>0</v>
      </c>
      <c r="I143" s="202" t="s">
        <v>258</v>
      </c>
    </row>
    <row r="144" spans="1:9" s="1" customFormat="1" x14ac:dyDescent="0.25">
      <c r="A144" s="235"/>
      <c r="B144" s="315">
        <f t="shared" ca="1" si="11"/>
        <v>41987</v>
      </c>
      <c r="C144" s="319" t="str">
        <f t="shared" ca="1" si="12"/>
        <v/>
      </c>
      <c r="D144" s="317" t="str">
        <f t="shared" si="13"/>
        <v>E</v>
      </c>
      <c r="E144" s="317" t="str">
        <f t="shared" si="14"/>
        <v>ENT</v>
      </c>
      <c r="F144" s="317" t="str">
        <f t="shared" si="15"/>
        <v>SCC</v>
      </c>
      <c r="G144" s="317" t="str">
        <f t="shared" si="16"/>
        <v>SG</v>
      </c>
      <c r="H144" s="320">
        <f t="shared" ca="1" si="10"/>
        <v>0</v>
      </c>
      <c r="I144" s="202" t="s">
        <v>258</v>
      </c>
    </row>
    <row r="145" spans="1:9" s="1" customFormat="1" x14ac:dyDescent="0.25">
      <c r="A145" s="235"/>
      <c r="B145" s="315">
        <f t="shared" ca="1" si="11"/>
        <v>41987</v>
      </c>
      <c r="C145" s="319" t="str">
        <f t="shared" ca="1" si="12"/>
        <v/>
      </c>
      <c r="D145" s="317" t="str">
        <f t="shared" si="13"/>
        <v>E</v>
      </c>
      <c r="E145" s="317" t="str">
        <f t="shared" si="14"/>
        <v>ENT</v>
      </c>
      <c r="F145" s="317" t="str">
        <f t="shared" si="15"/>
        <v>SCC</v>
      </c>
      <c r="G145" s="317" t="str">
        <f t="shared" si="16"/>
        <v>SG</v>
      </c>
      <c r="H145" s="320">
        <f t="shared" ca="1" si="10"/>
        <v>0</v>
      </c>
      <c r="I145" s="202" t="s">
        <v>258</v>
      </c>
    </row>
    <row r="146" spans="1:9" s="1" customFormat="1" x14ac:dyDescent="0.25">
      <c r="A146" s="235"/>
      <c r="B146" s="315">
        <f t="shared" ca="1" si="11"/>
        <v>41987</v>
      </c>
      <c r="C146" s="319" t="str">
        <f t="shared" ca="1" si="12"/>
        <v/>
      </c>
      <c r="D146" s="317" t="str">
        <f t="shared" si="13"/>
        <v>E</v>
      </c>
      <c r="E146" s="317" t="str">
        <f t="shared" si="14"/>
        <v>ENT</v>
      </c>
      <c r="F146" s="317" t="str">
        <f t="shared" si="15"/>
        <v>SCC</v>
      </c>
      <c r="G146" s="317" t="str">
        <f t="shared" si="16"/>
        <v>SG</v>
      </c>
      <c r="H146" s="320">
        <f t="shared" ca="1" si="10"/>
        <v>0</v>
      </c>
      <c r="I146" s="202" t="s">
        <v>258</v>
      </c>
    </row>
    <row r="147" spans="1:9" s="1" customFormat="1" x14ac:dyDescent="0.25">
      <c r="A147" s="235"/>
      <c r="B147" s="315">
        <f t="shared" ca="1" si="11"/>
        <v>41987</v>
      </c>
      <c r="C147" s="319" t="str">
        <f t="shared" ca="1" si="12"/>
        <v/>
      </c>
      <c r="D147" s="317" t="str">
        <f t="shared" si="13"/>
        <v>E</v>
      </c>
      <c r="E147" s="317" t="str">
        <f t="shared" si="14"/>
        <v>ENT</v>
      </c>
      <c r="F147" s="317" t="str">
        <f t="shared" si="15"/>
        <v>SCC</v>
      </c>
      <c r="G147" s="317" t="str">
        <f t="shared" si="16"/>
        <v>SG</v>
      </c>
      <c r="H147" s="320">
        <f t="shared" ca="1" si="10"/>
        <v>0</v>
      </c>
      <c r="I147" s="202" t="s">
        <v>258</v>
      </c>
    </row>
    <row r="148" spans="1:9" s="1" customFormat="1" x14ac:dyDescent="0.25">
      <c r="A148" s="235"/>
      <c r="B148" s="321">
        <f t="shared" ca="1" si="11"/>
        <v>41987</v>
      </c>
      <c r="C148" s="316" t="str">
        <f t="shared" ca="1" si="12"/>
        <v/>
      </c>
      <c r="D148" s="317" t="str">
        <f t="shared" si="13"/>
        <v>E</v>
      </c>
      <c r="E148" s="317" t="str">
        <f t="shared" si="14"/>
        <v>ENT</v>
      </c>
      <c r="F148" s="317" t="str">
        <f t="shared" si="15"/>
        <v>SCC</v>
      </c>
      <c r="G148" s="317" t="str">
        <f t="shared" si="16"/>
        <v>SG</v>
      </c>
      <c r="H148" s="320">
        <f t="shared" ca="1" si="10"/>
        <v>0</v>
      </c>
      <c r="I148" s="202" t="s">
        <v>258</v>
      </c>
    </row>
    <row r="149" spans="1:9" s="1" customFormat="1" x14ac:dyDescent="0.25">
      <c r="A149" s="235"/>
      <c r="B149" s="321">
        <f t="shared" ca="1" si="11"/>
        <v>41987</v>
      </c>
      <c r="C149" s="316" t="str">
        <f>B70</f>
        <v>Solde nourriture et boissons</v>
      </c>
      <c r="D149" s="317" t="str">
        <f>J70</f>
        <v>E</v>
      </c>
      <c r="E149" s="317" t="str">
        <f>K70</f>
        <v>ENT</v>
      </c>
      <c r="F149" s="317"/>
      <c r="G149" s="317">
        <f>L70</f>
        <v>0</v>
      </c>
      <c r="H149" s="320">
        <f ca="1">F70</f>
        <v>883.3</v>
      </c>
      <c r="I149" s="202"/>
    </row>
    <row r="150" spans="1:9" s="1" customFormat="1" x14ac:dyDescent="0.25">
      <c r="A150" s="235"/>
      <c r="B150" s="315">
        <f t="shared" ca="1" si="11"/>
        <v>41987</v>
      </c>
      <c r="C150" s="319" t="str">
        <f>B74</f>
        <v>Frais de location ou int. Hyp. Sans amortissement</v>
      </c>
      <c r="D150" s="317" t="str">
        <f t="shared" ref="D150:F151" si="17">J74</f>
        <v>L</v>
      </c>
      <c r="E150" s="317" t="str">
        <f t="shared" si="17"/>
        <v>LOY</v>
      </c>
      <c r="F150" s="317">
        <f t="shared" si="17"/>
        <v>4010</v>
      </c>
      <c r="G150" s="317" t="s">
        <v>261</v>
      </c>
      <c r="H150" s="320">
        <f ca="1">G74-F74</f>
        <v>-1250</v>
      </c>
      <c r="I150" s="202" t="s">
        <v>258</v>
      </c>
    </row>
    <row r="151" spans="1:9" s="1" customFormat="1" x14ac:dyDescent="0.25">
      <c r="A151" s="235"/>
      <c r="B151" s="315">
        <f t="shared" ca="1" si="11"/>
        <v>41987</v>
      </c>
      <c r="C151" s="319" t="str">
        <f>B75</f>
        <v>Charges locatives</v>
      </c>
      <c r="D151" s="317" t="str">
        <f t="shared" si="17"/>
        <v>L</v>
      </c>
      <c r="E151" s="317" t="str">
        <f t="shared" si="17"/>
        <v>CHA</v>
      </c>
      <c r="F151" s="317">
        <f t="shared" si="17"/>
        <v>4010</v>
      </c>
      <c r="G151" s="317" t="s">
        <v>261</v>
      </c>
      <c r="H151" s="320">
        <f>G75-F75</f>
        <v>0</v>
      </c>
      <c r="I151" s="202" t="s">
        <v>258</v>
      </c>
    </row>
    <row r="152" spans="1:9" x14ac:dyDescent="0.25">
      <c r="B152" s="315">
        <f t="shared" ca="1" si="11"/>
        <v>41987</v>
      </c>
      <c r="C152" s="319" t="str">
        <f>B28</f>
        <v>Total des revenus</v>
      </c>
      <c r="D152" s="322" t="s">
        <v>33</v>
      </c>
      <c r="E152" s="322" t="str">
        <f>K28</f>
        <v>DIV</v>
      </c>
      <c r="F152" s="322"/>
      <c r="G152" s="322"/>
      <c r="H152" s="320">
        <f>-G28+F28</f>
        <v>193</v>
      </c>
      <c r="I152" s="202" t="s">
        <v>258</v>
      </c>
    </row>
    <row r="153" spans="1:9" x14ac:dyDescent="0.25">
      <c r="B153" s="315">
        <f t="shared" ca="1" si="11"/>
        <v>41987</v>
      </c>
      <c r="C153" s="319" t="str">
        <f>B33</f>
        <v>Total des suppléments d'intégration</v>
      </c>
      <c r="D153" s="322" t="s">
        <v>33</v>
      </c>
      <c r="E153" s="322" t="str">
        <f>K33</f>
        <v>SUP</v>
      </c>
      <c r="F153" s="322"/>
      <c r="G153" s="322"/>
      <c r="H153" s="320">
        <f>G33-F33</f>
        <v>500</v>
      </c>
      <c r="I153" s="202" t="s">
        <v>258</v>
      </c>
    </row>
    <row r="154" spans="1:9" x14ac:dyDescent="0.25">
      <c r="B154" s="315">
        <f t="shared" ca="1" si="11"/>
        <v>41987</v>
      </c>
      <c r="C154" s="319" t="str">
        <f>B96</f>
        <v>Total des prestations circonstancielles</v>
      </c>
      <c r="D154" s="322" t="s">
        <v>37</v>
      </c>
      <c r="E154" s="322" t="str">
        <f>K96</f>
        <v>CIR</v>
      </c>
      <c r="F154" s="322"/>
      <c r="G154" s="322"/>
      <c r="H154" s="320">
        <f>G96-F96</f>
        <v>6178.8</v>
      </c>
      <c r="I154" s="202" t="s">
        <v>258</v>
      </c>
    </row>
    <row r="155" spans="1:9" x14ac:dyDescent="0.25">
      <c r="B155" s="315">
        <f t="shared" ca="1" si="11"/>
        <v>41987</v>
      </c>
      <c r="C155" s="319" t="str">
        <f t="array" aca="1" ref="C155" ca="1">IF(ROW(A20)&gt;COUNTIF(bdlibel4,"&gt;&lt;"),"",INDEX(bdlibel4,SMALL(IF(bdlibel4&lt;&gt;"",ROW(bdlibel4)-51,""),ROW(A20))))</f>
        <v/>
      </c>
      <c r="D155" s="322" t="str">
        <f ca="1">VLOOKUP($C155,bdlibell4,2,0)</f>
        <v/>
      </c>
      <c r="E155" s="322"/>
      <c r="F155" s="322"/>
      <c r="G155" s="322"/>
      <c r="H155" s="320">
        <f ca="1">SUMIFS(F:F,B:B,C155)</f>
        <v>0</v>
      </c>
      <c r="I155" s="202" t="s">
        <v>258</v>
      </c>
    </row>
    <row r="156" spans="1:9" x14ac:dyDescent="0.25">
      <c r="B156" s="315">
        <f t="shared" ca="1" si="11"/>
        <v>41987</v>
      </c>
      <c r="C156" s="319" t="str">
        <f t="array" aca="1" ref="C156" ca="1">IF(ROW(A21)&gt;COUNTIF(bdlibel4,"&gt;&lt;"),"",INDEX(bdlibel4,SMALL(IF(bdlibel4&lt;&gt;"",ROW(bdlibel4)-51,""),ROW(A21))))</f>
        <v/>
      </c>
      <c r="D156" s="322" t="str">
        <f ca="1">VLOOKUP($C156,bdlibell4,2,0)</f>
        <v/>
      </c>
      <c r="E156" s="322"/>
      <c r="F156" s="322"/>
      <c r="G156" s="322"/>
      <c r="H156" s="320">
        <f ca="1">SUMIFS(F:F,B:B,C156)</f>
        <v>0</v>
      </c>
      <c r="I156" s="202" t="s">
        <v>258</v>
      </c>
    </row>
    <row r="157" spans="1:9" x14ac:dyDescent="0.25">
      <c r="B157" s="315">
        <f t="shared" ca="1" si="11"/>
        <v>41987</v>
      </c>
      <c r="C157" s="319" t="str">
        <f t="array" aca="1" ref="C157" ca="1">IF(ROW(A22)&gt;COUNTIF(bdlibel4,"&gt;&lt;"),"",INDEX(bdlibel4,SMALL(IF(bdlibel4&lt;&gt;"",ROW(bdlibel4)-51,""),ROW(A22))))</f>
        <v/>
      </c>
      <c r="D157" s="322" t="str">
        <f ca="1">VLOOKUP($C157,bdlibell4,2,0)</f>
        <v/>
      </c>
      <c r="E157" s="322"/>
      <c r="F157" s="322"/>
      <c r="G157" s="322"/>
      <c r="H157" s="320">
        <f ca="1">SUMIFS(F:F,B:B,C157)</f>
        <v>0</v>
      </c>
      <c r="I157" s="202" t="s">
        <v>258</v>
      </c>
    </row>
    <row r="158" spans="1:9" x14ac:dyDescent="0.25">
      <c r="B158" s="315">
        <f t="shared" ca="1" si="11"/>
        <v>41987</v>
      </c>
      <c r="C158" s="319" t="str">
        <f t="array" aca="1" ref="C158" ca="1">IF(ROW(A23)&gt;COUNTIF(bdlibel4,"&gt;&lt;"),"",INDEX(bdlibel4,SMALL(IF(bdlibel4&lt;&gt;"",ROW(bdlibel4)-51,""),ROW(A23))))</f>
        <v/>
      </c>
      <c r="D158" s="322" t="str">
        <f ca="1">VLOOKUP($C158,bdlibell4,2,0)</f>
        <v/>
      </c>
      <c r="E158" s="322"/>
      <c r="F158" s="322"/>
      <c r="G158" s="322"/>
      <c r="H158" s="320">
        <f ca="1">SUMIFS(F:F,B:B,C158)</f>
        <v>0</v>
      </c>
      <c r="I158" s="203"/>
    </row>
    <row r="159" spans="1:9" x14ac:dyDescent="0.25">
      <c r="B159" s="315">
        <f t="shared" ca="1" si="11"/>
        <v>41987</v>
      </c>
      <c r="C159" s="319" t="str">
        <f>B107</f>
        <v>Versé/Prélevé en compte de gestion</v>
      </c>
      <c r="D159" s="317"/>
      <c r="E159" s="317"/>
      <c r="F159" s="317" t="s">
        <v>276</v>
      </c>
      <c r="G159" s="317" t="s">
        <v>275</v>
      </c>
      <c r="H159" s="320">
        <f ca="1">H107</f>
        <v>5832.8</v>
      </c>
      <c r="I159" s="202"/>
    </row>
    <row r="160" spans="1:9" x14ac:dyDescent="0.25">
      <c r="B160" s="315">
        <f t="shared" ca="1" si="11"/>
        <v>41987</v>
      </c>
      <c r="C160" s="319" t="s">
        <v>242</v>
      </c>
      <c r="D160" s="319"/>
      <c r="E160" s="319"/>
      <c r="F160" s="319">
        <v>1000</v>
      </c>
      <c r="G160" s="316">
        <v>4010</v>
      </c>
      <c r="H160" s="320">
        <f>G106</f>
        <v>401</v>
      </c>
      <c r="I160" s="203"/>
    </row>
    <row r="161" spans="1:14" x14ac:dyDescent="0.25">
      <c r="B161" s="200"/>
      <c r="C161" s="203"/>
      <c r="D161" s="203"/>
      <c r="E161" s="203"/>
      <c r="F161" s="203"/>
      <c r="G161" s="203"/>
      <c r="H161" s="204"/>
      <c r="I161" s="203"/>
      <c r="N161" s="25"/>
    </row>
    <row r="162" spans="1:14" ht="15.75" thickBot="1" x14ac:dyDescent="0.3">
      <c r="B162" s="200"/>
      <c r="C162" s="202" t="s">
        <v>245</v>
      </c>
      <c r="D162" s="202" t="str">
        <f>C2</f>
        <v>janvier</v>
      </c>
      <c r="E162" s="202"/>
      <c r="F162" s="202"/>
      <c r="G162" s="202"/>
      <c r="H162" s="206">
        <f ca="1">SUM(H122:H161)</f>
        <v>12759.900000000001</v>
      </c>
      <c r="I162" s="203"/>
      <c r="N162" s="25"/>
    </row>
    <row r="163" spans="1:14" ht="15.75" thickTop="1" x14ac:dyDescent="0.25">
      <c r="B163" s="200"/>
      <c r="C163" s="202"/>
      <c r="D163" s="202"/>
      <c r="E163" s="202"/>
      <c r="F163" s="202"/>
      <c r="G163" s="202"/>
      <c r="H163" s="325"/>
      <c r="I163" s="203"/>
      <c r="N163" s="25"/>
    </row>
    <row r="164" spans="1:14" ht="21" x14ac:dyDescent="0.25">
      <c r="B164" s="358" t="str">
        <f>B119</f>
        <v>Nicole Villet</v>
      </c>
      <c r="C164" s="369"/>
      <c r="D164" s="237">
        <f>D119</f>
        <v>977</v>
      </c>
      <c r="E164" s="358" t="s">
        <v>67</v>
      </c>
      <c r="F164" s="369"/>
      <c r="G164" s="369"/>
      <c r="H164" s="369"/>
    </row>
    <row r="165" spans="1:14" ht="21" x14ac:dyDescent="0.25">
      <c r="B165" s="357" t="str">
        <f>C2</f>
        <v>janvier</v>
      </c>
      <c r="C165" s="357"/>
      <c r="D165" s="357"/>
      <c r="E165" s="357">
        <f>E2</f>
        <v>2015</v>
      </c>
      <c r="F165" s="357"/>
      <c r="G165" s="357"/>
      <c r="H165" s="357"/>
    </row>
    <row r="166" spans="1:14" s="1" customFormat="1" x14ac:dyDescent="0.25">
      <c r="A166" s="235"/>
      <c r="B166" s="313" t="s">
        <v>64</v>
      </c>
      <c r="C166" s="314" t="s">
        <v>65</v>
      </c>
      <c r="D166" s="314" t="s">
        <v>28</v>
      </c>
      <c r="E166" s="314" t="s">
        <v>66</v>
      </c>
      <c r="F166" s="314" t="s">
        <v>49</v>
      </c>
      <c r="G166" s="314" t="s">
        <v>49</v>
      </c>
      <c r="H166" s="314" t="s">
        <v>223</v>
      </c>
    </row>
    <row r="167" spans="1:14" s="203" customFormat="1" ht="12.75" x14ac:dyDescent="0.2">
      <c r="A167" s="235"/>
      <c r="B167" s="321">
        <f t="shared" ref="B167:B205" ca="1" si="18">TODAY()</f>
        <v>41987</v>
      </c>
      <c r="C167" s="316" t="str">
        <f>B36</f>
        <v>CSS</v>
      </c>
      <c r="D167" s="317" t="str">
        <f>J36</f>
        <v>E</v>
      </c>
      <c r="E167" s="317" t="str">
        <f>K36</f>
        <v>LCA</v>
      </c>
      <c r="F167" s="317"/>
      <c r="G167" s="317">
        <f>L36</f>
        <v>0</v>
      </c>
      <c r="H167" s="318">
        <f>F36</f>
        <v>12.4</v>
      </c>
      <c r="J167" s="202"/>
      <c r="K167" s="202"/>
      <c r="L167" s="202"/>
      <c r="M167" s="202"/>
    </row>
    <row r="168" spans="1:14" s="203" customFormat="1" ht="12.75" x14ac:dyDescent="0.2">
      <c r="A168" s="235"/>
      <c r="B168" s="321">
        <f t="shared" ca="1" si="18"/>
        <v>41987</v>
      </c>
      <c r="C168" s="316" t="str">
        <f t="shared" ref="C168:C181" ca="1" si="19">B37</f>
        <v>Impôts communaux</v>
      </c>
      <c r="D168" s="317" t="str">
        <f t="shared" ref="D168:D181" si="20">J37</f>
        <v>E</v>
      </c>
      <c r="E168" s="317" t="str">
        <f t="shared" ref="E168:E181" si="21">K37</f>
        <v>ENT</v>
      </c>
      <c r="F168" s="317"/>
      <c r="G168" s="317">
        <f t="shared" ref="G168:G181" si="22">L37</f>
        <v>0</v>
      </c>
      <c r="H168" s="318">
        <f t="shared" ref="H168:H181" ca="1" si="23">F37</f>
        <v>0</v>
      </c>
      <c r="J168" s="202"/>
      <c r="K168" s="202"/>
      <c r="L168" s="202"/>
      <c r="M168" s="202"/>
    </row>
    <row r="169" spans="1:14" s="203" customFormat="1" ht="12.75" x14ac:dyDescent="0.2">
      <c r="A169" s="235"/>
      <c r="B169" s="321">
        <f t="shared" ca="1" si="18"/>
        <v>41987</v>
      </c>
      <c r="C169" s="316" t="str">
        <f t="shared" ca="1" si="19"/>
        <v>Impôts cantonaux</v>
      </c>
      <c r="D169" s="317" t="str">
        <f t="shared" si="20"/>
        <v>E</v>
      </c>
      <c r="E169" s="317" t="str">
        <f t="shared" si="21"/>
        <v>ENT</v>
      </c>
      <c r="F169" s="317"/>
      <c r="G169" s="317">
        <f t="shared" si="22"/>
        <v>0</v>
      </c>
      <c r="H169" s="318">
        <f t="shared" ca="1" si="23"/>
        <v>82.3</v>
      </c>
      <c r="J169" s="202"/>
      <c r="K169" s="202"/>
      <c r="L169" s="202"/>
      <c r="M169" s="202"/>
    </row>
    <row r="170" spans="1:14" s="203" customFormat="1" ht="12.75" x14ac:dyDescent="0.2">
      <c r="A170" s="235"/>
      <c r="B170" s="321">
        <f t="shared" ca="1" si="18"/>
        <v>41987</v>
      </c>
      <c r="C170" s="316" t="str">
        <f t="shared" ca="1" si="19"/>
        <v/>
      </c>
      <c r="D170" s="317" t="str">
        <f t="shared" si="20"/>
        <v>E</v>
      </c>
      <c r="E170" s="317" t="str">
        <f t="shared" si="21"/>
        <v>ENT</v>
      </c>
      <c r="F170" s="317"/>
      <c r="G170" s="317">
        <f t="shared" si="22"/>
        <v>0</v>
      </c>
      <c r="H170" s="318">
        <f t="shared" ca="1" si="23"/>
        <v>0</v>
      </c>
      <c r="J170" s="202"/>
      <c r="K170" s="202"/>
      <c r="L170" s="202"/>
      <c r="M170" s="202"/>
    </row>
    <row r="171" spans="1:14" s="203" customFormat="1" ht="12.75" x14ac:dyDescent="0.2">
      <c r="A171" s="235"/>
      <c r="B171" s="321">
        <f t="shared" ca="1" si="18"/>
        <v>41987</v>
      </c>
      <c r="C171" s="316" t="str">
        <f t="shared" ca="1" si="19"/>
        <v/>
      </c>
      <c r="D171" s="317" t="str">
        <f t="shared" si="20"/>
        <v>E</v>
      </c>
      <c r="E171" s="317" t="str">
        <f t="shared" si="21"/>
        <v>ENT</v>
      </c>
      <c r="F171" s="317"/>
      <c r="G171" s="317">
        <f t="shared" si="22"/>
        <v>0</v>
      </c>
      <c r="H171" s="318">
        <f t="shared" ca="1" si="23"/>
        <v>0</v>
      </c>
      <c r="J171" s="202"/>
      <c r="K171" s="202"/>
      <c r="L171" s="202"/>
      <c r="M171" s="202"/>
    </row>
    <row r="172" spans="1:14" s="203" customFormat="1" ht="12.75" x14ac:dyDescent="0.2">
      <c r="A172" s="235"/>
      <c r="B172" s="321">
        <f t="shared" ca="1" si="18"/>
        <v>41987</v>
      </c>
      <c r="C172" s="316" t="str">
        <f t="shared" ca="1" si="19"/>
        <v/>
      </c>
      <c r="D172" s="317" t="str">
        <f t="shared" si="20"/>
        <v>E</v>
      </c>
      <c r="E172" s="317" t="str">
        <f t="shared" si="21"/>
        <v>ENT</v>
      </c>
      <c r="F172" s="317"/>
      <c r="G172" s="317">
        <f t="shared" si="22"/>
        <v>0</v>
      </c>
      <c r="H172" s="318">
        <f t="shared" ca="1" si="23"/>
        <v>0</v>
      </c>
      <c r="J172" s="202"/>
      <c r="K172" s="202"/>
      <c r="L172" s="202"/>
      <c r="M172" s="202"/>
    </row>
    <row r="173" spans="1:14" s="203" customFormat="1" ht="12.75" x14ac:dyDescent="0.2">
      <c r="A173" s="235"/>
      <c r="B173" s="321">
        <f t="shared" ca="1" si="18"/>
        <v>41987</v>
      </c>
      <c r="C173" s="316" t="str">
        <f t="shared" ca="1" si="19"/>
        <v/>
      </c>
      <c r="D173" s="317" t="str">
        <f t="shared" si="20"/>
        <v>E</v>
      </c>
      <c r="E173" s="317" t="str">
        <f t="shared" si="21"/>
        <v>ENT</v>
      </c>
      <c r="F173" s="317"/>
      <c r="G173" s="317">
        <f t="shared" si="22"/>
        <v>0</v>
      </c>
      <c r="H173" s="318">
        <f t="shared" ca="1" si="23"/>
        <v>0</v>
      </c>
      <c r="J173" s="202"/>
      <c r="K173" s="202"/>
      <c r="L173" s="202"/>
      <c r="M173" s="202"/>
    </row>
    <row r="174" spans="1:14" s="203" customFormat="1" ht="12.75" x14ac:dyDescent="0.2">
      <c r="A174" s="235"/>
      <c r="B174" s="321">
        <f t="shared" ca="1" si="18"/>
        <v>41987</v>
      </c>
      <c r="C174" s="316" t="str">
        <f t="shared" ca="1" si="19"/>
        <v>tutu</v>
      </c>
      <c r="D174" s="317" t="str">
        <f t="shared" si="20"/>
        <v>E</v>
      </c>
      <c r="E174" s="317" t="str">
        <f t="shared" si="21"/>
        <v>ENT</v>
      </c>
      <c r="F174" s="317"/>
      <c r="G174" s="317">
        <f t="shared" si="22"/>
        <v>0</v>
      </c>
      <c r="H174" s="318">
        <f t="shared" ca="1" si="23"/>
        <v>12</v>
      </c>
      <c r="J174" s="202"/>
      <c r="K174" s="202"/>
      <c r="L174" s="202"/>
      <c r="M174" s="202"/>
    </row>
    <row r="175" spans="1:14" s="203" customFormat="1" ht="12.75" x14ac:dyDescent="0.2">
      <c r="A175" s="235"/>
      <c r="B175" s="321">
        <f t="shared" ca="1" si="18"/>
        <v>41987</v>
      </c>
      <c r="C175" s="316" t="str">
        <f t="shared" ca="1" si="19"/>
        <v/>
      </c>
      <c r="D175" s="317" t="str">
        <f t="shared" si="20"/>
        <v>E</v>
      </c>
      <c r="E175" s="317" t="str">
        <f t="shared" si="21"/>
        <v>ENT</v>
      </c>
      <c r="F175" s="317"/>
      <c r="G175" s="317">
        <f t="shared" si="22"/>
        <v>0</v>
      </c>
      <c r="H175" s="318">
        <f t="shared" ca="1" si="23"/>
        <v>0</v>
      </c>
      <c r="J175" s="202"/>
      <c r="K175" s="202"/>
      <c r="L175" s="202"/>
      <c r="M175" s="202"/>
    </row>
    <row r="176" spans="1:14" s="203" customFormat="1" ht="12.75" x14ac:dyDescent="0.2">
      <c r="A176" s="235"/>
      <c r="B176" s="321">
        <f t="shared" ca="1" si="18"/>
        <v>41987</v>
      </c>
      <c r="C176" s="316" t="str">
        <f t="shared" ca="1" si="19"/>
        <v/>
      </c>
      <c r="D176" s="317" t="str">
        <f t="shared" si="20"/>
        <v>E</v>
      </c>
      <c r="E176" s="317" t="str">
        <f t="shared" si="21"/>
        <v>ENT</v>
      </c>
      <c r="F176" s="317"/>
      <c r="G176" s="317">
        <f t="shared" si="22"/>
        <v>0</v>
      </c>
      <c r="H176" s="318">
        <f t="shared" ca="1" si="23"/>
        <v>0</v>
      </c>
      <c r="J176" s="202"/>
      <c r="K176" s="202"/>
      <c r="L176" s="202"/>
      <c r="M176" s="202"/>
    </row>
    <row r="177" spans="1:13" s="203" customFormat="1" ht="12.75" x14ac:dyDescent="0.2">
      <c r="A177" s="235"/>
      <c r="B177" s="321">
        <f t="shared" ca="1" si="18"/>
        <v>41987</v>
      </c>
      <c r="C177" s="316" t="str">
        <f t="shared" ca="1" si="19"/>
        <v/>
      </c>
      <c r="D177" s="317" t="str">
        <f t="shared" si="20"/>
        <v>E</v>
      </c>
      <c r="E177" s="317" t="str">
        <f t="shared" si="21"/>
        <v>ENT</v>
      </c>
      <c r="F177" s="317"/>
      <c r="G177" s="317">
        <f t="shared" si="22"/>
        <v>0</v>
      </c>
      <c r="H177" s="318">
        <f t="shared" ca="1" si="23"/>
        <v>0</v>
      </c>
      <c r="J177" s="202"/>
      <c r="K177" s="202"/>
      <c r="L177" s="202"/>
      <c r="M177" s="202"/>
    </row>
    <row r="178" spans="1:13" s="203" customFormat="1" ht="12.75" x14ac:dyDescent="0.2">
      <c r="A178" s="235"/>
      <c r="B178" s="321">
        <f t="shared" ca="1" si="18"/>
        <v>41987</v>
      </c>
      <c r="C178" s="316" t="str">
        <f t="shared" ca="1" si="19"/>
        <v/>
      </c>
      <c r="D178" s="317" t="str">
        <f t="shared" si="20"/>
        <v>E</v>
      </c>
      <c r="E178" s="317" t="str">
        <f t="shared" si="21"/>
        <v>ENT</v>
      </c>
      <c r="F178" s="317"/>
      <c r="G178" s="317">
        <f t="shared" si="22"/>
        <v>0</v>
      </c>
      <c r="H178" s="318">
        <f t="shared" ca="1" si="23"/>
        <v>0</v>
      </c>
      <c r="J178" s="202"/>
      <c r="K178" s="202"/>
      <c r="L178" s="202"/>
      <c r="M178" s="202"/>
    </row>
    <row r="179" spans="1:13" s="203" customFormat="1" ht="12.75" x14ac:dyDescent="0.2">
      <c r="A179" s="235"/>
      <c r="B179" s="321">
        <f t="shared" ca="1" si="18"/>
        <v>41987</v>
      </c>
      <c r="C179" s="316" t="str">
        <f t="shared" ca="1" si="19"/>
        <v/>
      </c>
      <c r="D179" s="317" t="str">
        <f t="shared" si="20"/>
        <v>E</v>
      </c>
      <c r="E179" s="317" t="str">
        <f t="shared" si="21"/>
        <v>ENT</v>
      </c>
      <c r="F179" s="317"/>
      <c r="G179" s="317">
        <f t="shared" si="22"/>
        <v>0</v>
      </c>
      <c r="H179" s="318">
        <f t="shared" ca="1" si="23"/>
        <v>0</v>
      </c>
      <c r="J179" s="202"/>
      <c r="K179" s="202"/>
      <c r="L179" s="202"/>
      <c r="M179" s="202"/>
    </row>
    <row r="180" spans="1:13" s="203" customFormat="1" ht="12.75" x14ac:dyDescent="0.2">
      <c r="A180" s="235"/>
      <c r="B180" s="321">
        <f t="shared" ca="1" si="18"/>
        <v>41987</v>
      </c>
      <c r="C180" s="316" t="str">
        <f t="shared" ca="1" si="19"/>
        <v/>
      </c>
      <c r="D180" s="317" t="str">
        <f t="shared" si="20"/>
        <v>E</v>
      </c>
      <c r="E180" s="317" t="str">
        <f t="shared" si="21"/>
        <v>ENT</v>
      </c>
      <c r="F180" s="317"/>
      <c r="G180" s="317">
        <f t="shared" si="22"/>
        <v>0</v>
      </c>
      <c r="H180" s="318">
        <f t="shared" ca="1" si="23"/>
        <v>0</v>
      </c>
      <c r="J180" s="202"/>
      <c r="K180" s="202"/>
      <c r="L180" s="202"/>
      <c r="M180" s="202"/>
    </row>
    <row r="181" spans="1:13" s="203" customFormat="1" ht="12.75" x14ac:dyDescent="0.2">
      <c r="A181" s="235"/>
      <c r="B181" s="321">
        <f t="shared" ca="1" si="18"/>
        <v>41987</v>
      </c>
      <c r="C181" s="316" t="str">
        <f t="shared" ca="1" si="19"/>
        <v/>
      </c>
      <c r="D181" s="317" t="str">
        <f t="shared" si="20"/>
        <v>E</v>
      </c>
      <c r="E181" s="317" t="str">
        <f t="shared" si="21"/>
        <v>ENT</v>
      </c>
      <c r="F181" s="317"/>
      <c r="G181" s="317">
        <f t="shared" si="22"/>
        <v>0</v>
      </c>
      <c r="H181" s="318">
        <f t="shared" ca="1" si="23"/>
        <v>0</v>
      </c>
      <c r="J181" s="202"/>
      <c r="K181" s="202"/>
      <c r="L181" s="202"/>
      <c r="M181" s="202"/>
    </row>
    <row r="182" spans="1:13" s="203" customFormat="1" ht="12.75" x14ac:dyDescent="0.2">
      <c r="A182" s="235"/>
      <c r="B182" s="321">
        <f t="shared" ca="1" si="18"/>
        <v>41987</v>
      </c>
      <c r="C182" s="316">
        <f>B65</f>
        <v>0</v>
      </c>
      <c r="D182" s="317" t="str">
        <f t="shared" ref="D182:E186" si="24">J65</f>
        <v>E</v>
      </c>
      <c r="E182" s="317" t="str">
        <f t="shared" si="24"/>
        <v>ENT</v>
      </c>
      <c r="F182" s="317"/>
      <c r="G182" s="317">
        <f>L65</f>
        <v>0</v>
      </c>
      <c r="H182" s="318">
        <f>F65</f>
        <v>0</v>
      </c>
      <c r="J182" s="202"/>
      <c r="K182" s="202"/>
      <c r="L182" s="202"/>
      <c r="M182" s="202"/>
    </row>
    <row r="183" spans="1:13" s="203" customFormat="1" ht="12.75" x14ac:dyDescent="0.2">
      <c r="A183" s="235"/>
      <c r="B183" s="321">
        <f t="shared" ca="1" si="18"/>
        <v>41987</v>
      </c>
      <c r="C183" s="316">
        <f>B66</f>
        <v>0</v>
      </c>
      <c r="D183" s="317" t="str">
        <f t="shared" si="24"/>
        <v>E</v>
      </c>
      <c r="E183" s="317" t="str">
        <f t="shared" si="24"/>
        <v>ENT</v>
      </c>
      <c r="F183" s="317"/>
      <c r="G183" s="317">
        <f>L66</f>
        <v>0</v>
      </c>
      <c r="H183" s="318">
        <f>F66</f>
        <v>0</v>
      </c>
      <c r="J183" s="202"/>
      <c r="K183" s="202"/>
      <c r="L183" s="202"/>
      <c r="M183" s="202"/>
    </row>
    <row r="184" spans="1:13" s="203" customFormat="1" ht="12.75" x14ac:dyDescent="0.2">
      <c r="A184" s="235"/>
      <c r="B184" s="321">
        <f t="shared" ca="1" si="18"/>
        <v>41987</v>
      </c>
      <c r="C184" s="316">
        <f>B67</f>
        <v>0</v>
      </c>
      <c r="D184" s="317" t="str">
        <f t="shared" si="24"/>
        <v>E</v>
      </c>
      <c r="E184" s="317" t="str">
        <f t="shared" si="24"/>
        <v>ENT</v>
      </c>
      <c r="F184" s="317"/>
      <c r="G184" s="317">
        <f>L67</f>
        <v>0</v>
      </c>
      <c r="H184" s="318">
        <f>F67</f>
        <v>0</v>
      </c>
      <c r="J184" s="202"/>
      <c r="K184" s="202"/>
      <c r="L184" s="202"/>
      <c r="M184" s="202"/>
    </row>
    <row r="185" spans="1:13" s="203" customFormat="1" ht="12.75" x14ac:dyDescent="0.2">
      <c r="A185" s="235"/>
      <c r="B185" s="321">
        <f t="shared" ca="1" si="18"/>
        <v>41987</v>
      </c>
      <c r="C185" s="316">
        <f>B68</f>
        <v>0</v>
      </c>
      <c r="D185" s="317" t="str">
        <f t="shared" si="24"/>
        <v>E</v>
      </c>
      <c r="E185" s="317" t="str">
        <f t="shared" si="24"/>
        <v>ENT</v>
      </c>
      <c r="F185" s="317"/>
      <c r="G185" s="317">
        <f>L68</f>
        <v>0</v>
      </c>
      <c r="H185" s="318">
        <f>F68</f>
        <v>0</v>
      </c>
      <c r="J185" s="202"/>
      <c r="K185" s="202"/>
      <c r="L185" s="202"/>
      <c r="M185" s="202"/>
    </row>
    <row r="186" spans="1:13" s="203" customFormat="1" ht="12.75" x14ac:dyDescent="0.2">
      <c r="A186" s="235"/>
      <c r="B186" s="321">
        <f t="shared" ca="1" si="18"/>
        <v>41987</v>
      </c>
      <c r="C186" s="316">
        <f>B69</f>
        <v>0</v>
      </c>
      <c r="D186" s="317" t="str">
        <f t="shared" si="24"/>
        <v>E</v>
      </c>
      <c r="E186" s="317" t="str">
        <f t="shared" si="24"/>
        <v>ENT</v>
      </c>
      <c r="F186" s="317"/>
      <c r="G186" s="317">
        <f>L69</f>
        <v>0</v>
      </c>
      <c r="H186" s="318">
        <f>F69</f>
        <v>0</v>
      </c>
      <c r="J186" s="202"/>
      <c r="K186" s="202"/>
      <c r="L186" s="202"/>
      <c r="M186" s="202"/>
    </row>
    <row r="187" spans="1:13" s="203" customFormat="1" ht="12.75" x14ac:dyDescent="0.2">
      <c r="A187" s="235"/>
      <c r="B187" s="321">
        <f t="shared" ca="1" si="18"/>
        <v>41987</v>
      </c>
      <c r="C187" s="316" t="str">
        <f>B74</f>
        <v>Frais de location ou int. Hyp. Sans amortissement</v>
      </c>
      <c r="D187" s="317" t="str">
        <f t="shared" ref="D187:G188" si="25">J74</f>
        <v>L</v>
      </c>
      <c r="E187" s="317" t="str">
        <f t="shared" si="25"/>
        <v>LOY</v>
      </c>
      <c r="F187" s="317">
        <f t="shared" si="25"/>
        <v>4010</v>
      </c>
      <c r="G187" s="317">
        <f t="shared" si="25"/>
        <v>2027</v>
      </c>
      <c r="H187" s="318">
        <f>F74</f>
        <v>2400</v>
      </c>
      <c r="J187" s="202"/>
      <c r="K187" s="202"/>
      <c r="L187" s="202"/>
      <c r="M187" s="202"/>
    </row>
    <row r="188" spans="1:13" s="203" customFormat="1" ht="12.75" x14ac:dyDescent="0.2">
      <c r="A188" s="235"/>
      <c r="B188" s="321">
        <f t="shared" ca="1" si="18"/>
        <v>41987</v>
      </c>
      <c r="C188" s="316" t="str">
        <f>B75</f>
        <v>Charges locatives</v>
      </c>
      <c r="D188" s="317" t="str">
        <f t="shared" si="25"/>
        <v>L</v>
      </c>
      <c r="E188" s="317" t="str">
        <f t="shared" si="25"/>
        <v>CHA</v>
      </c>
      <c r="F188" s="317">
        <f t="shared" si="25"/>
        <v>4010</v>
      </c>
      <c r="G188" s="317">
        <f t="shared" si="25"/>
        <v>2027</v>
      </c>
      <c r="H188" s="318">
        <f>F75</f>
        <v>270</v>
      </c>
      <c r="J188" s="202"/>
      <c r="K188" s="202"/>
      <c r="L188" s="202"/>
      <c r="M188" s="202"/>
    </row>
    <row r="189" spans="1:13" s="203" customFormat="1" ht="12.75" x14ac:dyDescent="0.2">
      <c r="A189" s="235"/>
      <c r="B189" s="321">
        <f t="shared" ca="1" si="18"/>
        <v>41987</v>
      </c>
      <c r="C189" s="316" t="str">
        <f>B78</f>
        <v>CSS</v>
      </c>
      <c r="D189" s="317" t="str">
        <f t="shared" ref="D189:D198" si="26">J78</f>
        <v>M</v>
      </c>
      <c r="E189" s="317" t="str">
        <f t="shared" ref="E189:E198" si="27">K78</f>
        <v>PM</v>
      </c>
      <c r="F189" s="317">
        <f t="shared" ref="F189:F198" si="28">L78</f>
        <v>4024</v>
      </c>
      <c r="G189" s="317">
        <f t="shared" ref="G189:G198" si="29">M78</f>
        <v>2027</v>
      </c>
      <c r="H189" s="318">
        <f>F78</f>
        <v>352.8</v>
      </c>
      <c r="J189" s="202"/>
      <c r="K189" s="202"/>
      <c r="L189" s="202"/>
      <c r="M189" s="202"/>
    </row>
    <row r="190" spans="1:13" s="203" customFormat="1" ht="12.75" x14ac:dyDescent="0.2">
      <c r="A190" s="235"/>
      <c r="B190" s="321">
        <f t="shared" ca="1" si="18"/>
        <v>41987</v>
      </c>
      <c r="C190" s="316" t="str">
        <f t="shared" ref="C190:C198" si="30">B79</f>
        <v>Subvention</v>
      </c>
      <c r="D190" s="317" t="str">
        <f t="shared" si="26"/>
        <v>M</v>
      </c>
      <c r="E190" s="317" t="str">
        <f t="shared" si="27"/>
        <v>PM</v>
      </c>
      <c r="F190" s="317">
        <f t="shared" si="28"/>
        <v>4024</v>
      </c>
      <c r="G190" s="317">
        <f t="shared" si="29"/>
        <v>2027</v>
      </c>
      <c r="H190" s="318">
        <f t="shared" ref="H190:H198" si="31">F79</f>
        <v>-12.8</v>
      </c>
      <c r="J190" s="202"/>
      <c r="K190" s="202"/>
      <c r="L190" s="202"/>
      <c r="M190" s="202"/>
    </row>
    <row r="191" spans="1:13" s="203" customFormat="1" ht="12.75" x14ac:dyDescent="0.2">
      <c r="A191" s="235"/>
      <c r="B191" s="321">
        <f t="shared" ca="1" si="18"/>
        <v>41987</v>
      </c>
      <c r="C191" s="316" t="str">
        <f t="shared" si="30"/>
        <v>CSS</v>
      </c>
      <c r="D191" s="317" t="str">
        <f t="shared" si="26"/>
        <v>M</v>
      </c>
      <c r="E191" s="317" t="str">
        <f t="shared" si="27"/>
        <v>MED</v>
      </c>
      <c r="F191" s="317">
        <f t="shared" si="28"/>
        <v>4023</v>
      </c>
      <c r="G191" s="317">
        <f t="shared" si="29"/>
        <v>2027</v>
      </c>
      <c r="H191" s="318">
        <f t="shared" si="31"/>
        <v>0</v>
      </c>
      <c r="J191" s="202"/>
      <c r="K191" s="202"/>
      <c r="L191" s="202"/>
      <c r="M191" s="202"/>
    </row>
    <row r="192" spans="1:13" s="203" customFormat="1" ht="12.75" x14ac:dyDescent="0.2">
      <c r="A192" s="235"/>
      <c r="B192" s="321">
        <f t="shared" ca="1" si="18"/>
        <v>41987</v>
      </c>
      <c r="C192" s="316" t="str">
        <f t="shared" si="30"/>
        <v>CSS</v>
      </c>
      <c r="D192" s="317" t="str">
        <f t="shared" si="26"/>
        <v>M</v>
      </c>
      <c r="E192" s="317" t="str">
        <f t="shared" si="27"/>
        <v>MED</v>
      </c>
      <c r="F192" s="317">
        <f t="shared" si="28"/>
        <v>4023</v>
      </c>
      <c r="G192" s="317">
        <f t="shared" si="29"/>
        <v>2027</v>
      </c>
      <c r="H192" s="318">
        <f t="shared" si="31"/>
        <v>0</v>
      </c>
      <c r="J192" s="202"/>
      <c r="K192" s="202"/>
      <c r="L192" s="202"/>
      <c r="M192" s="202"/>
    </row>
    <row r="193" spans="1:14" s="203" customFormat="1" ht="12.75" x14ac:dyDescent="0.2">
      <c r="A193" s="235"/>
      <c r="B193" s="321">
        <f t="shared" ca="1" si="18"/>
        <v>41987</v>
      </c>
      <c r="C193" s="316" t="str">
        <f t="shared" si="30"/>
        <v>CSS</v>
      </c>
      <c r="D193" s="317" t="str">
        <f t="shared" si="26"/>
        <v>M</v>
      </c>
      <c r="E193" s="317" t="str">
        <f t="shared" si="27"/>
        <v>MED</v>
      </c>
      <c r="F193" s="317">
        <f t="shared" si="28"/>
        <v>4023</v>
      </c>
      <c r="G193" s="317">
        <f t="shared" si="29"/>
        <v>2027</v>
      </c>
      <c r="H193" s="318">
        <f t="shared" si="31"/>
        <v>26.8</v>
      </c>
      <c r="J193" s="202"/>
      <c r="K193" s="202"/>
      <c r="L193" s="202"/>
      <c r="M193" s="202"/>
    </row>
    <row r="194" spans="1:14" s="203" customFormat="1" ht="12.75" x14ac:dyDescent="0.2">
      <c r="A194" s="235"/>
      <c r="B194" s="321">
        <f t="shared" ca="1" si="18"/>
        <v>41987</v>
      </c>
      <c r="C194" s="316" t="str">
        <f t="shared" si="30"/>
        <v>CSS</v>
      </c>
      <c r="D194" s="317" t="str">
        <f t="shared" si="26"/>
        <v>M</v>
      </c>
      <c r="E194" s="317" t="str">
        <f t="shared" si="27"/>
        <v>MED</v>
      </c>
      <c r="F194" s="317">
        <f t="shared" si="28"/>
        <v>4023</v>
      </c>
      <c r="G194" s="317">
        <f t="shared" si="29"/>
        <v>2027</v>
      </c>
      <c r="H194" s="318">
        <f t="shared" si="31"/>
        <v>0</v>
      </c>
      <c r="J194" s="202"/>
      <c r="K194" s="202"/>
      <c r="L194" s="202"/>
      <c r="M194" s="202"/>
    </row>
    <row r="195" spans="1:14" s="203" customFormat="1" ht="12.75" x14ac:dyDescent="0.2">
      <c r="A195" s="235"/>
      <c r="B195" s="321">
        <f t="shared" ca="1" si="18"/>
        <v>41987</v>
      </c>
      <c r="C195" s="316" t="str">
        <f t="shared" si="30"/>
        <v>CSS</v>
      </c>
      <c r="D195" s="317" t="str">
        <f t="shared" si="26"/>
        <v>M</v>
      </c>
      <c r="E195" s="317" t="str">
        <f t="shared" si="27"/>
        <v>MED</v>
      </c>
      <c r="F195" s="317">
        <f t="shared" si="28"/>
        <v>4023</v>
      </c>
      <c r="G195" s="317">
        <f t="shared" si="29"/>
        <v>2027</v>
      </c>
      <c r="H195" s="318">
        <f t="shared" si="31"/>
        <v>0</v>
      </c>
      <c r="J195" s="202"/>
      <c r="K195" s="202"/>
      <c r="L195" s="202"/>
      <c r="M195" s="202"/>
    </row>
    <row r="196" spans="1:14" s="203" customFormat="1" ht="12.75" x14ac:dyDescent="0.2">
      <c r="A196" s="235"/>
      <c r="B196" s="321">
        <f t="shared" ca="1" si="18"/>
        <v>41987</v>
      </c>
      <c r="C196" s="316" t="str">
        <f t="shared" si="30"/>
        <v>Caisse compensation</v>
      </c>
      <c r="D196" s="317" t="str">
        <f t="shared" si="26"/>
        <v>M</v>
      </c>
      <c r="E196" s="317" t="str">
        <f t="shared" si="27"/>
        <v>MED</v>
      </c>
      <c r="F196" s="317">
        <f t="shared" si="28"/>
        <v>4023</v>
      </c>
      <c r="G196" s="317">
        <f t="shared" si="29"/>
        <v>2027</v>
      </c>
      <c r="H196" s="318">
        <f t="shared" si="31"/>
        <v>0</v>
      </c>
      <c r="J196" s="202"/>
      <c r="K196" s="202"/>
      <c r="L196" s="202"/>
      <c r="M196" s="202"/>
    </row>
    <row r="197" spans="1:14" s="203" customFormat="1" ht="12.75" x14ac:dyDescent="0.2">
      <c r="A197" s="235"/>
      <c r="B197" s="321">
        <f t="shared" ca="1" si="18"/>
        <v>41987</v>
      </c>
      <c r="C197" s="316">
        <f t="shared" si="30"/>
        <v>0</v>
      </c>
      <c r="D197" s="317" t="str">
        <f t="shared" si="26"/>
        <v>M</v>
      </c>
      <c r="E197" s="317" t="str">
        <f t="shared" si="27"/>
        <v>MED</v>
      </c>
      <c r="F197" s="317">
        <f t="shared" si="28"/>
        <v>4023</v>
      </c>
      <c r="G197" s="317">
        <f t="shared" si="29"/>
        <v>2027</v>
      </c>
      <c r="H197" s="318">
        <f t="shared" si="31"/>
        <v>0</v>
      </c>
      <c r="J197" s="202"/>
      <c r="K197" s="202"/>
      <c r="L197" s="202"/>
      <c r="M197" s="202"/>
    </row>
    <row r="198" spans="1:14" s="203" customFormat="1" ht="12.75" x14ac:dyDescent="0.2">
      <c r="A198" s="235"/>
      <c r="B198" s="321">
        <f t="shared" ca="1" si="18"/>
        <v>41987</v>
      </c>
      <c r="C198" s="316">
        <f t="shared" si="30"/>
        <v>0</v>
      </c>
      <c r="D198" s="317" t="str">
        <f t="shared" si="26"/>
        <v>M</v>
      </c>
      <c r="E198" s="317" t="str">
        <f t="shared" si="27"/>
        <v>MED</v>
      </c>
      <c r="F198" s="317">
        <f t="shared" si="28"/>
        <v>4023</v>
      </c>
      <c r="G198" s="317">
        <f t="shared" si="29"/>
        <v>2027</v>
      </c>
      <c r="H198" s="318">
        <f t="shared" si="31"/>
        <v>0</v>
      </c>
      <c r="J198" s="202"/>
      <c r="K198" s="202"/>
      <c r="L198" s="202"/>
      <c r="M198" s="202"/>
    </row>
    <row r="199" spans="1:14" s="203" customFormat="1" ht="12.75" x14ac:dyDescent="0.2">
      <c r="A199" s="235"/>
      <c r="B199" s="321">
        <f t="shared" ca="1" si="18"/>
        <v>41987</v>
      </c>
      <c r="C199" s="316" t="str">
        <f t="shared" ref="C199:C204" si="32">B90</f>
        <v>Frais de transports</v>
      </c>
      <c r="D199" s="317" t="str">
        <f>J90</f>
        <v>C</v>
      </c>
      <c r="E199" s="317" t="str">
        <f>K90</f>
        <v>CIR</v>
      </c>
      <c r="F199" s="317">
        <f>L90</f>
        <v>4010</v>
      </c>
      <c r="G199" s="317">
        <f t="shared" ref="G199:G204" si="33">M90</f>
        <v>2027</v>
      </c>
      <c r="H199" s="318">
        <f t="shared" ref="H199:H204" si="34">F90</f>
        <v>0</v>
      </c>
      <c r="J199" s="202"/>
      <c r="K199" s="202"/>
      <c r="L199" s="202"/>
      <c r="M199" s="202"/>
    </row>
    <row r="200" spans="1:14" s="203" customFormat="1" ht="12.75" x14ac:dyDescent="0.2">
      <c r="A200" s="235"/>
      <c r="B200" s="321">
        <f t="shared" ca="1" si="18"/>
        <v>41987</v>
      </c>
      <c r="C200" s="316" t="str">
        <f t="shared" si="32"/>
        <v>Repas pris hors du domicile</v>
      </c>
      <c r="D200" s="317" t="str">
        <f t="shared" ref="D200:F204" si="35">J91</f>
        <v>C</v>
      </c>
      <c r="E200" s="317" t="str">
        <f t="shared" si="35"/>
        <v>CIR</v>
      </c>
      <c r="F200" s="317">
        <f t="shared" si="35"/>
        <v>4010</v>
      </c>
      <c r="G200" s="317">
        <f t="shared" si="33"/>
        <v>2027</v>
      </c>
      <c r="H200" s="318">
        <f t="shared" si="34"/>
        <v>0</v>
      </c>
      <c r="J200" s="202"/>
      <c r="K200" s="202"/>
      <c r="L200" s="202"/>
      <c r="M200" s="202"/>
    </row>
    <row r="201" spans="1:14" s="203" customFormat="1" ht="12.75" x14ac:dyDescent="0.2">
      <c r="A201" s="235"/>
      <c r="B201" s="321">
        <f t="shared" ca="1" si="18"/>
        <v>41987</v>
      </c>
      <c r="C201" s="316">
        <f t="shared" si="32"/>
        <v>0</v>
      </c>
      <c r="D201" s="317" t="str">
        <f t="shared" ref="D201:E204" si="36">J92</f>
        <v>C</v>
      </c>
      <c r="E201" s="317" t="str">
        <f t="shared" si="36"/>
        <v>CIR</v>
      </c>
      <c r="F201" s="317">
        <f t="shared" si="35"/>
        <v>4010</v>
      </c>
      <c r="G201" s="317">
        <f t="shared" si="33"/>
        <v>2027</v>
      </c>
      <c r="H201" s="318">
        <f t="shared" si="34"/>
        <v>0</v>
      </c>
      <c r="J201" s="202"/>
      <c r="K201" s="202"/>
      <c r="L201" s="202"/>
      <c r="M201" s="202"/>
    </row>
    <row r="202" spans="1:14" s="203" customFormat="1" ht="12.75" x14ac:dyDescent="0.2">
      <c r="A202" s="235"/>
      <c r="B202" s="321">
        <f t="shared" ca="1" si="18"/>
        <v>41987</v>
      </c>
      <c r="C202" s="316">
        <f t="shared" si="32"/>
        <v>0</v>
      </c>
      <c r="D202" s="317" t="str">
        <f t="shared" si="36"/>
        <v>C</v>
      </c>
      <c r="E202" s="317" t="str">
        <f t="shared" si="36"/>
        <v>CIR</v>
      </c>
      <c r="F202" s="317">
        <f t="shared" si="35"/>
        <v>4010</v>
      </c>
      <c r="G202" s="317">
        <f t="shared" si="33"/>
        <v>2027</v>
      </c>
      <c r="H202" s="318">
        <f t="shared" si="34"/>
        <v>0</v>
      </c>
      <c r="J202" s="202"/>
      <c r="K202" s="202"/>
      <c r="L202" s="202"/>
      <c r="M202" s="202"/>
    </row>
    <row r="203" spans="1:14" s="203" customFormat="1" ht="12.75" x14ac:dyDescent="0.2">
      <c r="A203" s="235"/>
      <c r="B203" s="321">
        <f t="shared" ca="1" si="18"/>
        <v>41987</v>
      </c>
      <c r="C203" s="316">
        <f t="shared" si="32"/>
        <v>0</v>
      </c>
      <c r="D203" s="317">
        <f t="shared" si="36"/>
        <v>0</v>
      </c>
      <c r="E203" s="317">
        <f t="shared" si="36"/>
        <v>0</v>
      </c>
      <c r="F203" s="317">
        <f t="shared" si="35"/>
        <v>4010</v>
      </c>
      <c r="G203" s="317">
        <f t="shared" si="33"/>
        <v>2027</v>
      </c>
      <c r="H203" s="318">
        <f t="shared" si="34"/>
        <v>0</v>
      </c>
      <c r="J203" s="202"/>
      <c r="K203" s="202"/>
      <c r="L203" s="202"/>
      <c r="M203" s="202"/>
    </row>
    <row r="204" spans="1:14" s="203" customFormat="1" ht="12.75" x14ac:dyDescent="0.2">
      <c r="A204" s="235"/>
      <c r="B204" s="321">
        <f t="shared" ca="1" si="18"/>
        <v>41987</v>
      </c>
      <c r="C204" s="316">
        <f t="shared" si="32"/>
        <v>0</v>
      </c>
      <c r="D204" s="317">
        <f t="shared" si="36"/>
        <v>0</v>
      </c>
      <c r="E204" s="317">
        <f t="shared" si="36"/>
        <v>0</v>
      </c>
      <c r="F204" s="317">
        <f t="shared" si="35"/>
        <v>4010</v>
      </c>
      <c r="G204" s="317">
        <f t="shared" si="33"/>
        <v>2027</v>
      </c>
      <c r="H204" s="318">
        <f t="shared" si="34"/>
        <v>0</v>
      </c>
      <c r="J204" s="202"/>
      <c r="K204" s="202"/>
      <c r="L204" s="202"/>
      <c r="M204" s="202"/>
    </row>
    <row r="205" spans="1:14" s="203" customFormat="1" ht="12.75" x14ac:dyDescent="0.2">
      <c r="A205" s="235"/>
      <c r="B205" s="321">
        <f t="shared" ca="1" si="18"/>
        <v>41987</v>
      </c>
      <c r="C205" s="316" t="s">
        <v>259</v>
      </c>
      <c r="D205" s="317"/>
      <c r="E205" s="317"/>
      <c r="F205" s="317">
        <v>4010</v>
      </c>
      <c r="G205" s="317">
        <v>2027</v>
      </c>
      <c r="H205" s="318">
        <f>G105</f>
        <v>612</v>
      </c>
      <c r="J205" s="202"/>
      <c r="K205" s="202"/>
      <c r="L205" s="202"/>
      <c r="M205" s="202"/>
    </row>
    <row r="206" spans="1:14" s="203" customFormat="1" ht="12.75" x14ac:dyDescent="0.2">
      <c r="A206" s="235"/>
      <c r="B206" s="205"/>
      <c r="C206" s="151"/>
      <c r="D206" s="201"/>
      <c r="E206" s="201"/>
      <c r="F206" s="201"/>
      <c r="G206" s="201"/>
      <c r="H206" s="187"/>
      <c r="J206" s="202"/>
      <c r="K206" s="202"/>
      <c r="L206" s="202"/>
      <c r="M206" s="202"/>
    </row>
    <row r="207" spans="1:14" s="203" customFormat="1" ht="13.5" thickBot="1" x14ac:dyDescent="0.25">
      <c r="A207" s="229"/>
      <c r="B207" s="207"/>
      <c r="C207" s="202" t="s">
        <v>244</v>
      </c>
      <c r="D207" s="202" t="str">
        <f>C2</f>
        <v>janvier</v>
      </c>
      <c r="E207" s="202"/>
      <c r="F207" s="202"/>
      <c r="G207" s="202"/>
      <c r="H207" s="206">
        <f ca="1">SUM(H167:H206)</f>
        <v>3755.5</v>
      </c>
      <c r="N207" s="204"/>
    </row>
    <row r="208" spans="1:14" s="203" customFormat="1" ht="13.5" thickTop="1" x14ac:dyDescent="0.2">
      <c r="A208" s="235"/>
      <c r="B208" s="207"/>
      <c r="J208" s="202"/>
      <c r="K208" s="202"/>
      <c r="L208" s="202"/>
      <c r="M208" s="202"/>
      <c r="N208" s="204"/>
    </row>
    <row r="209" spans="1:14" s="203" customFormat="1" ht="13.5" thickBot="1" x14ac:dyDescent="0.25">
      <c r="A209" s="229"/>
      <c r="B209" s="207"/>
      <c r="C209" s="202" t="s">
        <v>247</v>
      </c>
      <c r="D209" s="202"/>
      <c r="E209" s="202"/>
      <c r="F209" s="202"/>
      <c r="G209" s="202"/>
      <c r="H209" s="208" t="str">
        <f ca="1">IF(H162+H207+G103-H205-H205=-G101,"c'est tout bon!!","t'as fait tout faux !!!")</f>
        <v>c'est tout bon!!</v>
      </c>
      <c r="N209" s="204"/>
    </row>
    <row r="210" spans="1:14" s="203" customFormat="1" ht="14.25" thickTop="1" thickBot="1" x14ac:dyDescent="0.25">
      <c r="A210" s="235"/>
      <c r="B210" s="207"/>
      <c r="J210" s="202"/>
      <c r="K210" s="202"/>
      <c r="L210" s="202"/>
      <c r="M210" s="202"/>
    </row>
    <row r="211" spans="1:14" s="203" customFormat="1" ht="13.5" thickTop="1" x14ac:dyDescent="0.2">
      <c r="A211" s="235"/>
      <c r="B211" s="207"/>
      <c r="E211" s="209" t="s">
        <v>262</v>
      </c>
      <c r="F211" s="210"/>
      <c r="G211" s="211" t="s">
        <v>261</v>
      </c>
      <c r="H211" s="212" t="s">
        <v>260</v>
      </c>
      <c r="J211" s="202"/>
      <c r="K211" s="202"/>
      <c r="L211" s="202"/>
      <c r="M211" s="202"/>
    </row>
    <row r="212" spans="1:14" s="203" customFormat="1" ht="12.75" x14ac:dyDescent="0.2">
      <c r="A212" s="235"/>
      <c r="B212" s="207"/>
      <c r="E212" s="213" t="s">
        <v>33</v>
      </c>
      <c r="F212" s="214"/>
      <c r="G212" s="215"/>
      <c r="H212" s="216">
        <f ca="1">SUMIFS(H122:H205,D122:D205,E212)</f>
        <v>659</v>
      </c>
      <c r="J212" s="202"/>
      <c r="K212" s="202"/>
      <c r="L212" s="202"/>
      <c r="M212" s="202"/>
    </row>
    <row r="213" spans="1:14" s="203" customFormat="1" ht="12.75" x14ac:dyDescent="0.2">
      <c r="A213" s="235"/>
      <c r="B213" s="207"/>
      <c r="E213" s="213" t="s">
        <v>31</v>
      </c>
      <c r="F213" s="214"/>
      <c r="G213" s="215"/>
      <c r="H213" s="216">
        <f ca="1">SUMIFS(H123:H206,D123:D206,E213)</f>
        <v>1045</v>
      </c>
      <c r="J213" s="202"/>
      <c r="K213" s="202"/>
      <c r="L213" s="202"/>
      <c r="M213" s="202"/>
    </row>
    <row r="214" spans="1:14" s="203" customFormat="1" ht="12.75" x14ac:dyDescent="0.2">
      <c r="A214" s="235"/>
      <c r="B214" s="207"/>
      <c r="E214" s="213" t="s">
        <v>39</v>
      </c>
      <c r="F214" s="214"/>
      <c r="G214" s="215"/>
      <c r="H214" s="216">
        <f ca="1">SUMIFS(H122:H205,D122:D205,E214)</f>
        <v>1420</v>
      </c>
      <c r="J214" s="202"/>
      <c r="K214" s="202"/>
      <c r="L214" s="202"/>
      <c r="M214" s="202"/>
    </row>
    <row r="215" spans="1:14" s="203" customFormat="1" ht="12.75" x14ac:dyDescent="0.2">
      <c r="A215" s="235"/>
      <c r="B215" s="207"/>
      <c r="E215" s="213" t="s">
        <v>37</v>
      </c>
      <c r="F215" s="214"/>
      <c r="G215" s="215"/>
      <c r="H215" s="216">
        <f ca="1">SUMIFS(H122:H205,D122:D205,E215)</f>
        <v>6178.8</v>
      </c>
      <c r="J215" s="202"/>
      <c r="K215" s="202"/>
      <c r="L215" s="202"/>
      <c r="M215" s="202"/>
    </row>
    <row r="216" spans="1:14" s="203" customFormat="1" ht="12.75" x14ac:dyDescent="0.2">
      <c r="A216" s="235"/>
      <c r="B216" s="207"/>
      <c r="E216" s="213" t="s">
        <v>35</v>
      </c>
      <c r="F216" s="214"/>
      <c r="G216" s="215"/>
      <c r="H216" s="216">
        <f ca="1">SUMIFS(H122:H205,D122:D205,E216)</f>
        <v>366.8</v>
      </c>
      <c r="J216" s="202"/>
      <c r="K216" s="202"/>
      <c r="L216" s="202"/>
      <c r="M216" s="202"/>
    </row>
    <row r="217" spans="1:14" s="203" customFormat="1" ht="13.5" thickBot="1" x14ac:dyDescent="0.25">
      <c r="A217" s="235"/>
      <c r="B217" s="207"/>
      <c r="E217" s="213" t="s">
        <v>258</v>
      </c>
      <c r="F217" s="214"/>
      <c r="G217" s="217">
        <f ca="1">SUMIFS(H122:H160,I122:I160,E217)</f>
        <v>5676.8</v>
      </c>
      <c r="H217" s="218"/>
      <c r="J217" s="202"/>
      <c r="K217" s="202"/>
      <c r="L217" s="202">
        <f>SUMIFS(H122:H161,I122:I161,I159)</f>
        <v>0</v>
      </c>
      <c r="M217" s="202"/>
    </row>
    <row r="218" spans="1:14" s="203" customFormat="1" ht="14.25" thickTop="1" thickBot="1" x14ac:dyDescent="0.25">
      <c r="A218" s="235"/>
      <c r="B218" s="207"/>
      <c r="E218" s="219"/>
      <c r="F218" s="220"/>
      <c r="G218" s="217">
        <f ca="1">SUM(G212:G217)</f>
        <v>5676.8</v>
      </c>
      <c r="H218" s="218">
        <f ca="1">SUM(H212:H217)</f>
        <v>9669.5999999999985</v>
      </c>
      <c r="J218" s="202"/>
      <c r="K218" s="202"/>
      <c r="L218" s="202"/>
      <c r="M218" s="202"/>
    </row>
    <row r="219" spans="1:14" ht="15.75" thickTop="1" x14ac:dyDescent="0.25">
      <c r="G219" s="25"/>
    </row>
    <row r="220" spans="1:14" x14ac:dyDescent="0.25">
      <c r="G220" s="25"/>
    </row>
  </sheetData>
  <sheetProtection sheet="1" objects="1" scenarios="1" formatCells="0" formatColumns="0" formatRows="0" insertColumns="0" insertRows="0" insertHyperlinks="0" deleteColumns="0" deleteRows="0" sort="0" autoFilter="0" pivotTables="0"/>
  <protectedRanges>
    <protectedRange sqref="G105:G106" name="Plage4"/>
    <protectedRange sqref="B92:F95" name="Plage3"/>
    <protectedRange sqref="B65:F69" name="Plage2"/>
    <protectedRange sqref="N31:N32" name="Plage1"/>
  </protectedRanges>
  <dataConsolidate/>
  <mergeCells count="13">
    <mergeCell ref="B165:D165"/>
    <mergeCell ref="E165:H165"/>
    <mergeCell ref="B1:H1"/>
    <mergeCell ref="B27:D27"/>
    <mergeCell ref="B30:D30"/>
    <mergeCell ref="B31:D31"/>
    <mergeCell ref="B32:D32"/>
    <mergeCell ref="B35:H35"/>
    <mergeCell ref="B120:D120"/>
    <mergeCell ref="E120:H120"/>
    <mergeCell ref="E119:H119"/>
    <mergeCell ref="B164:C164"/>
    <mergeCell ref="E164:H164"/>
  </mergeCells>
  <dataValidations count="2">
    <dataValidation type="list" allowBlank="1" showInputMessage="1" showErrorMessage="1" sqref="B27:B28">
      <formula1>Ressources</formula1>
    </dataValidation>
    <dataValidation allowBlank="1" showInputMessage="1" showErrorMessage="1" promptTitle="renevus" sqref="B13:B21"/>
  </dataValidations>
  <printOptions horizontalCentered="1" verticalCentered="1"/>
  <pageMargins left="0.23622047244094491" right="0.23622047244094491" top="0.35433070866141736" bottom="0.35433070866141736" header="0.31496062992125984" footer="0.31496062992125984"/>
  <pageSetup paperSize="9" scale="90" fitToHeight="0" orientation="portrait" errors="blank" r:id="rId1"/>
  <ignoredErrors>
    <ignoredError sqref="B40:C40" emptyCellReference="1"/>
  </ignoredErrors>
  <drawing r:id="rId2"/>
  <legacyDrawing r:id="rId3"/>
  <mc:AlternateContent xmlns:mc="http://schemas.openxmlformats.org/markup-compatibility/2006">
    <mc:Choice Requires="x14">
      <controls>
        <mc:AlternateContent xmlns:mc="http://schemas.openxmlformats.org/markup-compatibility/2006">
          <mc:Choice Requires="x14">
            <control shapeId="3078" r:id="rId4" name="Button 6">
              <controlPr defaultSize="0" print="0" autoFill="0" autoPict="0" macro="[0]!ImpressionSélective">
                <anchor moveWithCells="1">
                  <from>
                    <xdr:col>9</xdr:col>
                    <xdr:colOff>0</xdr:colOff>
                    <xdr:row>0</xdr:row>
                    <xdr:rowOff>152400</xdr:rowOff>
                  </from>
                  <to>
                    <xdr:col>14</xdr:col>
                    <xdr:colOff>676275</xdr:colOff>
                    <xdr:row>2</xdr:row>
                    <xdr:rowOff>9525</xdr:rowOff>
                  </to>
                </anchor>
              </controlPr>
            </control>
          </mc:Choice>
        </mc:AlternateContent>
        <mc:AlternateContent xmlns:mc="http://schemas.openxmlformats.org/markup-compatibility/2006">
          <mc:Choice Requires="x14">
            <control shapeId="3080" r:id="rId5" name="Button 8">
              <controlPr defaultSize="0" print="0" autoFill="0" autoPict="0" macro="[0]!ImpresSélect">
                <anchor moveWithCells="1">
                  <from>
                    <xdr:col>9</xdr:col>
                    <xdr:colOff>19050</xdr:colOff>
                    <xdr:row>3</xdr:row>
                    <xdr:rowOff>9525</xdr:rowOff>
                  </from>
                  <to>
                    <xdr:col>14</xdr:col>
                    <xdr:colOff>685800</xdr:colOff>
                    <xdr:row>4</xdr:row>
                    <xdr:rowOff>95250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tabColor rgb="FF92D050"/>
  </sheetPr>
  <dimension ref="A1:T224"/>
  <sheetViews>
    <sheetView showZeros="0" topLeftCell="B59" workbookViewId="0">
      <selection activeCell="B65" sqref="B65:B69"/>
    </sheetView>
  </sheetViews>
  <sheetFormatPr baseColWidth="10" defaultRowHeight="15" x14ac:dyDescent="0.25"/>
  <cols>
    <col min="1" max="1" width="11.42578125" hidden="1" customWidth="1"/>
    <col min="2" max="2" width="16.85546875" customWidth="1"/>
    <col min="3" max="3" width="21.140625" customWidth="1"/>
    <col min="4" max="4" width="14" customWidth="1"/>
    <col min="5" max="8" width="11.42578125" customWidth="1"/>
    <col min="9" max="9" width="3.5703125" customWidth="1"/>
    <col min="10" max="11" width="4" customWidth="1"/>
    <col min="12" max="13" width="6.85546875" customWidth="1"/>
    <col min="14" max="14" width="9.42578125" customWidth="1"/>
  </cols>
  <sheetData>
    <row r="1" spans="1:15" ht="22.5" customHeight="1" x14ac:dyDescent="0.25">
      <c r="A1" s="229"/>
      <c r="B1" s="358" t="s">
        <v>4</v>
      </c>
      <c r="C1" s="358"/>
      <c r="D1" s="358"/>
      <c r="E1" s="358"/>
      <c r="F1" s="358"/>
      <c r="G1" s="358"/>
      <c r="H1" s="358"/>
      <c r="J1" s="1"/>
      <c r="K1" s="1"/>
      <c r="L1" s="1"/>
      <c r="M1" s="1"/>
    </row>
    <row r="2" spans="1:15" s="203" customFormat="1" ht="12.75" x14ac:dyDescent="0.2">
      <c r="A2" s="229"/>
      <c r="B2" s="207" t="s">
        <v>7</v>
      </c>
      <c r="C2" s="221" t="s">
        <v>135</v>
      </c>
      <c r="D2" s="203" t="s">
        <v>6</v>
      </c>
      <c r="E2" s="236">
        <f>'Les normes-données de base'!B1</f>
        <v>2015</v>
      </c>
      <c r="F2" s="203" t="s">
        <v>24</v>
      </c>
      <c r="H2" s="207" t="str">
        <f>'Les normes-données de base'!B5</f>
        <v>NV</v>
      </c>
      <c r="J2" s="202"/>
      <c r="K2" s="202"/>
      <c r="L2" s="202"/>
      <c r="M2" s="202"/>
    </row>
    <row r="3" spans="1:15" s="203" customFormat="1" ht="12.75" x14ac:dyDescent="0.2">
      <c r="A3" s="229"/>
      <c r="B3" s="207" t="s">
        <v>5</v>
      </c>
      <c r="D3" s="203" t="str">
        <f>'Les normes-données de base'!B3</f>
        <v>Nicole Villet</v>
      </c>
      <c r="F3" s="203" t="s">
        <v>23</v>
      </c>
      <c r="H3" s="207">
        <f>'Les normes-données de base'!B4</f>
        <v>977</v>
      </c>
      <c r="J3" s="202"/>
      <c r="K3" s="202"/>
      <c r="L3" s="202"/>
      <c r="M3" s="202"/>
    </row>
    <row r="4" spans="1:15" s="203" customFormat="1" ht="12.75" x14ac:dyDescent="0.2">
      <c r="A4" s="229"/>
      <c r="B4" s="207" t="s">
        <v>14</v>
      </c>
      <c r="D4" s="203" t="str">
        <f>'Les normes-données de base'!B14</f>
        <v>Impasse de l'Opéra 1</v>
      </c>
      <c r="F4" s="203" t="s">
        <v>25</v>
      </c>
      <c r="H4" s="207">
        <f>'Les normes-données de base'!B12</f>
        <v>2231</v>
      </c>
      <c r="J4" s="202"/>
      <c r="K4" s="202"/>
      <c r="L4" s="202"/>
      <c r="M4" s="202"/>
    </row>
    <row r="5" spans="1:15" s="203" customFormat="1" ht="12.75" x14ac:dyDescent="0.2">
      <c r="A5" s="229"/>
      <c r="B5" s="207"/>
      <c r="D5" s="203" t="str">
        <f>'Les normes-données de base'!D14</f>
        <v>1696 Vuisternens-en-Ogoz</v>
      </c>
      <c r="F5" s="203" t="s">
        <v>26</v>
      </c>
      <c r="H5" s="207">
        <f>'Les normes-données de base'!B13</f>
        <v>2231</v>
      </c>
      <c r="J5" s="202"/>
      <c r="K5" s="202"/>
      <c r="L5" s="202"/>
      <c r="M5" s="202"/>
    </row>
    <row r="6" spans="1:15" s="203" customFormat="1" ht="12.75" x14ac:dyDescent="0.2">
      <c r="A6" s="229"/>
      <c r="B6" s="207" t="s">
        <v>16</v>
      </c>
      <c r="D6" s="200">
        <f>'Les normes-données de base'!B8</f>
        <v>24682</v>
      </c>
      <c r="E6" s="151"/>
      <c r="F6" s="203" t="s">
        <v>68</v>
      </c>
      <c r="G6" s="151"/>
      <c r="H6" s="205">
        <f ca="1">TODAY()</f>
        <v>41987</v>
      </c>
      <c r="J6" s="202"/>
      <c r="K6" s="202"/>
      <c r="L6" s="202"/>
      <c r="M6" s="202"/>
    </row>
    <row r="7" spans="1:15" s="203" customFormat="1" ht="12.75" x14ac:dyDescent="0.2">
      <c r="A7" s="229"/>
      <c r="B7" s="207" t="s">
        <v>15</v>
      </c>
      <c r="D7" s="151" t="str">
        <f t="array" ref="D7">INDEX('Les normes-données de base'!B18:B29,MATCH(1,('Les normes-données de base'!A18:A29=C2)*('Les normes-données de base'!B3='BU-janv'!D3),0))</f>
        <v>veuve</v>
      </c>
      <c r="E7" s="151"/>
      <c r="F7" s="203" t="s">
        <v>19</v>
      </c>
      <c r="H7" s="203" t="str">
        <f>'Les normes-données de base'!B9</f>
        <v>Treyvaux</v>
      </c>
      <c r="J7" s="202"/>
      <c r="K7" s="202"/>
      <c r="L7" s="202"/>
      <c r="M7" s="202"/>
    </row>
    <row r="8" spans="1:15" s="203" customFormat="1" ht="12.75" x14ac:dyDescent="0.2">
      <c r="A8" s="229"/>
      <c r="B8" s="207" t="s">
        <v>107</v>
      </c>
      <c r="D8" s="228">
        <f ca="1">SUMIF('Les normes-données de base'!A18:C29,C2,'Les normes-données de base'!C18:C29)</f>
        <v>4</v>
      </c>
      <c r="E8" s="151"/>
      <c r="F8" s="203" t="s">
        <v>20</v>
      </c>
      <c r="H8" s="203" t="str">
        <f>'Les normes-données de base'!B10</f>
        <v>FR</v>
      </c>
      <c r="J8" s="202"/>
      <c r="K8" s="202"/>
      <c r="L8" s="202"/>
      <c r="M8" s="202"/>
    </row>
    <row r="9" spans="1:15" s="203" customFormat="1" ht="12.75" x14ac:dyDescent="0.2">
      <c r="A9" s="229"/>
      <c r="B9" s="207" t="s">
        <v>106</v>
      </c>
      <c r="D9" s="228">
        <f ca="1">SUMIF('Les normes-données de base'!A18:D29,C2,'Les normes-données de base'!D18:D29)</f>
        <v>2</v>
      </c>
      <c r="E9" s="151"/>
      <c r="F9" s="203" t="s">
        <v>21</v>
      </c>
      <c r="H9" s="203" t="str">
        <f>'Les normes-données de base'!B11</f>
        <v>CH</v>
      </c>
      <c r="J9" s="202"/>
      <c r="K9" s="202"/>
      <c r="L9" s="202"/>
      <c r="M9" s="202"/>
    </row>
    <row r="10" spans="1:15" s="203" customFormat="1" ht="12.75" x14ac:dyDescent="0.2">
      <c r="A10" s="229"/>
      <c r="B10" s="207" t="s">
        <v>17</v>
      </c>
      <c r="D10" s="207">
        <f>'Les normes-données de base'!B16</f>
        <v>2014</v>
      </c>
      <c r="F10" s="203" t="s">
        <v>18</v>
      </c>
      <c r="H10" s="203" t="str">
        <f>'Les normes-données de base'!B15</f>
        <v>32/33</v>
      </c>
      <c r="J10" s="202"/>
      <c r="K10" s="202"/>
      <c r="L10" s="202"/>
      <c r="M10" s="202"/>
    </row>
    <row r="11" spans="1:15" s="16" customFormat="1" ht="39" customHeight="1" x14ac:dyDescent="0.25">
      <c r="A11" s="230"/>
      <c r="B11" s="196"/>
      <c r="D11" s="22"/>
      <c r="E11" s="20" t="s">
        <v>0</v>
      </c>
      <c r="F11" s="21" t="s">
        <v>1</v>
      </c>
      <c r="G11" s="21" t="s">
        <v>2</v>
      </c>
      <c r="H11" s="20" t="s">
        <v>3</v>
      </c>
      <c r="J11" s="124" t="s">
        <v>28</v>
      </c>
      <c r="K11" s="124" t="s">
        <v>66</v>
      </c>
      <c r="L11" s="124" t="s">
        <v>49</v>
      </c>
      <c r="M11" s="124" t="s">
        <v>49</v>
      </c>
    </row>
    <row r="12" spans="1:15" s="203" customFormat="1" ht="12.75" customHeight="1" x14ac:dyDescent="0.2">
      <c r="A12" s="326" t="s">
        <v>84</v>
      </c>
      <c r="B12" s="277" t="s">
        <v>32</v>
      </c>
      <c r="C12" s="294"/>
      <c r="D12" s="279"/>
      <c r="E12" s="311"/>
      <c r="F12" s="312"/>
      <c r="G12" s="312"/>
      <c r="H12" s="311"/>
      <c r="J12" s="224"/>
      <c r="K12" s="224"/>
      <c r="L12" s="224"/>
      <c r="M12" s="224"/>
      <c r="O12" s="226"/>
    </row>
    <row r="13" spans="1:15" s="285" customFormat="1" ht="12" x14ac:dyDescent="0.2">
      <c r="A13" s="327"/>
      <c r="B13" s="292" t="s">
        <v>58</v>
      </c>
      <c r="C13" s="290"/>
      <c r="D13" s="291"/>
      <c r="E13" s="243">
        <f>SUMIFS(Ressources!D:D,Ressources!$C:$C,$B13,Ressources!$A:$A,$C$2)</f>
        <v>0</v>
      </c>
      <c r="F13" s="243">
        <f>SUMIFS(Ressources!E:E,Ressources!$C:$C,$B13,Ressources!$A:$A,$C$2)</f>
        <v>0</v>
      </c>
      <c r="G13" s="283">
        <f>E13+F13</f>
        <v>0</v>
      </c>
      <c r="H13" s="243"/>
      <c r="J13" s="274" t="s">
        <v>33</v>
      </c>
      <c r="K13" s="274" t="s">
        <v>263</v>
      </c>
      <c r="L13" s="274">
        <v>2027</v>
      </c>
      <c r="M13" s="274"/>
      <c r="O13" s="290"/>
    </row>
    <row r="14" spans="1:15" s="285" customFormat="1" ht="12" x14ac:dyDescent="0.2">
      <c r="A14" s="327"/>
      <c r="B14" s="292" t="s">
        <v>59</v>
      </c>
      <c r="C14" s="290"/>
      <c r="D14" s="291"/>
      <c r="E14" s="243">
        <f>SUMIFS(Ressources!D:D,Ressources!$C:$C,B14,Ressources!$A:$A,$C$2)</f>
        <v>0</v>
      </c>
      <c r="F14" s="243">
        <f>SUMIFS(Ressources!E:E,Ressources!$C:$C,$B14,Ressources!$A:$A,$C$2)</f>
        <v>0</v>
      </c>
      <c r="G14" s="283">
        <f t="shared" ref="G14:G26" si="0">E14+F14</f>
        <v>0</v>
      </c>
      <c r="H14" s="243"/>
      <c r="J14" s="274" t="s">
        <v>33</v>
      </c>
      <c r="K14" s="274" t="s">
        <v>263</v>
      </c>
      <c r="L14" s="274">
        <v>2027</v>
      </c>
      <c r="M14" s="274"/>
      <c r="O14" s="290"/>
    </row>
    <row r="15" spans="1:15" s="285" customFormat="1" ht="12" x14ac:dyDescent="0.2">
      <c r="A15" s="327"/>
      <c r="B15" s="292" t="s">
        <v>93</v>
      </c>
      <c r="C15" s="290"/>
      <c r="D15" s="291"/>
      <c r="E15" s="243">
        <f>SUMIFS(Ressources!D:D,Ressources!$C:$C,B15,Ressources!$A:$A,$C$2)</f>
        <v>0</v>
      </c>
      <c r="F15" s="243">
        <f>SUMIFS(Ressources!E:E,Ressources!$C:$C,$B15,Ressources!$A:$A,$C$2)</f>
        <v>0</v>
      </c>
      <c r="G15" s="283">
        <f t="shared" si="0"/>
        <v>0</v>
      </c>
      <c r="H15" s="243"/>
      <c r="J15" s="274" t="s">
        <v>33</v>
      </c>
      <c r="K15" s="274" t="s">
        <v>263</v>
      </c>
      <c r="L15" s="274">
        <v>2027</v>
      </c>
      <c r="M15" s="274"/>
      <c r="O15" s="290"/>
    </row>
    <row r="16" spans="1:15" s="285" customFormat="1" ht="12" x14ac:dyDescent="0.2">
      <c r="A16" s="327"/>
      <c r="B16" s="292" t="s">
        <v>60</v>
      </c>
      <c r="C16" s="290"/>
      <c r="D16" s="291"/>
      <c r="E16" s="243">
        <f>SUMIFS(Ressources!D:D,Ressources!$C:$C,B16,Ressources!$A:$A,$C$2)</f>
        <v>0</v>
      </c>
      <c r="F16" s="243">
        <f>SUMIFS(Ressources!E:E,Ressources!$C:$C,$B16,Ressources!$A:$A,$C$2)</f>
        <v>0</v>
      </c>
      <c r="G16" s="283">
        <f t="shared" si="0"/>
        <v>0</v>
      </c>
      <c r="H16" s="243"/>
      <c r="J16" s="274" t="s">
        <v>33</v>
      </c>
      <c r="K16" s="274" t="s">
        <v>264</v>
      </c>
      <c r="L16" s="274">
        <v>2027</v>
      </c>
      <c r="M16" s="274"/>
      <c r="O16" s="290"/>
    </row>
    <row r="17" spans="1:16" s="285" customFormat="1" ht="12" x14ac:dyDescent="0.2">
      <c r="A17" s="327"/>
      <c r="B17" s="292" t="s">
        <v>61</v>
      </c>
      <c r="C17" s="290"/>
      <c r="D17" s="291"/>
      <c r="E17" s="243">
        <f>SUMIFS(Ressources!D:D,Ressources!$C:$C,B17,Ressources!$A:$A,$C$2)</f>
        <v>0</v>
      </c>
      <c r="F17" s="243">
        <f>SUMIFS(Ressources!E:E,Ressources!$C:$C,$B17,Ressources!$A:$A,$C$2)</f>
        <v>0</v>
      </c>
      <c r="G17" s="283">
        <f t="shared" si="0"/>
        <v>0</v>
      </c>
      <c r="H17" s="243"/>
      <c r="J17" s="274" t="s">
        <v>33</v>
      </c>
      <c r="K17" s="274" t="s">
        <v>257</v>
      </c>
      <c r="L17" s="274">
        <v>2027</v>
      </c>
      <c r="M17" s="274"/>
      <c r="O17" s="290"/>
    </row>
    <row r="18" spans="1:16" s="285" customFormat="1" ht="12" x14ac:dyDescent="0.2">
      <c r="A18" s="327"/>
      <c r="B18" s="292" t="s">
        <v>62</v>
      </c>
      <c r="C18" s="290"/>
      <c r="D18" s="291"/>
      <c r="E18" s="243">
        <f>SUMIFS(Ressources!D:D,Ressources!$C:$C,B18,Ressources!$A:$A,$C$2)</f>
        <v>0</v>
      </c>
      <c r="F18" s="243">
        <f>SUMIFS(Ressources!E:E,Ressources!$C:$C,$B18,Ressources!$A:$A,$C$2)</f>
        <v>0</v>
      </c>
      <c r="G18" s="283">
        <f t="shared" si="0"/>
        <v>0</v>
      </c>
      <c r="H18" s="243"/>
      <c r="J18" s="274" t="s">
        <v>33</v>
      </c>
      <c r="K18" s="274" t="s">
        <v>265</v>
      </c>
      <c r="L18" s="274">
        <v>2027</v>
      </c>
      <c r="M18" s="274"/>
      <c r="O18" s="290"/>
    </row>
    <row r="19" spans="1:16" s="285" customFormat="1" ht="12" x14ac:dyDescent="0.2">
      <c r="A19" s="327"/>
      <c r="B19" s="292" t="s">
        <v>101</v>
      </c>
      <c r="C19" s="290"/>
      <c r="D19" s="291"/>
      <c r="E19" s="243">
        <f>SUMIFS(Ressources!D:D,Ressources!$C:$C,B19,Ressources!$A:$A,$C$2)</f>
        <v>0</v>
      </c>
      <c r="F19" s="243">
        <f>SUMIFS(Ressources!E:E,Ressources!$C:$C,$B19,Ressources!$A:$A,$C$2)</f>
        <v>0</v>
      </c>
      <c r="G19" s="283">
        <f t="shared" si="0"/>
        <v>0</v>
      </c>
      <c r="H19" s="243"/>
      <c r="J19" s="274" t="s">
        <v>33</v>
      </c>
      <c r="K19" s="274" t="s">
        <v>266</v>
      </c>
      <c r="L19" s="274">
        <v>2027</v>
      </c>
      <c r="M19" s="274"/>
      <c r="O19" s="290"/>
    </row>
    <row r="20" spans="1:16" s="285" customFormat="1" ht="12" x14ac:dyDescent="0.2">
      <c r="A20" s="327"/>
      <c r="B20" s="292" t="s">
        <v>102</v>
      </c>
      <c r="C20" s="290"/>
      <c r="D20" s="291"/>
      <c r="E20" s="243">
        <f>SUMIFS(Ressources!D:D,Ressources!$C:$C,B20,Ressources!$A:$A,$C$2)</f>
        <v>0</v>
      </c>
      <c r="F20" s="243">
        <f>SUMIFS(Ressources!E:E,Ressources!$C:$C,$B20,Ressources!$A:$A,$C$2)</f>
        <v>0</v>
      </c>
      <c r="G20" s="283">
        <f t="shared" si="0"/>
        <v>0</v>
      </c>
      <c r="H20" s="243"/>
      <c r="J20" s="274" t="s">
        <v>33</v>
      </c>
      <c r="K20" s="274" t="s">
        <v>267</v>
      </c>
      <c r="L20" s="274">
        <v>2027</v>
      </c>
      <c r="M20" s="274"/>
      <c r="O20" s="290"/>
    </row>
    <row r="21" spans="1:16" s="285" customFormat="1" ht="12" x14ac:dyDescent="0.2">
      <c r="A21" s="327"/>
      <c r="B21" s="292" t="s">
        <v>63</v>
      </c>
      <c r="C21" s="290"/>
      <c r="D21" s="291"/>
      <c r="E21" s="243">
        <f>SUMIFS(Ressources!D:D,Ressources!$C:$C,B21,Ressources!$A:$A,$C$2)</f>
        <v>0</v>
      </c>
      <c r="F21" s="243">
        <f>SUMIFS(Ressources!E:E,Ressources!$C:$C,$B21,Ressources!$A:$A,$C$2)</f>
        <v>0</v>
      </c>
      <c r="G21" s="283">
        <f t="shared" si="0"/>
        <v>0</v>
      </c>
      <c r="H21" s="243"/>
      <c r="J21" s="274" t="s">
        <v>33</v>
      </c>
      <c r="K21" s="274" t="s">
        <v>268</v>
      </c>
      <c r="L21" s="274">
        <v>2027</v>
      </c>
      <c r="M21" s="274"/>
      <c r="O21" s="290"/>
    </row>
    <row r="22" spans="1:16" s="285" customFormat="1" ht="12" x14ac:dyDescent="0.2">
      <c r="A22" s="327"/>
      <c r="B22" s="292" t="s">
        <v>91</v>
      </c>
      <c r="C22" s="290"/>
      <c r="D22" s="291"/>
      <c r="E22" s="243">
        <f>SUMIFS(Ressources!D:D,Ressources!$C:$C,B22,Ressources!$A:$A,$C$2)</f>
        <v>0</v>
      </c>
      <c r="F22" s="243">
        <f>SUMIFS(Ressources!E:E,Ressources!$C:$C,$B22,Ressources!$A:$A,$C$2)</f>
        <v>0</v>
      </c>
      <c r="G22" s="283">
        <f t="shared" si="0"/>
        <v>0</v>
      </c>
      <c r="H22" s="243"/>
      <c r="J22" s="274" t="s">
        <v>33</v>
      </c>
      <c r="K22" s="274" t="s">
        <v>263</v>
      </c>
      <c r="L22" s="274">
        <v>2027</v>
      </c>
      <c r="M22" s="274"/>
      <c r="O22" s="290"/>
    </row>
    <row r="23" spans="1:16" s="285" customFormat="1" ht="12" x14ac:dyDescent="0.2">
      <c r="A23" s="327"/>
      <c r="B23" s="292" t="s">
        <v>92</v>
      </c>
      <c r="C23" s="290"/>
      <c r="D23" s="291"/>
      <c r="E23" s="243">
        <f>SUMIFS(Ressources!D:D,Ressources!$C:$C,B23,Ressources!$A:$A,$C$2)</f>
        <v>0</v>
      </c>
      <c r="F23" s="243">
        <f>SUMIFS(Ressources!E:E,Ressources!$C:$C,$B23,Ressources!$A:$A,$C$2)</f>
        <v>0</v>
      </c>
      <c r="G23" s="283">
        <f t="shared" si="0"/>
        <v>0</v>
      </c>
      <c r="H23" s="243"/>
      <c r="J23" s="274" t="s">
        <v>33</v>
      </c>
      <c r="K23" s="274" t="s">
        <v>263</v>
      </c>
      <c r="L23" s="274">
        <v>2027</v>
      </c>
      <c r="M23" s="274"/>
      <c r="O23" s="290"/>
    </row>
    <row r="24" spans="1:16" s="285" customFormat="1" ht="12" x14ac:dyDescent="0.2">
      <c r="A24" s="327"/>
      <c r="B24" s="240" t="s">
        <v>196</v>
      </c>
      <c r="C24" s="290"/>
      <c r="D24" s="291"/>
      <c r="E24" s="243"/>
      <c r="F24" s="243"/>
      <c r="G24" s="283"/>
      <c r="H24" s="243"/>
      <c r="J24" s="274" t="s">
        <v>33</v>
      </c>
      <c r="K24" s="274" t="s">
        <v>269</v>
      </c>
      <c r="L24" s="274">
        <v>2027</v>
      </c>
      <c r="M24" s="274"/>
      <c r="O24" s="290"/>
    </row>
    <row r="25" spans="1:16" s="285" customFormat="1" ht="12" x14ac:dyDescent="0.2">
      <c r="A25" s="327"/>
      <c r="B25" s="292" t="s">
        <v>85</v>
      </c>
      <c r="C25" s="290"/>
      <c r="D25" s="291"/>
      <c r="E25" s="243">
        <f>SUMIFS(Ressources!D:D,Ressources!$C:$C,B25,Ressources!$A:$A,$C$2)</f>
        <v>0</v>
      </c>
      <c r="F25" s="243">
        <f>SUMIFS(Ressources!E:E,Ressources!$C:$C,$B25,Ressources!$A:$A,$C$2)</f>
        <v>0</v>
      </c>
      <c r="G25" s="283">
        <f t="shared" si="0"/>
        <v>0</v>
      </c>
      <c r="H25" s="243"/>
      <c r="J25" s="274" t="s">
        <v>33</v>
      </c>
      <c r="K25" s="274" t="s">
        <v>270</v>
      </c>
      <c r="L25" s="274">
        <v>2027</v>
      </c>
      <c r="M25" s="274"/>
      <c r="O25" s="290"/>
    </row>
    <row r="26" spans="1:16" s="203" customFormat="1" ht="12.75" x14ac:dyDescent="0.2">
      <c r="A26" s="328"/>
      <c r="B26" s="342" t="s">
        <v>136</v>
      </c>
      <c r="C26" s="226"/>
      <c r="D26" s="148"/>
      <c r="E26" s="150"/>
      <c r="F26" s="150">
        <f>SUMIFS(Ressources!E:E,Ressources!$C:$C,$B26,Ressources!$A:$A,$C$2)</f>
        <v>0</v>
      </c>
      <c r="G26" s="223">
        <f t="shared" si="0"/>
        <v>0</v>
      </c>
      <c r="H26" s="150"/>
      <c r="J26" s="224"/>
      <c r="K26" s="224"/>
      <c r="L26" s="224"/>
      <c r="M26" s="224"/>
      <c r="O26" s="226"/>
    </row>
    <row r="27" spans="1:16" ht="29.25" customHeight="1" x14ac:dyDescent="0.25">
      <c r="A27" s="329"/>
      <c r="B27" s="359" t="s">
        <v>137</v>
      </c>
      <c r="C27" s="360"/>
      <c r="D27" s="361"/>
      <c r="E27" s="98"/>
      <c r="F27" s="98">
        <f>SUMIFS(Ressources!E:E,Ressources!$C:$C,$B27,Ressources!$A:$A,$C$2)</f>
        <v>0</v>
      </c>
      <c r="G27" s="99">
        <f>-SUMIFS(Ressources!F:F,Ressources!C:C,'BU-janv'!B27:B27,Ressources!A:A,C2)</f>
        <v>0</v>
      </c>
      <c r="H27" s="98"/>
      <c r="J27" s="125" t="s">
        <v>33</v>
      </c>
      <c r="K27" s="125" t="s">
        <v>271</v>
      </c>
      <c r="L27" s="125"/>
      <c r="M27" s="125"/>
      <c r="O27" s="8"/>
    </row>
    <row r="28" spans="1:16" s="203" customFormat="1" ht="12.75" x14ac:dyDescent="0.2">
      <c r="A28" s="328"/>
      <c r="B28" s="269" t="s">
        <v>139</v>
      </c>
      <c r="C28" s="270"/>
      <c r="D28" s="271"/>
      <c r="E28" s="275">
        <f>SUM(E12:E27)</f>
        <v>0</v>
      </c>
      <c r="F28" s="275">
        <f>SUM(F12:F27)</f>
        <v>0</v>
      </c>
      <c r="G28" s="275">
        <f>SUM(G12:G27)</f>
        <v>0</v>
      </c>
      <c r="H28" s="276">
        <f>SUM(H12:H27)</f>
        <v>0</v>
      </c>
      <c r="J28" s="224" t="s">
        <v>33</v>
      </c>
      <c r="K28" s="224" t="s">
        <v>270</v>
      </c>
      <c r="L28" s="224"/>
      <c r="M28" s="224"/>
      <c r="O28" s="226"/>
    </row>
    <row r="29" spans="1:16" s="203" customFormat="1" ht="12.75" x14ac:dyDescent="0.2">
      <c r="A29" s="328"/>
      <c r="B29" s="277" t="s">
        <v>138</v>
      </c>
      <c r="C29" s="294"/>
      <c r="D29" s="279"/>
      <c r="E29" s="281"/>
      <c r="F29" s="280"/>
      <c r="G29" s="280"/>
      <c r="H29" s="281"/>
      <c r="J29" s="224"/>
      <c r="K29" s="224"/>
      <c r="L29" s="224"/>
      <c r="M29" s="224"/>
      <c r="N29" s="222" t="s">
        <v>157</v>
      </c>
      <c r="O29" s="310"/>
      <c r="P29" s="222"/>
    </row>
    <row r="30" spans="1:16" s="285" customFormat="1" ht="23.25" customHeight="1" thickBot="1" x14ac:dyDescent="0.25">
      <c r="A30" s="327"/>
      <c r="B30" s="362" t="s">
        <v>153</v>
      </c>
      <c r="C30" s="363"/>
      <c r="D30" s="364"/>
      <c r="E30" s="297"/>
      <c r="F30" s="293"/>
      <c r="G30" s="283">
        <f>SUMIFS(Supplément!C:C,Supplément!A:A,C2,Supplément!B:B,B30)</f>
        <v>0</v>
      </c>
      <c r="H30" s="293"/>
      <c r="J30" s="274" t="s">
        <v>33</v>
      </c>
      <c r="K30" s="274" t="s">
        <v>272</v>
      </c>
      <c r="L30" s="274"/>
      <c r="M30" s="274"/>
      <c r="O30" s="290"/>
    </row>
    <row r="31" spans="1:16" s="285" customFormat="1" ht="13.5" thickTop="1" thickBot="1" x14ac:dyDescent="0.25">
      <c r="A31" s="327"/>
      <c r="B31" s="362" t="s">
        <v>154</v>
      </c>
      <c r="C31" s="363"/>
      <c r="D31" s="364"/>
      <c r="E31" s="297"/>
      <c r="F31" s="293"/>
      <c r="G31" s="283">
        <f>SUMIFS(Supplément!C:C,Supplément!A:A,C2,Supplément!B:B,B31)</f>
        <v>0</v>
      </c>
      <c r="H31" s="297"/>
      <c r="J31" s="274" t="s">
        <v>33</v>
      </c>
      <c r="K31" s="274" t="s">
        <v>272</v>
      </c>
      <c r="L31" s="274"/>
      <c r="M31" s="274"/>
      <c r="N31" s="308" t="s">
        <v>182</v>
      </c>
      <c r="O31" s="290" t="s">
        <v>158</v>
      </c>
    </row>
    <row r="32" spans="1:16" s="285" customFormat="1" ht="24" customHeight="1" thickTop="1" thickBot="1" x14ac:dyDescent="0.25">
      <c r="A32" s="327"/>
      <c r="B32" s="362" t="s">
        <v>155</v>
      </c>
      <c r="C32" s="363"/>
      <c r="D32" s="364"/>
      <c r="E32" s="293"/>
      <c r="F32" s="293"/>
      <c r="G32" s="283">
        <f>SUMIFS(Supplément!C:C,Supplément!A:A,C2,Supplément!B:B,B32)</f>
        <v>0</v>
      </c>
      <c r="H32" s="297"/>
      <c r="J32" s="274" t="s">
        <v>33</v>
      </c>
      <c r="K32" s="274" t="s">
        <v>272</v>
      </c>
      <c r="L32" s="274"/>
      <c r="M32" s="274"/>
      <c r="N32" s="309">
        <v>0</v>
      </c>
      <c r="O32" s="290" t="s">
        <v>159</v>
      </c>
    </row>
    <row r="33" spans="1:15" s="203" customFormat="1" ht="12.75" customHeight="1" thickTop="1" x14ac:dyDescent="0.2">
      <c r="A33" s="330"/>
      <c r="B33" s="269" t="s">
        <v>140</v>
      </c>
      <c r="C33" s="270"/>
      <c r="D33" s="271"/>
      <c r="E33" s="275">
        <f>SUM(E30:E32)</f>
        <v>0</v>
      </c>
      <c r="F33" s="275">
        <f>SUM(F30:F32)</f>
        <v>0</v>
      </c>
      <c r="G33" s="275">
        <f>SUM(G30:G32)</f>
        <v>0</v>
      </c>
      <c r="H33" s="275">
        <f>SUM(H30:H32)</f>
        <v>0</v>
      </c>
      <c r="J33" s="224" t="s">
        <v>33</v>
      </c>
      <c r="K33" s="224" t="s">
        <v>272</v>
      </c>
      <c r="L33" s="224"/>
      <c r="M33" s="224"/>
      <c r="O33" s="226"/>
    </row>
    <row r="34" spans="1:15" s="203" customFormat="1" ht="12.75" customHeight="1" x14ac:dyDescent="0.2">
      <c r="A34" s="331" t="s">
        <v>54</v>
      </c>
      <c r="B34" s="277" t="s">
        <v>50</v>
      </c>
      <c r="C34" s="294"/>
      <c r="D34" s="279"/>
      <c r="E34" s="281"/>
      <c r="F34" s="281"/>
      <c r="G34" s="307">
        <f ca="1">(SUMIFS('Les normes-données de base'!B34:B41,'Les normes-données de base'!A34:A41,D8))/D8*D9</f>
        <v>1045</v>
      </c>
      <c r="H34" s="281"/>
      <c r="J34" s="224" t="s">
        <v>31</v>
      </c>
      <c r="K34" s="224" t="s">
        <v>86</v>
      </c>
      <c r="L34" s="224"/>
      <c r="M34" s="224"/>
      <c r="O34" s="226"/>
    </row>
    <row r="35" spans="1:15" ht="68.25" customHeight="1" x14ac:dyDescent="0.25">
      <c r="A35" s="332"/>
      <c r="B35" s="365" t="s">
        <v>56</v>
      </c>
      <c r="C35" s="366"/>
      <c r="D35" s="366"/>
      <c r="E35" s="367"/>
      <c r="F35" s="367"/>
      <c r="G35" s="367"/>
      <c r="H35" s="368"/>
      <c r="J35" s="125"/>
      <c r="K35" s="125"/>
      <c r="L35" s="125"/>
      <c r="M35" s="125"/>
      <c r="O35" s="8"/>
    </row>
    <row r="36" spans="1:15" s="285" customFormat="1" ht="13.5" customHeight="1" x14ac:dyDescent="0.2">
      <c r="A36" s="333"/>
      <c r="B36" s="292" t="str">
        <f t="array" ref="B36">INDEX('Caisse maladie'!$C$2:$C$49,MATCH(1,('Caisse maladie'!$A$2:$A$49=C2)*('Caisse maladie'!$B$2:$B$49="LCA"),0))</f>
        <v>CSS</v>
      </c>
      <c r="C36" s="349"/>
      <c r="D36" s="350" t="s">
        <v>46</v>
      </c>
      <c r="E36" s="243">
        <f>SUMIFS('Caisse maladie'!D:D,'Caisse maladie'!A:A,C2,'Caisse maladie'!B:B,D36,'Caisse maladie'!E:E,"non")</f>
        <v>0</v>
      </c>
      <c r="F36" s="243">
        <f>SUMIFS('Caisse maladie'!D:D,'Caisse maladie'!A:A,C2,'Caisse maladie'!B:B,D36,'Caisse maladie'!E:E,"oui")</f>
        <v>12.4</v>
      </c>
      <c r="G36" s="243"/>
      <c r="H36" s="243"/>
      <c r="J36" s="274" t="s">
        <v>31</v>
      </c>
      <c r="K36" s="274" t="s">
        <v>46</v>
      </c>
      <c r="L36" s="274"/>
      <c r="M36" s="274"/>
      <c r="O36" s="290"/>
    </row>
    <row r="37" spans="1:15" s="285" customFormat="1" ht="13.5" customHeight="1" x14ac:dyDescent="0.2">
      <c r="A37" s="333"/>
      <c r="B37" s="240" t="str">
        <f ca="1">IF(OFFSET(OFFSET(INDEX('Paiements échelonnés'!C:C,MATCH($C$2,'Paiements échelonnés'!B:B,0)),ROW()-37,0),0,2)&lt;&gt;"",OFFSET(INDEX('Paiements échelonnés'!C:C,MATCH($C$2,'Paiements échelonnés'!B:B,0)),ROW()-37,0),"")</f>
        <v>Impôts communaux</v>
      </c>
      <c r="C37" s="299" t="str">
        <f ca="1">IF(OFFSET(OFFSET(INDEX('Paiements échelonnés'!D:D,MATCH($C$2,'Paiements échelonnés'!B:B,0)),ROW()-37,0),0,2)&lt;&gt;"",OFFSET(INDEX('Paiements échelonnés'!D:D,MATCH($C$2,'Paiements échelonnés'!B:B,0)),ROW()-37,0),"")</f>
        <v>Commune de Farvagny</v>
      </c>
      <c r="D37" s="350"/>
      <c r="E37" s="243">
        <f ca="1">SUMIFS('Paiements échelonnés'!E:E,'Paiements échelonnés'!C:C,B37,'Paiements échelonnés'!A:A,$C$2,'Paiements échelonnés'!F:F,"non")</f>
        <v>81.5</v>
      </c>
      <c r="F37" s="243">
        <f ca="1">SUMIFS('Paiements échelonnés'!E:E,'Paiements échelonnés'!C:C,B37,'Paiements échelonnés'!A:A,$C$2,'Paiements échelonnés'!F:F,"oui")</f>
        <v>0</v>
      </c>
      <c r="G37" s="243"/>
      <c r="H37" s="243"/>
      <c r="J37" s="274" t="s">
        <v>31</v>
      </c>
      <c r="K37" s="274" t="s">
        <v>86</v>
      </c>
      <c r="L37" s="274"/>
      <c r="M37" s="274"/>
      <c r="O37" s="290"/>
    </row>
    <row r="38" spans="1:15" s="285" customFormat="1" ht="13.5" customHeight="1" x14ac:dyDescent="0.2">
      <c r="A38" s="333"/>
      <c r="B38" s="240" t="str">
        <f ca="1">IF(OFFSET(OFFSET(INDEX('Paiements échelonnés'!C:C,MATCH($C$2,'Paiements échelonnés'!B:B,0)),ROW()-37,0),0,2)&lt;&gt;"",OFFSET(INDEX('Paiements échelonnés'!C:C,MATCH($C$2,'Paiements échelonnés'!B:B,0)),ROW()-37,0),"")</f>
        <v>Impôts cantonaux</v>
      </c>
      <c r="C38" s="299" t="str">
        <f ca="1">IF(OFFSET(OFFSET(INDEX('Paiements échelonnés'!D:D,MATCH($C$2,'Paiements échelonnés'!B:B,0)),ROW()-37,0),0,2)&lt;&gt;"",OFFSET(INDEX('Paiements échelonnés'!D:D,MATCH($C$2,'Paiements échelonnés'!B:B,0)),ROW()-37,0),"")</f>
        <v>SCC</v>
      </c>
      <c r="D38" s="350"/>
      <c r="E38" s="243">
        <f ca="1">SUMIFS('Paiements échelonnés'!E:E,'Paiements échelonnés'!C:C,B38,'Paiements échelonnés'!A:A,$C$2,'Paiements échelonnés'!F:F,"non")</f>
        <v>0</v>
      </c>
      <c r="F38" s="243">
        <f ca="1">SUMIFS('Paiements échelonnés'!E:E,'Paiements échelonnés'!C:C,B38,'Paiements échelonnés'!A:A,$C$2,'Paiements échelonnés'!F:F,"oui")</f>
        <v>82.3</v>
      </c>
      <c r="G38" s="243"/>
      <c r="H38" s="243"/>
      <c r="J38" s="274" t="s">
        <v>31</v>
      </c>
      <c r="K38" s="274" t="s">
        <v>86</v>
      </c>
      <c r="L38" s="274"/>
      <c r="M38" s="274"/>
      <c r="O38" s="290"/>
    </row>
    <row r="39" spans="1:15" s="285" customFormat="1" ht="13.5" customHeight="1" x14ac:dyDescent="0.2">
      <c r="A39" s="333"/>
      <c r="B39" s="240" t="str">
        <f ca="1">IF(OFFSET(OFFSET(INDEX('Paiements échelonnés'!C:C,MATCH($C$2,'Paiements échelonnés'!B:B,0)),ROW()-37,0),0,2)&lt;&gt;"",OFFSET(INDEX('Paiements échelonnés'!C:C,MATCH($C$2,'Paiements échelonnés'!B:B,0)),ROW()-37,0),"")</f>
        <v>Téléphone</v>
      </c>
      <c r="C39" s="299">
        <f ca="1">IF(OFFSET(OFFSET(INDEX('Paiements échelonnés'!D:D,MATCH($C$2,'Paiements échelonnés'!B:B,0)),ROW()-37,0),0,2)&lt;&gt;"",OFFSET(INDEX('Paiements échelonnés'!D:D,MATCH($C$2,'Paiements échelonnés'!B:B,0)),ROW()-37,0),"")</f>
        <v>0</v>
      </c>
      <c r="D39" s="350"/>
      <c r="E39" s="243">
        <f ca="1">SUMIFS('Paiements échelonnés'!E:E,'Paiements échelonnés'!C:C,B39,'Paiements échelonnés'!A:A,$C$2,'Paiements échelonnés'!F:F,"non")</f>
        <v>0</v>
      </c>
      <c r="F39" s="243">
        <f ca="1">SUMIFS('Paiements échelonnés'!E:E,'Paiements échelonnés'!C:C,B39,'Paiements échelonnés'!A:A,$C$2,'Paiements échelonnés'!F:F,"oui")</f>
        <v>0</v>
      </c>
      <c r="G39" s="243"/>
      <c r="H39" s="243"/>
      <c r="J39" s="274" t="s">
        <v>31</v>
      </c>
      <c r="K39" s="274" t="s">
        <v>86</v>
      </c>
      <c r="L39" s="274"/>
      <c r="M39" s="274"/>
      <c r="O39" s="290"/>
    </row>
    <row r="40" spans="1:15" s="285" customFormat="1" ht="13.5" customHeight="1" x14ac:dyDescent="0.2">
      <c r="A40" s="333"/>
      <c r="B40" s="240">
        <f ca="1">IF(OFFSET(OFFSET(INDEX('Paiements échelonnés'!C:C,MATCH($C$2,'Paiements échelonnés'!B:B,0)),ROW()-37,0),0,2)&lt;&gt;"",OFFSET(INDEX('Paiements échelonnés'!C:C,MATCH($C$2,'Paiements échelonnés'!B:B,0)),ROW()-37,0),"")</f>
        <v>0</v>
      </c>
      <c r="C40" s="299">
        <f ca="1">IF(OFFSET(OFFSET(INDEX('Paiements échelonnés'!D:D,MATCH($C$2,'Paiements échelonnés'!B:B,0)),ROW()-37,0),0,2)&lt;&gt;"",OFFSET(INDEX('Paiements échelonnés'!D:D,MATCH($C$2,'Paiements échelonnés'!B:B,0)),ROW()-37,0),"")</f>
        <v>0</v>
      </c>
      <c r="D40" s="300"/>
      <c r="E40" s="243">
        <f ca="1">SUMIFS('Paiements échelonnés'!E:E,'Paiements échelonnés'!C:C,B40,'Paiements échelonnés'!A:A,$C$2,'Paiements échelonnés'!F:F,"non")</f>
        <v>0</v>
      </c>
      <c r="F40" s="243">
        <f ca="1">SUMIFS('Paiements échelonnés'!E:E,'Paiements échelonnés'!C:C,B40,'Paiements échelonnés'!A:A,$C$2,'Paiements échelonnés'!F:F,"oui")</f>
        <v>0</v>
      </c>
      <c r="G40" s="243"/>
      <c r="H40" s="243"/>
      <c r="J40" s="274" t="s">
        <v>31</v>
      </c>
      <c r="K40" s="274" t="s">
        <v>86</v>
      </c>
      <c r="L40" s="274"/>
      <c r="M40" s="274"/>
      <c r="O40" s="290"/>
    </row>
    <row r="41" spans="1:15" s="285" customFormat="1" ht="13.5" customHeight="1" x14ac:dyDescent="0.2">
      <c r="A41" s="333"/>
      <c r="B41" s="240">
        <f ca="1">IF(OFFSET(OFFSET(INDEX('Paiements échelonnés'!C:C,MATCH($C$2,'Paiements échelonnés'!B:B,0)),ROW()-37,0),0,2)&lt;&gt;"",OFFSET(INDEX('Paiements échelonnés'!C:C,MATCH($C$2,'Paiements échelonnés'!B:B,0)),ROW()-37,0),"")</f>
        <v>0</v>
      </c>
      <c r="C41" s="299">
        <f ca="1">IF(OFFSET(OFFSET(INDEX('Paiements échelonnés'!D:D,MATCH($C$2,'Paiements échelonnés'!B:B,0)),ROW()-37,0),0,2)&lt;&gt;"",OFFSET(INDEX('Paiements échelonnés'!D:D,MATCH($C$2,'Paiements échelonnés'!B:B,0)),ROW()-37,0),"")</f>
        <v>0</v>
      </c>
      <c r="D41" s="300"/>
      <c r="E41" s="243">
        <f ca="1">SUMIFS('Paiements échelonnés'!E:E,'Paiements échelonnés'!C:C,B41,'Paiements échelonnés'!A:A,$C$2,'Paiements échelonnés'!F:F,"non")</f>
        <v>0</v>
      </c>
      <c r="F41" s="243">
        <f ca="1">SUMIFS('Paiements échelonnés'!E:E,'Paiements échelonnés'!C:C,B41,'Paiements échelonnés'!A:A,$C$2,'Paiements échelonnés'!F:F,"oui")</f>
        <v>0</v>
      </c>
      <c r="G41" s="243"/>
      <c r="H41" s="243"/>
      <c r="J41" s="274" t="s">
        <v>31</v>
      </c>
      <c r="K41" s="274" t="s">
        <v>86</v>
      </c>
      <c r="L41" s="274"/>
      <c r="M41" s="274"/>
      <c r="O41" s="290"/>
    </row>
    <row r="42" spans="1:15" s="285" customFormat="1" ht="13.5" customHeight="1" x14ac:dyDescent="0.2">
      <c r="A42" s="333"/>
      <c r="B42" s="240">
        <f ca="1">IF(OFFSET(OFFSET(INDEX('Paiements échelonnés'!C:C,MATCH($C$2,'Paiements échelonnés'!B:B,0)),ROW()-37,0),0,2)&lt;&gt;"",OFFSET(INDEX('Paiements échelonnés'!C:C,MATCH($C$2,'Paiements échelonnés'!B:B,0)),ROW()-37,0),"")</f>
        <v>0</v>
      </c>
      <c r="C42" s="299">
        <f ca="1">IF(OFFSET(OFFSET(INDEX('Paiements échelonnés'!D:D,MATCH($C$2,'Paiements échelonnés'!B:B,0)),ROW()-37,0),0,2)&lt;&gt;"",OFFSET(INDEX('Paiements échelonnés'!D:D,MATCH($C$2,'Paiements échelonnés'!B:B,0)),ROW()-37,0),"")</f>
        <v>0</v>
      </c>
      <c r="D42" s="300"/>
      <c r="E42" s="243">
        <f ca="1">SUMIFS('Paiements échelonnés'!E:E,'Paiements échelonnés'!C:C,B42,'Paiements échelonnés'!A:A,$C$2,'Paiements échelonnés'!F:F,"non")</f>
        <v>0</v>
      </c>
      <c r="F42" s="243">
        <f ca="1">SUMIFS('Paiements échelonnés'!E:E,'Paiements échelonnés'!C:C,B42,'Paiements échelonnés'!A:A,$C$2,'Paiements échelonnés'!F:F,"oui")</f>
        <v>0</v>
      </c>
      <c r="G42" s="243"/>
      <c r="H42" s="243"/>
      <c r="J42" s="274" t="s">
        <v>31</v>
      </c>
      <c r="K42" s="274" t="s">
        <v>86</v>
      </c>
      <c r="L42" s="274"/>
      <c r="M42" s="274"/>
      <c r="O42" s="290"/>
    </row>
    <row r="43" spans="1:15" s="285" customFormat="1" ht="13.5" customHeight="1" x14ac:dyDescent="0.2">
      <c r="A43" s="333"/>
      <c r="B43" s="240" t="str">
        <f ca="1">IF(OFFSET(OFFSET(INDEX('Paiements échelonnés'!C:C,MATCH($C$2,'Paiements échelonnés'!B:B,0)),ROW()-37,0),0,2)&lt;&gt;"",OFFSET(INDEX('Paiements échelonnés'!C:C,MATCH($C$2,'Paiements échelonnés'!B:B,0)),ROW()-37,0),"")</f>
        <v>tutu</v>
      </c>
      <c r="C43" s="299">
        <f ca="1">IF(OFFSET(OFFSET(INDEX('Paiements échelonnés'!D:D,MATCH($C$2,'Paiements échelonnés'!B:B,0)),ROW()-37,0),0,2)&lt;&gt;"",OFFSET(INDEX('Paiements échelonnés'!D:D,MATCH($C$2,'Paiements échelonnés'!B:B,0)),ROW()-37,0),"")</f>
        <v>0</v>
      </c>
      <c r="D43" s="300"/>
      <c r="E43" s="243">
        <f ca="1">SUMIFS('Paiements échelonnés'!E:E,'Paiements échelonnés'!C:C,B43,'Paiements échelonnés'!A:A,$C$2,'Paiements échelonnés'!F:F,"non")</f>
        <v>0</v>
      </c>
      <c r="F43" s="243">
        <f ca="1">SUMIFS('Paiements échelonnés'!E:E,'Paiements échelonnés'!C:C,B43,'Paiements échelonnés'!A:A,$C$2,'Paiements échelonnés'!F:F,"oui")</f>
        <v>12</v>
      </c>
      <c r="G43" s="243"/>
      <c r="H43" s="243"/>
      <c r="J43" s="274" t="s">
        <v>31</v>
      </c>
      <c r="K43" s="274" t="s">
        <v>86</v>
      </c>
      <c r="L43" s="274"/>
      <c r="M43" s="274"/>
      <c r="O43" s="290"/>
    </row>
    <row r="44" spans="1:15" s="285" customFormat="1" ht="13.5" customHeight="1" x14ac:dyDescent="0.2">
      <c r="A44" s="333"/>
      <c r="B44" s="240">
        <f ca="1">IF(OFFSET(OFFSET(INDEX('Paiements échelonnés'!C:C,MATCH($C$2,'Paiements échelonnés'!B:B,0)),ROW()-37,0),0,2)&lt;&gt;"",OFFSET(INDEX('Paiements échelonnés'!C:C,MATCH($C$2,'Paiements échelonnés'!B:B,0)),ROW()-37,0),"")</f>
        <v>0</v>
      </c>
      <c r="C44" s="299">
        <f ca="1">IF(OFFSET(OFFSET(INDEX('Paiements échelonnés'!D:D,MATCH($C$2,'Paiements échelonnés'!B:B,0)),ROW()-37,0),0,2)&lt;&gt;"",OFFSET(INDEX('Paiements échelonnés'!D:D,MATCH($C$2,'Paiements échelonnés'!B:B,0)),ROW()-37,0),"")</f>
        <v>0</v>
      </c>
      <c r="D44" s="300"/>
      <c r="E44" s="243">
        <f ca="1">SUMIFS('Paiements échelonnés'!E:E,'Paiements échelonnés'!C:C,B44,'Paiements échelonnés'!A:A,$C$2,'Paiements échelonnés'!F:F,"non")</f>
        <v>0</v>
      </c>
      <c r="F44" s="243">
        <f ca="1">SUMIFS('Paiements échelonnés'!E:E,'Paiements échelonnés'!C:C,B44,'Paiements échelonnés'!A:A,$C$2,'Paiements échelonnés'!F:F,"oui")</f>
        <v>0</v>
      </c>
      <c r="G44" s="243"/>
      <c r="H44" s="243"/>
      <c r="J44" s="274" t="s">
        <v>31</v>
      </c>
      <c r="K44" s="274" t="s">
        <v>86</v>
      </c>
      <c r="L44" s="274"/>
      <c r="M44" s="274"/>
      <c r="O44" s="290"/>
    </row>
    <row r="45" spans="1:15" s="285" customFormat="1" ht="13.5" customHeight="1" x14ac:dyDescent="0.2">
      <c r="A45" s="333"/>
      <c r="B45" s="240">
        <f ca="1">IF(OFFSET(OFFSET(INDEX('Paiements échelonnés'!C:C,MATCH($C$2,'Paiements échelonnés'!B:B,0)),ROW()-37,0),0,2)&lt;&gt;"",OFFSET(INDEX('Paiements échelonnés'!C:C,MATCH($C$2,'Paiements échelonnés'!B:B,0)),ROW()-37,0),"")</f>
        <v>0</v>
      </c>
      <c r="C45" s="299">
        <f ca="1">IF(OFFSET(OFFSET(INDEX('Paiements échelonnés'!D:D,MATCH($C$2,'Paiements échelonnés'!B:B,0)),ROW()-37,0),0,2)&lt;&gt;"",OFFSET(INDEX('Paiements échelonnés'!D:D,MATCH($C$2,'Paiements échelonnés'!B:B,0)),ROW()-37,0),"")</f>
        <v>0</v>
      </c>
      <c r="D45" s="300"/>
      <c r="E45" s="243">
        <f ca="1">SUMIFS('Paiements échelonnés'!E:E,'Paiements échelonnés'!C:C,B45,'Paiements échelonnés'!A:A,$C$2,'Paiements échelonnés'!F:F,"non")</f>
        <v>0</v>
      </c>
      <c r="F45" s="243">
        <f ca="1">SUMIFS('Paiements échelonnés'!E:E,'Paiements échelonnés'!C:C,B45,'Paiements échelonnés'!A:A,$C$2,'Paiements échelonnés'!F:F,"oui")</f>
        <v>0</v>
      </c>
      <c r="G45" s="243"/>
      <c r="H45" s="243"/>
      <c r="J45" s="274" t="s">
        <v>31</v>
      </c>
      <c r="K45" s="274" t="s">
        <v>86</v>
      </c>
      <c r="L45" s="274"/>
      <c r="M45" s="274"/>
      <c r="O45" s="290"/>
    </row>
    <row r="46" spans="1:15" s="285" customFormat="1" ht="13.5" customHeight="1" x14ac:dyDescent="0.2">
      <c r="A46" s="333"/>
      <c r="B46" s="240">
        <f ca="1">IF(OFFSET(OFFSET(INDEX('Paiements échelonnés'!C:C,MATCH($C$2,'Paiements échelonnés'!B:B,0)),ROW()-37,0),0,2)&lt;&gt;"",OFFSET(INDEX('Paiements échelonnés'!C:C,MATCH($C$2,'Paiements échelonnés'!B:B,0)),ROW()-37,0),"")</f>
        <v>0</v>
      </c>
      <c r="C46" s="299">
        <f ca="1">IF(OFFSET(OFFSET(INDEX('Paiements échelonnés'!D:D,MATCH($C$2,'Paiements échelonnés'!B:B,0)),ROW()-37,0),0,2)&lt;&gt;"",OFFSET(INDEX('Paiements échelonnés'!D:D,MATCH($C$2,'Paiements échelonnés'!B:B,0)),ROW()-37,0),"")</f>
        <v>0</v>
      </c>
      <c r="D46" s="300"/>
      <c r="E46" s="243">
        <f ca="1">SUMIFS('Paiements échelonnés'!E:E,'Paiements échelonnés'!C:C,B46,'Paiements échelonnés'!A:A,$C$2,'Paiements échelonnés'!F:F,"non")</f>
        <v>0</v>
      </c>
      <c r="F46" s="243">
        <f ca="1">SUMIFS('Paiements échelonnés'!E:E,'Paiements échelonnés'!C:C,B46,'Paiements échelonnés'!A:A,$C$2,'Paiements échelonnés'!F:F,"oui")</f>
        <v>0</v>
      </c>
      <c r="G46" s="243"/>
      <c r="H46" s="243"/>
      <c r="J46" s="274" t="s">
        <v>31</v>
      </c>
      <c r="K46" s="274" t="s">
        <v>86</v>
      </c>
      <c r="L46" s="274"/>
      <c r="M46" s="274"/>
      <c r="O46" s="290"/>
    </row>
    <row r="47" spans="1:15" s="285" customFormat="1" ht="13.5" customHeight="1" x14ac:dyDescent="0.2">
      <c r="A47" s="333"/>
      <c r="B47" s="240">
        <f ca="1">IF(OFFSET(OFFSET(INDEX('Paiements échelonnés'!C:C,MATCH($C$2,'Paiements échelonnés'!B:B,0)),ROW()-37,0),0,2)&lt;&gt;"",OFFSET(INDEX('Paiements échelonnés'!C:C,MATCH($C$2,'Paiements échelonnés'!B:B,0)),ROW()-37,0),"")</f>
        <v>0</v>
      </c>
      <c r="C47" s="299">
        <f ca="1">IF(OFFSET(OFFSET(INDEX('Paiements échelonnés'!D:D,MATCH($C$2,'Paiements échelonnés'!B:B,0)),ROW()-37,0),0,2)&lt;&gt;"",OFFSET(INDEX('Paiements échelonnés'!D:D,MATCH($C$2,'Paiements échelonnés'!B:B,0)),ROW()-37,0),"")</f>
        <v>0</v>
      </c>
      <c r="D47" s="300"/>
      <c r="E47" s="243">
        <f ca="1">SUMIFS('Paiements échelonnés'!E:E,'Paiements échelonnés'!C:C,B47,'Paiements échelonnés'!A:A,$C$2,'Paiements échelonnés'!F:F,"non")</f>
        <v>0</v>
      </c>
      <c r="F47" s="243">
        <f ca="1">SUMIFS('Paiements échelonnés'!E:E,'Paiements échelonnés'!C:C,B47,'Paiements échelonnés'!A:A,$C$2,'Paiements échelonnés'!F:F,"oui")</f>
        <v>0</v>
      </c>
      <c r="G47" s="243"/>
      <c r="H47" s="243"/>
      <c r="J47" s="274" t="s">
        <v>31</v>
      </c>
      <c r="K47" s="274" t="s">
        <v>86</v>
      </c>
      <c r="L47" s="274"/>
      <c r="M47" s="274"/>
      <c r="O47" s="290"/>
    </row>
    <row r="48" spans="1:15" s="285" customFormat="1" ht="13.5" customHeight="1" x14ac:dyDescent="0.2">
      <c r="A48" s="333"/>
      <c r="B48" s="240">
        <f ca="1">IF(OFFSET(OFFSET(INDEX('Paiements échelonnés'!C:C,MATCH($C$2,'Paiements échelonnés'!B:B,0)),ROW()-37,0),0,2)&lt;&gt;"",OFFSET(INDEX('Paiements échelonnés'!C:C,MATCH($C$2,'Paiements échelonnés'!B:B,0)),ROW()-37,0),"")</f>
        <v>0</v>
      </c>
      <c r="C48" s="299">
        <f ca="1">IF(OFFSET(OFFSET(INDEX('Paiements échelonnés'!D:D,MATCH($C$2,'Paiements échelonnés'!B:B,0)),ROW()-37,0),0,2)&lt;&gt;"",OFFSET(INDEX('Paiements échelonnés'!D:D,MATCH($C$2,'Paiements échelonnés'!B:B,0)),ROW()-37,0),"")</f>
        <v>0</v>
      </c>
      <c r="D48" s="300"/>
      <c r="E48" s="243">
        <f ca="1">SUMIFS('Paiements échelonnés'!E:E,'Paiements échelonnés'!C:C,B48,'Paiements échelonnés'!A:A,$C$2,'Paiements échelonnés'!F:F,"non")</f>
        <v>0</v>
      </c>
      <c r="F48" s="243">
        <f ca="1">SUMIFS('Paiements échelonnés'!E:E,'Paiements échelonnés'!C:C,B48,'Paiements échelonnés'!A:A,$C$2,'Paiements échelonnés'!F:F,"oui")</f>
        <v>0</v>
      </c>
      <c r="G48" s="243"/>
      <c r="H48" s="243"/>
      <c r="J48" s="274" t="s">
        <v>31</v>
      </c>
      <c r="K48" s="274" t="s">
        <v>86</v>
      </c>
      <c r="L48" s="274"/>
      <c r="M48" s="274"/>
      <c r="O48" s="290"/>
    </row>
    <row r="49" spans="1:15" s="285" customFormat="1" ht="13.5" customHeight="1" x14ac:dyDescent="0.2">
      <c r="A49" s="333"/>
      <c r="B49" s="240">
        <f ca="1">IF(OFFSET(OFFSET(INDEX('Paiements échelonnés'!C:C,MATCH($C$2,'Paiements échelonnés'!B:B,0)),ROW()-37,0),0,2)&lt;&gt;"",OFFSET(INDEX('Paiements échelonnés'!C:C,MATCH($C$2,'Paiements échelonnés'!B:B,0)),ROW()-37,0),"")</f>
        <v>0</v>
      </c>
      <c r="C49" s="299">
        <f ca="1">IF(OFFSET(OFFSET(INDEX('Paiements échelonnés'!D:D,MATCH($C$2,'Paiements échelonnés'!B:B,0)),ROW()-37,0),0,2)&lt;&gt;"",OFFSET(INDEX('Paiements échelonnés'!D:D,MATCH($C$2,'Paiements échelonnés'!B:B,0)),ROW()-37,0),"")</f>
        <v>0</v>
      </c>
      <c r="D49" s="300"/>
      <c r="E49" s="243">
        <f ca="1">SUMIFS('Paiements échelonnés'!E:E,'Paiements échelonnés'!C:C,B49,'Paiements échelonnés'!A:A,$C$2,'Paiements échelonnés'!F:F,"non")</f>
        <v>0</v>
      </c>
      <c r="F49" s="243">
        <f ca="1">SUMIFS('Paiements échelonnés'!E:E,'Paiements échelonnés'!C:C,B49,'Paiements échelonnés'!A:A,$C$2,'Paiements échelonnés'!F:F,"oui")</f>
        <v>0</v>
      </c>
      <c r="G49" s="243"/>
      <c r="H49" s="243"/>
      <c r="J49" s="274" t="s">
        <v>31</v>
      </c>
      <c r="K49" s="274" t="s">
        <v>86</v>
      </c>
      <c r="L49" s="274"/>
      <c r="M49" s="274"/>
      <c r="O49" s="290"/>
    </row>
    <row r="50" spans="1:15" s="285" customFormat="1" ht="13.5" customHeight="1" x14ac:dyDescent="0.2">
      <c r="A50" s="333"/>
      <c r="B50" s="240">
        <f ca="1">IF(OFFSET(OFFSET(INDEX('Paiements échelonnés'!C:C,MATCH($C$2,'Paiements échelonnés'!B:B,0)),ROW()-37,0),0,2)&lt;&gt;"",OFFSET(INDEX('Paiements échelonnés'!C:C,MATCH($C$2,'Paiements échelonnés'!B:B,0)),ROW()-37,0),"")</f>
        <v>0</v>
      </c>
      <c r="C50" s="299">
        <f ca="1">IF(OFFSET(OFFSET(INDEX('Paiements échelonnés'!D:D,MATCH($C$2,'Paiements échelonnés'!B:B,0)),ROW()-37,0),0,2)&lt;&gt;"",OFFSET(INDEX('Paiements échelonnés'!D:D,MATCH($C$2,'Paiements échelonnés'!B:B,0)),ROW()-37,0),"")</f>
        <v>0</v>
      </c>
      <c r="D50" s="300"/>
      <c r="E50" s="243">
        <f ca="1">SUMIFS('Paiements échelonnés'!E:E,'Paiements échelonnés'!C:C,B50,'Paiements échelonnés'!A:A,$C$2,'Paiements échelonnés'!F:F,"non")</f>
        <v>0</v>
      </c>
      <c r="F50" s="243">
        <f ca="1">SUMIFS('Paiements échelonnés'!E:E,'Paiements échelonnés'!C:C,B50,'Paiements échelonnés'!A:A,$C$2,'Paiements échelonnés'!F:F,"oui")</f>
        <v>0</v>
      </c>
      <c r="G50" s="243"/>
      <c r="H50" s="243"/>
      <c r="J50" s="274" t="s">
        <v>31</v>
      </c>
      <c r="K50" s="274" t="s">
        <v>86</v>
      </c>
      <c r="L50" s="274"/>
      <c r="M50" s="274"/>
      <c r="O50" s="290"/>
    </row>
    <row r="51" spans="1:15" s="285" customFormat="1" ht="13.5" customHeight="1" x14ac:dyDescent="0.2">
      <c r="A51" s="333"/>
      <c r="B51" s="240" t="str">
        <f ca="1">IF(OFFSET(OFFSET(INDEX('Paiements échelonnés'!H:H,MATCH($C$2,'Paiements échelonnés'!B:B,0)),ROW()-51,0),0,2)&lt;&gt;"",OFFSET(INDEX('Paiements échelonnés'!H:H,MATCH($C$2,'Paiements échelonnés'!B:B,0)),ROW()-51,0),"")</f>
        <v>Assurance ménage</v>
      </c>
      <c r="C51" s="241" t="str">
        <f ca="1">IF(OFFSET(OFFSET(INDEX('Paiements échelonnés'!I:I,MATCH($C$2,'Paiements échelonnés'!B:B,0)),ROW()-51,0),0,1)&lt;&gt;"",OFFSET(INDEX('Paiements échelonnés'!I:I,MATCH($C$2,'Paiements échelonnés'!B:B,0)),ROW()-51,0),"")</f>
        <v>Générali</v>
      </c>
      <c r="D51" s="300"/>
      <c r="E51" s="243">
        <f ca="1">SUMIFS('Paiements échelonnés'!J:J,'Paiements échelonnés'!H:H,B51,'Paiements échelonnés'!A:A,$C$2,'Paiements échelonnés'!K:K,"non")</f>
        <v>0</v>
      </c>
      <c r="F51" s="243">
        <f ca="1">SUMIFS('Paiements échelonnés'!J:J,'Paiements échelonnés'!H:H,B51,'Paiements échelonnés'!A:A,$C$2,'Paiements échelonnés'!K:K,"oui")</f>
        <v>12</v>
      </c>
      <c r="G51" s="243"/>
      <c r="H51" s="243">
        <f ca="1">-F51</f>
        <v>-12</v>
      </c>
      <c r="J51" s="274" t="s">
        <v>31</v>
      </c>
      <c r="K51" s="274" t="s">
        <v>86</v>
      </c>
      <c r="L51" s="274" t="s">
        <v>201</v>
      </c>
      <c r="M51" s="274" t="s">
        <v>261</v>
      </c>
      <c r="O51" s="290"/>
    </row>
    <row r="52" spans="1:15" s="285" customFormat="1" ht="13.5" customHeight="1" x14ac:dyDescent="0.2">
      <c r="A52" s="333"/>
      <c r="B52" s="240" t="str">
        <f ca="1">IF(OFFSET(OFFSET(INDEX('Paiements échelonnés'!H:H,MATCH($C$2,'Paiements échelonnés'!B:B,0)),ROW()-51,0),0,2)&lt;&gt;"",OFFSET(INDEX('Paiements échelonnés'!H:H,MATCH($C$2,'Paiements échelonnés'!B:B,0)),ROW()-51,0),"")</f>
        <v>Electricité</v>
      </c>
      <c r="C52" s="241" t="str">
        <f ca="1">IF(OFFSET(OFFSET(INDEX('Paiements échelonnés'!I:I,MATCH($C$2,'Paiements échelonnés'!B:B,0)),ROW()-51,0),0,1)&lt;&gt;"",OFFSET(INDEX('Paiements échelonnés'!I:I,MATCH($C$2,'Paiements échelonnés'!B:B,0)),ROW()-51,0),"")</f>
        <v>Groupe E</v>
      </c>
      <c r="D52" s="300"/>
      <c r="E52" s="243">
        <f ca="1">SUMIFS('Paiements échelonnés'!J:J,'Paiements échelonnés'!H:H,B52,'Paiements échelonnés'!A:A,$C$2,'Paiements échelonnés'!K:K,"non")</f>
        <v>0</v>
      </c>
      <c r="F52" s="243">
        <f ca="1">SUMIFS('Paiements échelonnés'!J:J,'Paiements échelonnés'!H:H,B52,'Paiements échelonnés'!A:A,$C$2,'Paiements échelonnés'!K:K,"oui")</f>
        <v>0</v>
      </c>
      <c r="G52" s="243"/>
      <c r="H52" s="243">
        <f t="shared" ref="H52:H64" ca="1" si="1">-F52</f>
        <v>0</v>
      </c>
      <c r="J52" s="274" t="s">
        <v>31</v>
      </c>
      <c r="K52" s="274" t="s">
        <v>86</v>
      </c>
      <c r="L52" s="274" t="s">
        <v>201</v>
      </c>
      <c r="M52" s="274" t="s">
        <v>261</v>
      </c>
      <c r="O52" s="290"/>
    </row>
    <row r="53" spans="1:15" s="285" customFormat="1" ht="13.5" customHeight="1" x14ac:dyDescent="0.2">
      <c r="A53" s="333"/>
      <c r="B53" s="240" t="str">
        <f ca="1">IF(OFFSET(OFFSET(INDEX('Paiements échelonnés'!H:H,MATCH($C$2,'Paiements échelonnés'!B:B,0)),ROW()-51,0),0,2)&lt;&gt;"",OFFSET(INDEX('Paiements échelonnés'!H:H,MATCH($C$2,'Paiements échelonnés'!B:B,0)),ROW()-51,0),"")</f>
        <v>Impôt véhicule</v>
      </c>
      <c r="C53" s="241" t="str">
        <f ca="1">IF(OFFSET(OFFSET(INDEX('Paiements échelonnés'!I:I,MATCH($C$2,'Paiements échelonnés'!B:B,0)),ROW()-51,0),0,1)&lt;&gt;"",OFFSET(INDEX('Paiements échelonnés'!I:I,MATCH($C$2,'Paiements échelonnés'!B:B,0)),ROW()-51,0),"")</f>
        <v>OCN</v>
      </c>
      <c r="D53" s="300"/>
      <c r="E53" s="243">
        <f ca="1">SUMIFS('Paiements échelonnés'!J:J,'Paiements échelonnés'!H:H,B53,'Paiements échelonnés'!A:A,$C$2,'Paiements échelonnés'!K:K,"non")</f>
        <v>0</v>
      </c>
      <c r="F53" s="243">
        <f ca="1">SUMIFS('Paiements échelonnés'!J:J,'Paiements échelonnés'!H:H,B53,'Paiements échelonnés'!A:A,$C$2,'Paiements échelonnés'!K:K,"oui")</f>
        <v>28</v>
      </c>
      <c r="G53" s="243"/>
      <c r="H53" s="243">
        <f t="shared" ca="1" si="1"/>
        <v>-28</v>
      </c>
      <c r="J53" s="274" t="s">
        <v>31</v>
      </c>
      <c r="K53" s="274" t="s">
        <v>86</v>
      </c>
      <c r="L53" s="274" t="s">
        <v>201</v>
      </c>
      <c r="M53" s="274" t="s">
        <v>261</v>
      </c>
      <c r="O53" s="290"/>
    </row>
    <row r="54" spans="1:15" s="285" customFormat="1" ht="13.5" customHeight="1" x14ac:dyDescent="0.2">
      <c r="A54" s="333"/>
      <c r="B54" s="240" t="str">
        <f ca="1">IF(OFFSET(OFFSET(INDEX('Paiements échelonnés'!H:H,MATCH($C$2,'Paiements échelonnés'!B:B,0)),ROW()-51,0),0,2)&lt;&gt;"",OFFSET(INDEX('Paiements échelonnés'!H:H,MATCH($C$2,'Paiements échelonnés'!B:B,0)),ROW()-51,0),"")</f>
        <v>Assurance véhicule</v>
      </c>
      <c r="C54" s="241">
        <f ca="1">IF(OFFSET(OFFSET(INDEX('Paiements échelonnés'!I:I,MATCH($C$2,'Paiements échelonnés'!B:B,0)),ROW()-51,0),0,1)&lt;&gt;"",OFFSET(INDEX('Paiements échelonnés'!I:I,MATCH($C$2,'Paiements échelonnés'!B:B,0)),ROW()-51,0),"")</f>
        <v>0</v>
      </c>
      <c r="D54" s="300"/>
      <c r="E54" s="243">
        <f ca="1">SUMIFS('Paiements échelonnés'!J:J,'Paiements échelonnés'!H:H,B54,'Paiements échelonnés'!A:A,$C$2,'Paiements échelonnés'!K:K,"non")</f>
        <v>0</v>
      </c>
      <c r="F54" s="243">
        <f ca="1">SUMIFS('Paiements échelonnés'!J:J,'Paiements échelonnés'!H:H,B54,'Paiements échelonnés'!A:A,$C$2,'Paiements échelonnés'!K:K,"oui")</f>
        <v>0</v>
      </c>
      <c r="G54" s="243"/>
      <c r="H54" s="243">
        <f t="shared" ca="1" si="1"/>
        <v>0</v>
      </c>
      <c r="J54" s="274" t="s">
        <v>31</v>
      </c>
      <c r="K54" s="274" t="s">
        <v>86</v>
      </c>
      <c r="L54" s="274" t="s">
        <v>201</v>
      </c>
      <c r="M54" s="274" t="s">
        <v>261</v>
      </c>
      <c r="O54" s="290"/>
    </row>
    <row r="55" spans="1:15" s="285" customFormat="1" ht="13.5" customHeight="1" x14ac:dyDescent="0.2">
      <c r="A55" s="333"/>
      <c r="B55" s="240" t="str">
        <f ca="1">IF(OFFSET(OFFSET(INDEX('Paiements échelonnés'!H:H,MATCH($C$2,'Paiements échelonnés'!B:B,0)),ROW()-51,0),0,2)&lt;&gt;"",OFFSET(INDEX('Paiements échelonnés'!H:H,MATCH($C$2,'Paiements échelonnés'!B:B,0)),ROW()-51,0),"")</f>
        <v>Billag</v>
      </c>
      <c r="C55" s="241">
        <f ca="1">IF(OFFSET(OFFSET(INDEX('Paiements échelonnés'!I:I,MATCH($C$2,'Paiements échelonnés'!B:B,0)),ROW()-51,0),0,1)&lt;&gt;"",OFFSET(INDEX('Paiements échelonnés'!I:I,MATCH($C$2,'Paiements échelonnés'!B:B,0)),ROW()-51,0),"")</f>
        <v>0</v>
      </c>
      <c r="D55" s="300"/>
      <c r="E55" s="243">
        <f ca="1">SUMIFS('Paiements échelonnés'!J:J,'Paiements échelonnés'!H:H,B55,'Paiements échelonnés'!A:A,$C$2,'Paiements échelonnés'!K:K,"non")</f>
        <v>0</v>
      </c>
      <c r="F55" s="243">
        <f ca="1">SUMIFS('Paiements échelonnés'!J:J,'Paiements échelonnés'!H:H,B55,'Paiements échelonnés'!A:A,$C$2,'Paiements échelonnés'!K:K,"oui")</f>
        <v>15</v>
      </c>
      <c r="G55" s="243"/>
      <c r="H55" s="243">
        <f t="shared" ca="1" si="1"/>
        <v>-15</v>
      </c>
      <c r="J55" s="274" t="s">
        <v>31</v>
      </c>
      <c r="K55" s="274" t="s">
        <v>86</v>
      </c>
      <c r="L55" s="274" t="s">
        <v>201</v>
      </c>
      <c r="M55" s="274" t="s">
        <v>261</v>
      </c>
      <c r="O55" s="290"/>
    </row>
    <row r="56" spans="1:15" s="285" customFormat="1" ht="13.5" customHeight="1" x14ac:dyDescent="0.2">
      <c r="A56" s="333"/>
      <c r="B56" s="240" t="str">
        <f ca="1">IF(OFFSET(OFFSET(INDEX('Paiements échelonnés'!H:H,MATCH($C$2,'Paiements échelonnés'!B:B,0)),ROW()-51,0),0,2)&lt;&gt;"",OFFSET(INDEX('Paiements échelonnés'!H:H,MATCH($C$2,'Paiements échelonnés'!B:B,0)),ROW()-51,0),"")</f>
        <v>kk</v>
      </c>
      <c r="C56" s="241">
        <f ca="1">IF(OFFSET(OFFSET(INDEX('Paiements échelonnés'!I:I,MATCH($C$2,'Paiements échelonnés'!B:B,0)),ROW()-51,0),0,1)&lt;&gt;"",OFFSET(INDEX('Paiements échelonnés'!I:I,MATCH($C$2,'Paiements échelonnés'!B:B,0)),ROW()-51,0),"")</f>
        <v>0</v>
      </c>
      <c r="D56" s="300"/>
      <c r="E56" s="243">
        <f ca="1">SUMIFS('Paiements échelonnés'!J:J,'Paiements échelonnés'!H:H,B56,'Paiements échelonnés'!A:A,$C$2,'Paiements échelonnés'!K:K,"non")</f>
        <v>0</v>
      </c>
      <c r="F56" s="243">
        <f ca="1">SUMIFS('Paiements échelonnés'!J:J,'Paiements échelonnés'!H:H,B56,'Paiements échelonnés'!A:A,$C$2,'Paiements échelonnés'!K:K,"oui")</f>
        <v>0</v>
      </c>
      <c r="G56" s="243"/>
      <c r="H56" s="243">
        <f t="shared" ca="1" si="1"/>
        <v>0</v>
      </c>
      <c r="J56" s="274" t="s">
        <v>31</v>
      </c>
      <c r="K56" s="274" t="s">
        <v>86</v>
      </c>
      <c r="L56" s="274" t="s">
        <v>201</v>
      </c>
      <c r="M56" s="274" t="s">
        <v>261</v>
      </c>
      <c r="O56" s="290"/>
    </row>
    <row r="57" spans="1:15" s="285" customFormat="1" ht="13.5" customHeight="1" x14ac:dyDescent="0.2">
      <c r="A57" s="333"/>
      <c r="B57" s="240">
        <f ca="1">IF(OFFSET(OFFSET(INDEX('Paiements échelonnés'!H:H,MATCH($C$2,'Paiements échelonnés'!B:B,0)),ROW()-51,0),0,2)&lt;&gt;"",OFFSET(INDEX('Paiements échelonnés'!H:H,MATCH($C$2,'Paiements échelonnés'!B:B,0)),ROW()-51,0),"")</f>
        <v>0</v>
      </c>
      <c r="C57" s="299">
        <f ca="1">IF(OFFSET(OFFSET(INDEX('Paiements échelonnés'!I:I,MATCH($C$2,'Paiements échelonnés'!B:B,0)),ROW()-51,0),0,1)&lt;&gt;"",OFFSET(INDEX('Paiements échelonnés'!I:I,MATCH($C$2,'Paiements échelonnés'!B:B,0)),ROW()-51,0),"")</f>
        <v>0</v>
      </c>
      <c r="D57" s="300"/>
      <c r="E57" s="243">
        <f ca="1">SUMIFS('Paiements échelonnés'!J:J,'Paiements échelonnés'!H:H,B57,'Paiements échelonnés'!A:A,$C$2,'Paiements échelonnés'!K:K,"non")</f>
        <v>0</v>
      </c>
      <c r="F57" s="243">
        <f ca="1">SUMIFS('Paiements échelonnés'!J:J,'Paiements échelonnés'!H:H,B57,'Paiements échelonnés'!A:A,$C$2,'Paiements échelonnés'!K:K,"oui")</f>
        <v>0</v>
      </c>
      <c r="G57" s="243"/>
      <c r="H57" s="243">
        <f t="shared" ca="1" si="1"/>
        <v>0</v>
      </c>
      <c r="J57" s="274" t="s">
        <v>31</v>
      </c>
      <c r="K57" s="274" t="s">
        <v>86</v>
      </c>
      <c r="L57" s="274" t="s">
        <v>201</v>
      </c>
      <c r="M57" s="274" t="s">
        <v>261</v>
      </c>
      <c r="O57" s="290"/>
    </row>
    <row r="58" spans="1:15" s="285" customFormat="1" ht="13.5" customHeight="1" x14ac:dyDescent="0.2">
      <c r="A58" s="333"/>
      <c r="B58" s="240">
        <f ca="1">IF(OFFSET(OFFSET(INDEX('Paiements échelonnés'!H:H,MATCH($C$2,'Paiements échelonnés'!B:B,0)),ROW()-51,0),0,2)&lt;&gt;"",OFFSET(INDEX('Paiements échelonnés'!H:H,MATCH($C$2,'Paiements échelonnés'!B:B,0)),ROW()-51,0),"")</f>
        <v>0</v>
      </c>
      <c r="C58" s="299">
        <f ca="1">IF(OFFSET(OFFSET(INDEX('Paiements échelonnés'!I:I,MATCH($C$2,'Paiements échelonnés'!B:B,0)),ROW()-51,0),0,1)&lt;&gt;"",OFFSET(INDEX('Paiements échelonnés'!I:I,MATCH($C$2,'Paiements échelonnés'!B:B,0)),ROW()-51,0),"")</f>
        <v>0</v>
      </c>
      <c r="D58" s="300"/>
      <c r="E58" s="243">
        <f ca="1">SUMIFS('Paiements échelonnés'!J:J,'Paiements échelonnés'!H:H,B58,'Paiements échelonnés'!A:A,$C$2,'Paiements échelonnés'!K:K,"non")</f>
        <v>0</v>
      </c>
      <c r="F58" s="243">
        <f ca="1">SUMIFS('Paiements échelonnés'!J:J,'Paiements échelonnés'!H:H,B58,'Paiements échelonnés'!A:A,$C$2,'Paiements échelonnés'!K:K,"oui")</f>
        <v>0</v>
      </c>
      <c r="G58" s="243"/>
      <c r="H58" s="243">
        <f t="shared" ca="1" si="1"/>
        <v>0</v>
      </c>
      <c r="J58" s="274" t="s">
        <v>31</v>
      </c>
      <c r="K58" s="274" t="s">
        <v>86</v>
      </c>
      <c r="L58" s="274" t="s">
        <v>201</v>
      </c>
      <c r="M58" s="274" t="s">
        <v>261</v>
      </c>
      <c r="O58" s="290"/>
    </row>
    <row r="59" spans="1:15" s="285" customFormat="1" ht="13.5" customHeight="1" x14ac:dyDescent="0.2">
      <c r="A59" s="333"/>
      <c r="B59" s="240">
        <f ca="1">IF(OFFSET(OFFSET(INDEX('Paiements échelonnés'!H:H,MATCH($C$2,'Paiements échelonnés'!B:B,0)),ROW()-51,0),0,2)&lt;&gt;"",OFFSET(INDEX('Paiements échelonnés'!H:H,MATCH($C$2,'Paiements échelonnés'!B:B,0)),ROW()-51,0),"")</f>
        <v>0</v>
      </c>
      <c r="C59" s="299">
        <f ca="1">IF(OFFSET(OFFSET(INDEX('Paiements échelonnés'!I:I,MATCH($C$2,'Paiements échelonnés'!B:B,0)),ROW()-51,0),0,1)&lt;&gt;"",OFFSET(INDEX('Paiements échelonnés'!I:I,MATCH($C$2,'Paiements échelonnés'!B:B,0)),ROW()-51,0),"")</f>
        <v>0</v>
      </c>
      <c r="D59" s="300"/>
      <c r="E59" s="243">
        <f ca="1">SUMIFS('Paiements échelonnés'!J:J,'Paiements échelonnés'!H:H,B59,'Paiements échelonnés'!A:A,$C$2,'Paiements échelonnés'!K:K,"non")</f>
        <v>0</v>
      </c>
      <c r="F59" s="243">
        <f ca="1">SUMIFS('Paiements échelonnés'!J:J,'Paiements échelonnés'!H:H,B59,'Paiements échelonnés'!A:A,$C$2,'Paiements échelonnés'!K:K,"oui")</f>
        <v>0</v>
      </c>
      <c r="G59" s="243"/>
      <c r="H59" s="243">
        <f t="shared" ca="1" si="1"/>
        <v>0</v>
      </c>
      <c r="J59" s="274" t="s">
        <v>31</v>
      </c>
      <c r="K59" s="274" t="s">
        <v>86</v>
      </c>
      <c r="L59" s="274" t="s">
        <v>201</v>
      </c>
      <c r="M59" s="274" t="s">
        <v>261</v>
      </c>
      <c r="O59" s="290"/>
    </row>
    <row r="60" spans="1:15" s="285" customFormat="1" ht="13.5" customHeight="1" x14ac:dyDescent="0.2">
      <c r="A60" s="333"/>
      <c r="B60" s="240">
        <f ca="1">IF(OFFSET(OFFSET(INDEX('Paiements échelonnés'!H:H,MATCH($C$2,'Paiements échelonnés'!B:B,0)),ROW()-51,0),0,2)&lt;&gt;"",OFFSET(INDEX('Paiements échelonnés'!H:H,MATCH($C$2,'Paiements échelonnés'!B:B,0)),ROW()-51,0),"")</f>
        <v>0</v>
      </c>
      <c r="C60" s="299">
        <f ca="1">IF(OFFSET(OFFSET(INDEX('Paiements échelonnés'!I:I,MATCH($C$2,'Paiements échelonnés'!B:B,0)),ROW()-51,0),0,1)&lt;&gt;"",OFFSET(INDEX('Paiements échelonnés'!I:I,MATCH($C$2,'Paiements échelonnés'!B:B,0)),ROW()-51,0),"")</f>
        <v>0</v>
      </c>
      <c r="D60" s="300"/>
      <c r="E60" s="243">
        <f ca="1">SUMIFS('Paiements échelonnés'!J:J,'Paiements échelonnés'!H:H,B60,'Paiements échelonnés'!A:A,$C$2,'Paiements échelonnés'!K:K,"non")</f>
        <v>0</v>
      </c>
      <c r="F60" s="243">
        <f ca="1">SUMIFS('Paiements échelonnés'!J:J,'Paiements échelonnés'!H:H,B60,'Paiements échelonnés'!A:A,$C$2,'Paiements échelonnés'!K:K,"oui")</f>
        <v>0</v>
      </c>
      <c r="G60" s="243"/>
      <c r="H60" s="243">
        <f t="shared" ca="1" si="1"/>
        <v>0</v>
      </c>
      <c r="J60" s="274" t="s">
        <v>31</v>
      </c>
      <c r="K60" s="274" t="s">
        <v>86</v>
      </c>
      <c r="L60" s="274" t="s">
        <v>201</v>
      </c>
      <c r="M60" s="274" t="s">
        <v>261</v>
      </c>
      <c r="O60" s="290"/>
    </row>
    <row r="61" spans="1:15" s="285" customFormat="1" ht="13.5" customHeight="1" x14ac:dyDescent="0.2">
      <c r="A61" s="333"/>
      <c r="B61" s="240">
        <f ca="1">IF(OFFSET(OFFSET(INDEX('Paiements échelonnés'!H:H,MATCH($C$2,'Paiements échelonnés'!B:B,0)),ROW()-51,0),0,2)&lt;&gt;"",OFFSET(INDEX('Paiements échelonnés'!H:H,MATCH($C$2,'Paiements échelonnés'!B:B,0)),ROW()-51,0),"")</f>
        <v>0</v>
      </c>
      <c r="C61" s="299">
        <f ca="1">IF(OFFSET(OFFSET(INDEX('Paiements échelonnés'!I:I,MATCH($C$2,'Paiements échelonnés'!B:B,0)),ROW()-51,0),0,1)&lt;&gt;"",OFFSET(INDEX('Paiements échelonnés'!I:I,MATCH($C$2,'Paiements échelonnés'!B:B,0)),ROW()-51,0),"")</f>
        <v>0</v>
      </c>
      <c r="D61" s="300"/>
      <c r="E61" s="243">
        <f ca="1">SUMIFS('Paiements échelonnés'!J:J,'Paiements échelonnés'!H:H,B61,'Paiements échelonnés'!A:A,$C$2,'Paiements échelonnés'!K:K,"non")</f>
        <v>0</v>
      </c>
      <c r="F61" s="243">
        <f ca="1">SUMIFS('Paiements échelonnés'!J:J,'Paiements échelonnés'!H:H,B61,'Paiements échelonnés'!A:A,$C$2,'Paiements échelonnés'!K:K,"oui")</f>
        <v>0</v>
      </c>
      <c r="G61" s="243"/>
      <c r="H61" s="243">
        <f t="shared" ca="1" si="1"/>
        <v>0</v>
      </c>
      <c r="J61" s="274" t="s">
        <v>31</v>
      </c>
      <c r="K61" s="274" t="s">
        <v>86</v>
      </c>
      <c r="L61" s="274" t="s">
        <v>201</v>
      </c>
      <c r="M61" s="274" t="s">
        <v>261</v>
      </c>
      <c r="O61" s="290"/>
    </row>
    <row r="62" spans="1:15" s="285" customFormat="1" ht="13.5" customHeight="1" x14ac:dyDescent="0.2">
      <c r="A62" s="333"/>
      <c r="B62" s="240">
        <f ca="1">IF(OFFSET(OFFSET(INDEX('Paiements échelonnés'!H:H,MATCH($C$2,'Paiements échelonnés'!B:B,0)),ROW()-51,0),0,2)&lt;&gt;"",OFFSET(INDEX('Paiements échelonnés'!H:H,MATCH($C$2,'Paiements échelonnés'!B:B,0)),ROW()-51,0),"")</f>
        <v>0</v>
      </c>
      <c r="C62" s="299">
        <f ca="1">IF(OFFSET(OFFSET(INDEX('Paiements échelonnés'!I:I,MATCH($C$2,'Paiements échelonnés'!B:B,0)),ROW()-51,0),0,1)&lt;&gt;"",OFFSET(INDEX('Paiements échelonnés'!I:I,MATCH($C$2,'Paiements échelonnés'!B:B,0)),ROW()-51,0),"")</f>
        <v>0</v>
      </c>
      <c r="D62" s="300"/>
      <c r="E62" s="243">
        <f ca="1">SUMIFS('Paiements échelonnés'!J:J,'Paiements échelonnés'!H:H,B62,'Paiements échelonnés'!A:A,$C$2,'Paiements échelonnés'!K:K,"non")</f>
        <v>0</v>
      </c>
      <c r="F62" s="243">
        <f ca="1">SUMIFS('Paiements échelonnés'!J:J,'Paiements échelonnés'!H:H,B62,'Paiements échelonnés'!A:A,$C$2,'Paiements échelonnés'!K:K,"oui")</f>
        <v>0</v>
      </c>
      <c r="G62" s="243"/>
      <c r="H62" s="243">
        <f t="shared" ca="1" si="1"/>
        <v>0</v>
      </c>
      <c r="J62" s="274" t="s">
        <v>31</v>
      </c>
      <c r="K62" s="274" t="s">
        <v>86</v>
      </c>
      <c r="L62" s="274" t="s">
        <v>201</v>
      </c>
      <c r="M62" s="274" t="s">
        <v>261</v>
      </c>
      <c r="O62" s="290"/>
    </row>
    <row r="63" spans="1:15" s="285" customFormat="1" ht="13.5" customHeight="1" x14ac:dyDescent="0.2">
      <c r="A63" s="333"/>
      <c r="B63" s="240">
        <f ca="1">IF(OFFSET(OFFSET(INDEX('Paiements échelonnés'!H:H,MATCH($C$2,'Paiements échelonnés'!B:B,0)),ROW()-51,0),0,2)&lt;&gt;"",OFFSET(INDEX('Paiements échelonnés'!H:H,MATCH($C$2,'Paiements échelonnés'!B:B,0)),ROW()-51,0),"")</f>
        <v>0</v>
      </c>
      <c r="C63" s="299">
        <f ca="1">IF(OFFSET(OFFSET(INDEX('Paiements échelonnés'!I:I,MATCH($C$2,'Paiements échelonnés'!B:B,0)),ROW()-51,0),0,1)&lt;&gt;"",OFFSET(INDEX('Paiements échelonnés'!I:I,MATCH($C$2,'Paiements échelonnés'!B:B,0)),ROW()-51,0),"")</f>
        <v>0</v>
      </c>
      <c r="D63" s="300"/>
      <c r="E63" s="243">
        <f ca="1">SUMIFS('Paiements échelonnés'!J:J,'Paiements échelonnés'!H:H,B63,'Paiements échelonnés'!A:A,$C$2,'Paiements échelonnés'!K:K,"non")</f>
        <v>0</v>
      </c>
      <c r="F63" s="243">
        <f ca="1">SUMIFS('Paiements échelonnés'!J:J,'Paiements échelonnés'!H:H,B63,'Paiements échelonnés'!A:A,$C$2,'Paiements échelonnés'!K:K,"oui")</f>
        <v>0</v>
      </c>
      <c r="G63" s="243"/>
      <c r="H63" s="243">
        <f t="shared" ca="1" si="1"/>
        <v>0</v>
      </c>
      <c r="J63" s="274" t="s">
        <v>31</v>
      </c>
      <c r="K63" s="274" t="s">
        <v>86</v>
      </c>
      <c r="L63" s="274" t="s">
        <v>201</v>
      </c>
      <c r="M63" s="274" t="s">
        <v>261</v>
      </c>
      <c r="O63" s="290"/>
    </row>
    <row r="64" spans="1:15" s="285" customFormat="1" ht="13.5" customHeight="1" x14ac:dyDescent="0.2">
      <c r="A64" s="333"/>
      <c r="B64" s="240">
        <f ca="1">IF(OFFSET(OFFSET(INDEX('Paiements échelonnés'!H:H,MATCH($C$2,'Paiements échelonnés'!B:B,0)),ROW()-51,0),0,2)&lt;&gt;"",OFFSET(INDEX('Paiements échelonnés'!H:H,MATCH($C$2,'Paiements échelonnés'!B:B,0)),ROW()-51,0),"")</f>
        <v>0</v>
      </c>
      <c r="C64" s="299">
        <f ca="1">IF(OFFSET(OFFSET(INDEX('Paiements échelonnés'!I:I,MATCH($C$2,'Paiements échelonnés'!B:B,0)),ROW()-51,0),0,1)&lt;&gt;"",OFFSET(INDEX('Paiements échelonnés'!I:I,MATCH($C$2,'Paiements échelonnés'!B:B,0)),ROW()-51,0),"")</f>
        <v>0</v>
      </c>
      <c r="D64" s="300"/>
      <c r="E64" s="243">
        <f ca="1">SUMIFS('Paiements échelonnés'!J:J,'Paiements échelonnés'!H:H,B64,'Paiements échelonnés'!A:A,$C$2,'Paiements échelonnés'!K:K,"non")</f>
        <v>0</v>
      </c>
      <c r="F64" s="243">
        <f ca="1">SUMIFS('Paiements échelonnés'!J:J,'Paiements échelonnés'!H:H,B64,'Paiements échelonnés'!A:A,$C$2,'Paiements échelonnés'!K:K,"oui")</f>
        <v>0</v>
      </c>
      <c r="G64" s="243"/>
      <c r="H64" s="243">
        <f t="shared" ca="1" si="1"/>
        <v>0</v>
      </c>
      <c r="J64" s="274" t="s">
        <v>31</v>
      </c>
      <c r="K64" s="274" t="s">
        <v>86</v>
      </c>
      <c r="L64" s="274" t="s">
        <v>201</v>
      </c>
      <c r="M64" s="274" t="s">
        <v>261</v>
      </c>
      <c r="O64" s="290"/>
    </row>
    <row r="65" spans="1:15" s="285" customFormat="1" ht="14.25" customHeight="1" x14ac:dyDescent="0.2">
      <c r="A65" s="333"/>
      <c r="B65" s="240"/>
      <c r="C65" s="301"/>
      <c r="D65" s="302"/>
      <c r="E65" s="303"/>
      <c r="F65" s="303"/>
      <c r="G65" s="303"/>
      <c r="H65" s="303"/>
      <c r="J65" s="384" t="s">
        <v>31</v>
      </c>
      <c r="K65" s="384" t="s">
        <v>86</v>
      </c>
      <c r="L65" s="384"/>
      <c r="M65" s="384">
        <v>2027</v>
      </c>
      <c r="O65" s="290"/>
    </row>
    <row r="66" spans="1:15" s="285" customFormat="1" ht="13.5" customHeight="1" x14ac:dyDescent="0.2">
      <c r="A66" s="333"/>
      <c r="B66" s="240"/>
      <c r="C66" s="301"/>
      <c r="D66" s="302"/>
      <c r="E66" s="303"/>
      <c r="F66" s="303"/>
      <c r="G66" s="303"/>
      <c r="H66" s="303"/>
      <c r="J66" s="384" t="s">
        <v>31</v>
      </c>
      <c r="K66" s="384" t="s">
        <v>86</v>
      </c>
      <c r="L66" s="384"/>
      <c r="M66" s="384">
        <v>2027</v>
      </c>
      <c r="O66" s="290"/>
    </row>
    <row r="67" spans="1:15" s="285" customFormat="1" ht="13.5" customHeight="1" x14ac:dyDescent="0.2">
      <c r="A67" s="333"/>
      <c r="B67" s="240"/>
      <c r="C67" s="301"/>
      <c r="D67" s="302"/>
      <c r="E67" s="303"/>
      <c r="F67" s="303"/>
      <c r="G67" s="303"/>
      <c r="H67" s="303"/>
      <c r="J67" s="384" t="s">
        <v>31</v>
      </c>
      <c r="K67" s="384" t="s">
        <v>86</v>
      </c>
      <c r="L67" s="384"/>
      <c r="M67" s="384">
        <v>2027</v>
      </c>
      <c r="O67" s="290"/>
    </row>
    <row r="68" spans="1:15" s="285" customFormat="1" ht="13.5" customHeight="1" x14ac:dyDescent="0.2">
      <c r="A68" s="333"/>
      <c r="B68" s="240"/>
      <c r="C68" s="301"/>
      <c r="D68" s="302"/>
      <c r="E68" s="303"/>
      <c r="F68" s="303"/>
      <c r="G68" s="303"/>
      <c r="H68" s="303"/>
      <c r="J68" s="384" t="s">
        <v>31</v>
      </c>
      <c r="K68" s="384" t="s">
        <v>86</v>
      </c>
      <c r="L68" s="384"/>
      <c r="M68" s="384">
        <v>2027</v>
      </c>
      <c r="O68" s="290"/>
    </row>
    <row r="69" spans="1:15" s="285" customFormat="1" ht="13.5" customHeight="1" x14ac:dyDescent="0.2">
      <c r="A69" s="333"/>
      <c r="B69" s="240"/>
      <c r="C69" s="301"/>
      <c r="D69" s="302"/>
      <c r="E69" s="303"/>
      <c r="F69" s="303"/>
      <c r="G69" s="303"/>
      <c r="H69" s="303"/>
      <c r="J69" s="384" t="s">
        <v>31</v>
      </c>
      <c r="K69" s="384" t="s">
        <v>86</v>
      </c>
      <c r="L69" s="384"/>
      <c r="M69" s="384">
        <v>2027</v>
      </c>
      <c r="O69" s="290"/>
    </row>
    <row r="70" spans="1:15" s="285" customFormat="1" ht="13.5" customHeight="1" x14ac:dyDescent="0.2">
      <c r="A70" s="333"/>
      <c r="B70" s="304" t="s">
        <v>238</v>
      </c>
      <c r="C70" s="305"/>
      <c r="D70" s="306"/>
      <c r="E70" s="303"/>
      <c r="F70" s="303">
        <f ca="1">IF(G72-SUM(F36:F69)&lt;=0,0,G72-SUM(F36:F69))</f>
        <v>883.3</v>
      </c>
      <c r="G70" s="303"/>
      <c r="H70" s="303"/>
      <c r="J70" s="274" t="s">
        <v>31</v>
      </c>
      <c r="K70" s="274" t="s">
        <v>86</v>
      </c>
      <c r="L70" s="274"/>
      <c r="M70" s="274"/>
      <c r="O70" s="290"/>
    </row>
    <row r="71" spans="1:15" s="285" customFormat="1" ht="13.5" customHeight="1" x14ac:dyDescent="0.2">
      <c r="A71" s="333"/>
      <c r="B71" s="292" t="s">
        <v>53</v>
      </c>
      <c r="C71" s="290"/>
      <c r="D71" s="291"/>
      <c r="E71" s="297"/>
      <c r="F71" s="297"/>
      <c r="G71" s="297"/>
      <c r="H71" s="297"/>
      <c r="J71" s="274" t="s">
        <v>31</v>
      </c>
      <c r="K71" s="274" t="s">
        <v>86</v>
      </c>
      <c r="L71" s="274"/>
      <c r="M71" s="274"/>
      <c r="O71" s="290"/>
    </row>
    <row r="72" spans="1:15" s="202" customFormat="1" ht="12.75" x14ac:dyDescent="0.2">
      <c r="A72" s="334"/>
      <c r="B72" s="269" t="s">
        <v>52</v>
      </c>
      <c r="C72" s="270"/>
      <c r="D72" s="271"/>
      <c r="E72" s="275">
        <f ca="1">SUM(E34:E71)</f>
        <v>81.5</v>
      </c>
      <c r="F72" s="275">
        <f ca="1">SUM(F34:F71)</f>
        <v>1045</v>
      </c>
      <c r="G72" s="275">
        <f ca="1">SUM(G34:G71)</f>
        <v>1045</v>
      </c>
      <c r="H72" s="275">
        <f ca="1">SUM(H34:H71)</f>
        <v>-55</v>
      </c>
      <c r="J72" s="224"/>
      <c r="K72" s="224"/>
      <c r="L72" s="224"/>
      <c r="M72" s="224"/>
      <c r="O72" s="296"/>
    </row>
    <row r="73" spans="1:15" s="203" customFormat="1" ht="12.75" x14ac:dyDescent="0.2">
      <c r="A73" s="334"/>
      <c r="B73" s="277" t="s">
        <v>38</v>
      </c>
      <c r="C73" s="294"/>
      <c r="D73" s="279"/>
      <c r="E73" s="280"/>
      <c r="F73" s="280"/>
      <c r="G73" s="280"/>
      <c r="H73" s="281"/>
      <c r="J73" s="224"/>
      <c r="K73" s="224"/>
      <c r="L73" s="224"/>
      <c r="M73" s="224"/>
    </row>
    <row r="74" spans="1:15" s="285" customFormat="1" ht="12" x14ac:dyDescent="0.2">
      <c r="A74" s="333"/>
      <c r="B74" s="292" t="s">
        <v>51</v>
      </c>
      <c r="C74" s="290"/>
      <c r="D74" s="291"/>
      <c r="E74" s="293"/>
      <c r="F74" s="297">
        <f>SUMIFS('Frais de logement'!F:F,'Frais de logement'!A:A,C2,'Frais de logement'!B:B,B74)</f>
        <v>2400</v>
      </c>
      <c r="G74" s="297">
        <f ca="1">SUMIFS('Frais de logement'!G:G,'Frais de logement'!A:A,C2,'Frais de logement'!B:B,B74)</f>
        <v>725</v>
      </c>
      <c r="H74" s="297"/>
      <c r="J74" s="274" t="s">
        <v>39</v>
      </c>
      <c r="K74" s="274" t="s">
        <v>82</v>
      </c>
      <c r="L74" s="274">
        <v>4010</v>
      </c>
      <c r="M74" s="274">
        <v>2027</v>
      </c>
    </row>
    <row r="75" spans="1:15" s="285" customFormat="1" ht="12" x14ac:dyDescent="0.2">
      <c r="A75" s="333"/>
      <c r="B75" s="292" t="s">
        <v>43</v>
      </c>
      <c r="C75" s="290"/>
      <c r="D75" s="291"/>
      <c r="E75" s="293">
        <f>SUMIFS('Frais de logement'!E:E,'Frais de logement'!A:A,C2,'Frais de logement'!B:B,B75)</f>
        <v>0</v>
      </c>
      <c r="F75" s="297">
        <f>SUMIFS('Frais de logement'!F:F,'Frais de logement'!A:A,C2,'Frais de logement'!B:B,B75)</f>
        <v>270</v>
      </c>
      <c r="G75" s="297">
        <f>SUMIFS('Frais de logement'!G:G,'Frais de logement'!A:A,C2,'Frais de logement'!B:B,B75)</f>
        <v>270</v>
      </c>
      <c r="H75" s="297">
        <f>IF(F75+E75&lt;G75,0,F75-G75)</f>
        <v>0</v>
      </c>
      <c r="J75" s="274" t="s">
        <v>39</v>
      </c>
      <c r="K75" s="274" t="s">
        <v>83</v>
      </c>
      <c r="L75" s="274">
        <v>4010</v>
      </c>
      <c r="M75" s="274">
        <v>2027</v>
      </c>
      <c r="N75" s="285">
        <f>IF(C2='Caisse maladie'!A:A,"SI(D49=''Caisse maladie'!:C)",0)</f>
        <v>0</v>
      </c>
    </row>
    <row r="76" spans="1:15" s="202" customFormat="1" ht="12.75" customHeight="1" x14ac:dyDescent="0.2">
      <c r="A76" s="335"/>
      <c r="B76" s="269" t="s">
        <v>44</v>
      </c>
      <c r="C76" s="270"/>
      <c r="D76" s="271"/>
      <c r="E76" s="275">
        <f>SUM(E74:E75)</f>
        <v>0</v>
      </c>
      <c r="F76" s="275">
        <f>SUM(F74:F75)</f>
        <v>2670</v>
      </c>
      <c r="G76" s="275">
        <f ca="1">SUM(G74:G75)</f>
        <v>995</v>
      </c>
      <c r="H76" s="276">
        <f>SUM(H74:H75)</f>
        <v>0</v>
      </c>
      <c r="J76" s="224"/>
      <c r="K76" s="224"/>
      <c r="L76" s="224"/>
      <c r="M76" s="224"/>
    </row>
    <row r="77" spans="1:15" s="203" customFormat="1" ht="12.75" customHeight="1" x14ac:dyDescent="0.2">
      <c r="A77" s="336" t="s">
        <v>34</v>
      </c>
      <c r="B77" s="277" t="s">
        <v>34</v>
      </c>
      <c r="C77" s="278" t="s">
        <v>55</v>
      </c>
      <c r="D77" s="294"/>
      <c r="E77" s="295"/>
      <c r="F77" s="295"/>
      <c r="G77" s="295"/>
      <c r="H77" s="281"/>
      <c r="J77" s="224"/>
      <c r="K77" s="224"/>
      <c r="L77" s="224"/>
      <c r="M77" s="224"/>
    </row>
    <row r="78" spans="1:15" s="285" customFormat="1" ht="12" x14ac:dyDescent="0.2">
      <c r="A78" s="337"/>
      <c r="B78" s="240" t="str">
        <f t="array" ref="B78">INDEX('Caisse maladie'!$C$2:$C$49,MATCH(1,('Caisse maladie'!$A$2:$A$49=C2)*('Caisse maladie'!$B$2:$B$49="LAMAL"),0))</f>
        <v>CSS</v>
      </c>
      <c r="C78" s="290"/>
      <c r="D78" s="291" t="s">
        <v>45</v>
      </c>
      <c r="E78" s="283">
        <f>SUMIFS('Caisse maladie'!D:D,'Caisse maladie'!A:A,C2,'Caisse maladie'!B:B,D78,'Caisse maladie'!E:E,"non")</f>
        <v>0</v>
      </c>
      <c r="F78" s="283">
        <f>SUMIFS('Caisse maladie'!D:D,'Caisse maladie'!A:A,C2,'Caisse maladie'!B:B,D78,'Caisse maladie'!E:E,"oui")</f>
        <v>352.8</v>
      </c>
      <c r="G78" s="283">
        <f>F78+E78</f>
        <v>352.8</v>
      </c>
      <c r="H78" s="243">
        <f>G78-F78-E78</f>
        <v>0</v>
      </c>
      <c r="J78" s="274" t="s">
        <v>35</v>
      </c>
      <c r="K78" s="286" t="s">
        <v>41</v>
      </c>
      <c r="L78" s="286">
        <v>4024</v>
      </c>
      <c r="M78" s="274">
        <v>2027</v>
      </c>
    </row>
    <row r="79" spans="1:15" s="285" customFormat="1" ht="12" x14ac:dyDescent="0.2">
      <c r="A79" s="337"/>
      <c r="B79" s="292" t="s">
        <v>89</v>
      </c>
      <c r="C79" s="290"/>
      <c r="D79" s="291" t="s">
        <v>45</v>
      </c>
      <c r="E79" s="283">
        <f>-SUMIFS('Caisse maladie'!F:F,'Caisse maladie'!A:A,C2,'Caisse maladie'!B:B,D79,'Caisse maladie'!E:E,"non")</f>
        <v>0</v>
      </c>
      <c r="F79" s="283">
        <f>-SUMIFS('Caisse maladie'!F:F,'Caisse maladie'!A:A,C2,'Caisse maladie'!B:B,D79,'Caisse maladie'!E:E,"oui")</f>
        <v>-12.8</v>
      </c>
      <c r="G79" s="283">
        <f t="shared" ref="G79:G87" si="2">F79+E79</f>
        <v>-12.8</v>
      </c>
      <c r="H79" s="243">
        <f t="shared" ref="H79:H87" si="3">G79-F79-E79</f>
        <v>0</v>
      </c>
      <c r="J79" s="274" t="s">
        <v>35</v>
      </c>
      <c r="K79" s="286" t="s">
        <v>41</v>
      </c>
      <c r="L79" s="286">
        <v>4024</v>
      </c>
      <c r="M79" s="274">
        <v>2027</v>
      </c>
    </row>
    <row r="80" spans="1:15" s="285" customFormat="1" ht="12" x14ac:dyDescent="0.2">
      <c r="A80" s="337"/>
      <c r="B80" s="240" t="str">
        <f>B78</f>
        <v>CSS</v>
      </c>
      <c r="C80" s="290"/>
      <c r="D80" s="291" t="s">
        <v>47</v>
      </c>
      <c r="E80" s="293"/>
      <c r="F80" s="293"/>
      <c r="G80" s="283">
        <f t="shared" si="2"/>
        <v>0</v>
      </c>
      <c r="H80" s="243">
        <f t="shared" si="3"/>
        <v>0</v>
      </c>
      <c r="J80" s="274" t="s">
        <v>35</v>
      </c>
      <c r="K80" s="286" t="s">
        <v>273</v>
      </c>
      <c r="L80" s="286">
        <v>4023</v>
      </c>
      <c r="M80" s="274">
        <v>2027</v>
      </c>
    </row>
    <row r="81" spans="1:20" s="285" customFormat="1" ht="12" x14ac:dyDescent="0.2">
      <c r="A81" s="337"/>
      <c r="B81" s="240" t="str">
        <f>B78</f>
        <v>CSS</v>
      </c>
      <c r="C81" s="290"/>
      <c r="D81" s="291" t="s">
        <v>47</v>
      </c>
      <c r="E81" s="293"/>
      <c r="F81" s="293"/>
      <c r="G81" s="283">
        <f t="shared" si="2"/>
        <v>0</v>
      </c>
      <c r="H81" s="243">
        <f t="shared" si="3"/>
        <v>0</v>
      </c>
      <c r="J81" s="274" t="s">
        <v>35</v>
      </c>
      <c r="K81" s="286" t="s">
        <v>273</v>
      </c>
      <c r="L81" s="286">
        <v>4023</v>
      </c>
      <c r="M81" s="274">
        <v>2027</v>
      </c>
    </row>
    <row r="82" spans="1:20" s="285" customFormat="1" ht="12" x14ac:dyDescent="0.2">
      <c r="A82" s="337"/>
      <c r="B82" s="240" t="str">
        <f>B78</f>
        <v>CSS</v>
      </c>
      <c r="C82" s="290"/>
      <c r="D82" s="291" t="s">
        <v>47</v>
      </c>
      <c r="E82" s="293"/>
      <c r="F82" s="293">
        <v>26.8</v>
      </c>
      <c r="G82" s="283">
        <f t="shared" si="2"/>
        <v>26.8</v>
      </c>
      <c r="H82" s="243">
        <f t="shared" si="3"/>
        <v>0</v>
      </c>
      <c r="J82" s="274" t="s">
        <v>35</v>
      </c>
      <c r="K82" s="286" t="s">
        <v>273</v>
      </c>
      <c r="L82" s="286">
        <v>4023</v>
      </c>
      <c r="M82" s="274">
        <v>2027</v>
      </c>
    </row>
    <row r="83" spans="1:20" s="285" customFormat="1" ht="12" x14ac:dyDescent="0.2">
      <c r="A83" s="337"/>
      <c r="B83" s="240" t="str">
        <f>B78</f>
        <v>CSS</v>
      </c>
      <c r="C83" s="290"/>
      <c r="D83" s="291" t="s">
        <v>47</v>
      </c>
      <c r="E83" s="293"/>
      <c r="F83" s="293"/>
      <c r="G83" s="283">
        <f t="shared" si="2"/>
        <v>0</v>
      </c>
      <c r="H83" s="243">
        <f t="shared" si="3"/>
        <v>0</v>
      </c>
      <c r="J83" s="274" t="s">
        <v>35</v>
      </c>
      <c r="K83" s="286" t="s">
        <v>273</v>
      </c>
      <c r="L83" s="286">
        <v>4023</v>
      </c>
      <c r="M83" s="274">
        <v>2027</v>
      </c>
    </row>
    <row r="84" spans="1:20" s="285" customFormat="1" ht="12" x14ac:dyDescent="0.2">
      <c r="A84" s="337"/>
      <c r="B84" s="240" t="str">
        <f>B78</f>
        <v>CSS</v>
      </c>
      <c r="C84" s="290"/>
      <c r="D84" s="291" t="s">
        <v>47</v>
      </c>
      <c r="E84" s="293"/>
      <c r="F84" s="293"/>
      <c r="G84" s="283">
        <f t="shared" si="2"/>
        <v>0</v>
      </c>
      <c r="H84" s="243">
        <f t="shared" si="3"/>
        <v>0</v>
      </c>
      <c r="J84" s="274" t="s">
        <v>35</v>
      </c>
      <c r="K84" s="286" t="s">
        <v>273</v>
      </c>
      <c r="L84" s="286">
        <v>4023</v>
      </c>
      <c r="M84" s="274">
        <v>2027</v>
      </c>
    </row>
    <row r="85" spans="1:20" s="285" customFormat="1" ht="12" x14ac:dyDescent="0.2">
      <c r="A85" s="337"/>
      <c r="B85" s="240" t="s">
        <v>212</v>
      </c>
      <c r="C85" s="290"/>
      <c r="D85" s="291" t="s">
        <v>211</v>
      </c>
      <c r="E85" s="293"/>
      <c r="F85" s="293"/>
      <c r="G85" s="283">
        <f t="shared" si="2"/>
        <v>0</v>
      </c>
      <c r="H85" s="243">
        <f t="shared" si="3"/>
        <v>0</v>
      </c>
      <c r="J85" s="274" t="s">
        <v>35</v>
      </c>
      <c r="K85" s="286" t="s">
        <v>273</v>
      </c>
      <c r="L85" s="286">
        <v>4023</v>
      </c>
      <c r="M85" s="274">
        <v>2027</v>
      </c>
    </row>
    <row r="86" spans="1:20" s="285" customFormat="1" ht="12" x14ac:dyDescent="0.2">
      <c r="A86" s="337"/>
      <c r="B86" s="240"/>
      <c r="C86" s="290"/>
      <c r="D86" s="291" t="s">
        <v>175</v>
      </c>
      <c r="E86" s="293"/>
      <c r="F86" s="293"/>
      <c r="G86" s="283">
        <f t="shared" si="2"/>
        <v>0</v>
      </c>
      <c r="H86" s="243">
        <f t="shared" si="3"/>
        <v>0</v>
      </c>
      <c r="J86" s="274" t="s">
        <v>35</v>
      </c>
      <c r="K86" s="286" t="s">
        <v>273</v>
      </c>
      <c r="L86" s="286">
        <v>4023</v>
      </c>
      <c r="M86" s="274">
        <v>2027</v>
      </c>
    </row>
    <row r="87" spans="1:20" s="285" customFormat="1" ht="12" x14ac:dyDescent="0.2">
      <c r="A87" s="337"/>
      <c r="B87" s="240"/>
      <c r="C87" s="290"/>
      <c r="D87" s="282" t="s">
        <v>181</v>
      </c>
      <c r="E87" s="293"/>
      <c r="F87" s="293"/>
      <c r="G87" s="283">
        <f t="shared" si="2"/>
        <v>0</v>
      </c>
      <c r="H87" s="243">
        <f t="shared" si="3"/>
        <v>0</v>
      </c>
      <c r="J87" s="274" t="s">
        <v>35</v>
      </c>
      <c r="K87" s="286" t="s">
        <v>273</v>
      </c>
      <c r="L87" s="286">
        <v>4023</v>
      </c>
      <c r="M87" s="274">
        <v>2027</v>
      </c>
    </row>
    <row r="88" spans="1:20" s="202" customFormat="1" ht="12.75" x14ac:dyDescent="0.2">
      <c r="A88" s="338"/>
      <c r="B88" s="269" t="s">
        <v>48</v>
      </c>
      <c r="C88" s="270"/>
      <c r="D88" s="271"/>
      <c r="E88" s="275">
        <f>SUM(E78:E87)</f>
        <v>0</v>
      </c>
      <c r="F88" s="275">
        <f>SUM(F78:F87)</f>
        <v>366.8</v>
      </c>
      <c r="G88" s="275">
        <f>SUM(G78:G87)</f>
        <v>366.8</v>
      </c>
      <c r="H88" s="276">
        <f>SUM(H78:H87)</f>
        <v>0</v>
      </c>
      <c r="J88" s="224"/>
      <c r="K88" s="224"/>
      <c r="L88" s="224"/>
      <c r="M88" s="224"/>
    </row>
    <row r="89" spans="1:20" s="203" customFormat="1" ht="16.5" customHeight="1" x14ac:dyDescent="0.2">
      <c r="A89" s="339" t="s">
        <v>85</v>
      </c>
      <c r="B89" s="277" t="s">
        <v>36</v>
      </c>
      <c r="C89" s="278"/>
      <c r="D89" s="279"/>
      <c r="E89" s="280"/>
      <c r="F89" s="280"/>
      <c r="G89" s="280"/>
      <c r="H89" s="281"/>
      <c r="J89" s="224"/>
      <c r="K89" s="225"/>
      <c r="L89" s="225"/>
      <c r="M89" s="225"/>
    </row>
    <row r="90" spans="1:20" s="285" customFormat="1" ht="12" x14ac:dyDescent="0.2">
      <c r="A90" s="340"/>
      <c r="B90" s="240" t="s">
        <v>213</v>
      </c>
      <c r="C90" s="241"/>
      <c r="D90" s="282"/>
      <c r="E90" s="283"/>
      <c r="F90" s="283"/>
      <c r="G90" s="284">
        <f>SUMIFS('Frais de transport'!G:G,'Frais de transport'!A:A,C2)</f>
        <v>12.6</v>
      </c>
      <c r="H90" s="243"/>
      <c r="J90" s="274" t="s">
        <v>37</v>
      </c>
      <c r="K90" s="286" t="s">
        <v>274</v>
      </c>
      <c r="L90" s="286">
        <v>4010</v>
      </c>
      <c r="M90" s="286">
        <v>2027</v>
      </c>
      <c r="O90" s="287" t="s">
        <v>241</v>
      </c>
      <c r="P90" s="288"/>
      <c r="Q90" s="288"/>
      <c r="R90" s="288"/>
      <c r="S90" s="288"/>
      <c r="T90" s="288"/>
    </row>
    <row r="91" spans="1:20" s="285" customFormat="1" ht="12" x14ac:dyDescent="0.2">
      <c r="A91" s="340"/>
      <c r="B91" s="240" t="s">
        <v>214</v>
      </c>
      <c r="C91" s="241"/>
      <c r="D91" s="282">
        <v>12</v>
      </c>
      <c r="E91" s="283"/>
      <c r="F91" s="283"/>
      <c r="G91" s="283">
        <f>IF(D91*10&gt;200,200,D91*10)</f>
        <v>120</v>
      </c>
      <c r="H91" s="243"/>
      <c r="J91" s="274" t="s">
        <v>37</v>
      </c>
      <c r="K91" s="286" t="s">
        <v>274</v>
      </c>
      <c r="L91" s="286">
        <v>4010</v>
      </c>
      <c r="M91" s="286">
        <v>2027</v>
      </c>
    </row>
    <row r="92" spans="1:20" s="285" customFormat="1" ht="12" x14ac:dyDescent="0.2">
      <c r="A92" s="340"/>
      <c r="B92" s="240"/>
      <c r="C92" s="241"/>
      <c r="D92" s="282"/>
      <c r="E92" s="283"/>
      <c r="F92" s="283"/>
      <c r="G92" s="283">
        <f>E92+F92</f>
        <v>0</v>
      </c>
      <c r="H92" s="243"/>
      <c r="J92" s="384" t="s">
        <v>37</v>
      </c>
      <c r="K92" s="385" t="s">
        <v>274</v>
      </c>
      <c r="L92" s="385">
        <v>4010</v>
      </c>
      <c r="M92" s="385">
        <v>2027</v>
      </c>
    </row>
    <row r="93" spans="1:20" s="285" customFormat="1" ht="12" x14ac:dyDescent="0.2">
      <c r="A93" s="340"/>
      <c r="B93" s="240"/>
      <c r="C93" s="241"/>
      <c r="D93" s="282"/>
      <c r="E93" s="283"/>
      <c r="F93" s="283"/>
      <c r="G93" s="283">
        <f>E93+F93</f>
        <v>0</v>
      </c>
      <c r="H93" s="243"/>
      <c r="J93" s="384" t="s">
        <v>37</v>
      </c>
      <c r="K93" s="385" t="s">
        <v>274</v>
      </c>
      <c r="L93" s="385">
        <v>4010</v>
      </c>
      <c r="M93" s="385">
        <v>2027</v>
      </c>
    </row>
    <row r="94" spans="1:20" s="285" customFormat="1" ht="12" x14ac:dyDescent="0.2">
      <c r="A94" s="340"/>
      <c r="B94" s="240"/>
      <c r="C94" s="289"/>
      <c r="D94" s="282"/>
      <c r="E94" s="283"/>
      <c r="F94" s="283"/>
      <c r="G94" s="283">
        <f>E94+F94</f>
        <v>0</v>
      </c>
      <c r="H94" s="243"/>
      <c r="J94" s="384"/>
      <c r="K94" s="385"/>
      <c r="L94" s="385">
        <v>4010</v>
      </c>
      <c r="M94" s="385">
        <v>2027</v>
      </c>
    </row>
    <row r="95" spans="1:20" s="285" customFormat="1" ht="12" x14ac:dyDescent="0.2">
      <c r="A95" s="340"/>
      <c r="B95" s="240"/>
      <c r="C95" s="241"/>
      <c r="D95" s="282"/>
      <c r="E95" s="283"/>
      <c r="F95" s="283"/>
      <c r="G95" s="283">
        <f>E95+F95</f>
        <v>0</v>
      </c>
      <c r="H95" s="243"/>
      <c r="J95" s="384"/>
      <c r="K95" s="385"/>
      <c r="L95" s="385">
        <v>4010</v>
      </c>
      <c r="M95" s="385">
        <v>2027</v>
      </c>
    </row>
    <row r="96" spans="1:20" s="202" customFormat="1" ht="12.75" x14ac:dyDescent="0.2">
      <c r="A96" s="341"/>
      <c r="B96" s="269" t="s">
        <v>141</v>
      </c>
      <c r="C96" s="270"/>
      <c r="D96" s="271"/>
      <c r="E96" s="275">
        <f>SUM(E90:E95)</f>
        <v>0</v>
      </c>
      <c r="F96" s="275">
        <f>SUM(F90:F95)</f>
        <v>0</v>
      </c>
      <c r="G96" s="275">
        <f>SUM(G90:G95)</f>
        <v>132.6</v>
      </c>
      <c r="H96" s="275">
        <f>SUM(H90:H95)</f>
        <v>0</v>
      </c>
      <c r="J96" s="224" t="s">
        <v>37</v>
      </c>
      <c r="K96" s="224" t="s">
        <v>274</v>
      </c>
      <c r="L96" s="224"/>
      <c r="M96" s="224"/>
    </row>
    <row r="97" spans="1:19" s="1" customFormat="1" ht="6.75" customHeight="1" x14ac:dyDescent="0.25">
      <c r="A97" s="231"/>
      <c r="B97" s="343"/>
      <c r="C97" s="344"/>
      <c r="D97" s="344"/>
      <c r="E97" s="345"/>
      <c r="F97" s="346"/>
      <c r="G97" s="346"/>
      <c r="H97" s="347"/>
      <c r="I97" s="17"/>
    </row>
    <row r="98" spans="1:19" s="203" customFormat="1" ht="12.75" x14ac:dyDescent="0.2">
      <c r="A98" s="257"/>
      <c r="B98" s="258" t="s">
        <v>22</v>
      </c>
      <c r="C98" s="259"/>
      <c r="D98" s="260"/>
      <c r="E98" s="261">
        <f>E28</f>
        <v>0</v>
      </c>
      <c r="F98" s="261">
        <f>F28</f>
        <v>0</v>
      </c>
      <c r="G98" s="261">
        <f>G28</f>
        <v>0</v>
      </c>
      <c r="H98" s="261">
        <f>H28</f>
        <v>0</v>
      </c>
      <c r="I98" s="226"/>
    </row>
    <row r="99" spans="1:19" s="203" customFormat="1" ht="12.75" x14ac:dyDescent="0.2">
      <c r="A99" s="262"/>
      <c r="B99" s="263" t="s">
        <v>239</v>
      </c>
      <c r="C99" s="264"/>
      <c r="D99" s="265"/>
      <c r="E99" s="266">
        <f ca="1">E33+E72+E76+E88+E96</f>
        <v>81.5</v>
      </c>
      <c r="F99" s="266">
        <f ca="1">F33+F72+F76+F88+F96</f>
        <v>4081.8</v>
      </c>
      <c r="G99" s="266">
        <f ca="1">G33+G72+G76+G88+G96</f>
        <v>2539.4</v>
      </c>
      <c r="H99" s="266">
        <f ca="1">H33+H72+H76+H88+H96</f>
        <v>-55</v>
      </c>
      <c r="N99" s="204"/>
      <c r="O99" s="204"/>
    </row>
    <row r="100" spans="1:19" s="203" customFormat="1" ht="5.25" customHeight="1" x14ac:dyDescent="0.2">
      <c r="A100" s="267"/>
      <c r="B100" s="263"/>
      <c r="C100" s="264"/>
      <c r="D100" s="265"/>
      <c r="E100" s="266"/>
      <c r="F100" s="266"/>
      <c r="G100" s="266"/>
      <c r="H100" s="268"/>
      <c r="J100" s="202"/>
      <c r="K100" s="202"/>
      <c r="L100" s="202"/>
      <c r="M100" s="202"/>
    </row>
    <row r="101" spans="1:19" s="203" customFormat="1" ht="13.5" thickBot="1" x14ac:dyDescent="0.25">
      <c r="A101" s="262"/>
      <c r="B101" s="269" t="s">
        <v>277</v>
      </c>
      <c r="C101" s="270"/>
      <c r="D101" s="271"/>
      <c r="E101" s="272">
        <f ca="1">E98-E99</f>
        <v>-81.5</v>
      </c>
      <c r="F101" s="272">
        <f ca="1">F98-F99</f>
        <v>-4081.8</v>
      </c>
      <c r="G101" s="272">
        <f ca="1">G98-G99</f>
        <v>-2539.4</v>
      </c>
      <c r="H101" s="273">
        <f ca="1">H98-H99</f>
        <v>55</v>
      </c>
      <c r="N101" s="204"/>
      <c r="O101" s="204"/>
    </row>
    <row r="102" spans="1:19" s="38" customFormat="1" ht="6" customHeight="1" thickTop="1" x14ac:dyDescent="0.25">
      <c r="A102" s="232"/>
      <c r="B102" s="197"/>
      <c r="C102" s="97"/>
      <c r="D102" s="97"/>
      <c r="E102" s="84"/>
      <c r="F102" s="84"/>
      <c r="G102" s="84"/>
      <c r="H102" s="98"/>
      <c r="J102" s="127"/>
      <c r="K102" s="127"/>
      <c r="L102" s="127"/>
      <c r="M102" s="127"/>
      <c r="N102" s="78"/>
    </row>
    <row r="103" spans="1:19" s="244" customFormat="1" ht="12" x14ac:dyDescent="0.2">
      <c r="A103" s="246"/>
      <c r="B103" s="240" t="s">
        <v>256</v>
      </c>
      <c r="C103" s="241"/>
      <c r="D103" s="241"/>
      <c r="E103" s="242"/>
      <c r="F103" s="242"/>
      <c r="G103" s="242">
        <f ca="1">G101-F101</f>
        <v>1542.4</v>
      </c>
      <c r="H103" s="243"/>
      <c r="J103" s="247"/>
      <c r="K103" s="247"/>
      <c r="L103" s="247"/>
      <c r="M103" s="247"/>
      <c r="N103" s="245"/>
    </row>
    <row r="104" spans="1:19" s="244" customFormat="1" ht="12" x14ac:dyDescent="0.2">
      <c r="A104" s="246"/>
      <c r="B104" s="240" t="s">
        <v>183</v>
      </c>
      <c r="C104" s="241"/>
      <c r="D104" s="241"/>
      <c r="E104" s="242"/>
      <c r="F104" s="242"/>
      <c r="G104" s="242"/>
      <c r="H104" s="243"/>
      <c r="J104" s="247"/>
      <c r="K104" s="247"/>
      <c r="L104" s="247"/>
      <c r="M104" s="247"/>
    </row>
    <row r="105" spans="1:19" s="244" customFormat="1" ht="12" x14ac:dyDescent="0.2">
      <c r="A105" s="246"/>
      <c r="B105" s="240" t="s">
        <v>184</v>
      </c>
      <c r="C105" s="241"/>
      <c r="D105" s="241"/>
      <c r="E105" s="242"/>
      <c r="F105" s="242"/>
      <c r="G105" s="242">
        <v>612</v>
      </c>
      <c r="H105" s="243"/>
      <c r="J105" s="248" t="s">
        <v>240</v>
      </c>
      <c r="K105" s="248"/>
      <c r="L105" s="248"/>
      <c r="M105" s="248"/>
      <c r="N105" s="248"/>
      <c r="O105" s="248"/>
      <c r="P105" s="248"/>
      <c r="Q105" s="247"/>
      <c r="R105" s="247"/>
      <c r="S105" s="247"/>
    </row>
    <row r="106" spans="1:19" s="244" customFormat="1" ht="12" x14ac:dyDescent="0.2">
      <c r="A106" s="246"/>
      <c r="B106" s="240" t="s">
        <v>242</v>
      </c>
      <c r="C106" s="241"/>
      <c r="D106" s="241"/>
      <c r="E106" s="242"/>
      <c r="F106" s="249"/>
      <c r="G106" s="242">
        <v>401</v>
      </c>
      <c r="H106" s="243"/>
      <c r="J106" s="248" t="s">
        <v>303</v>
      </c>
      <c r="K106" s="248"/>
      <c r="L106" s="248"/>
      <c r="M106" s="248"/>
      <c r="N106" s="248"/>
      <c r="O106" s="248"/>
      <c r="P106" s="248"/>
      <c r="Q106" s="247"/>
      <c r="R106" s="247"/>
      <c r="S106" s="247"/>
    </row>
    <row r="107" spans="1:19" s="244" customFormat="1" ht="12" x14ac:dyDescent="0.2">
      <c r="A107" s="246"/>
      <c r="B107" s="240" t="s">
        <v>246</v>
      </c>
      <c r="C107" s="241"/>
      <c r="D107" s="241"/>
      <c r="E107" s="242"/>
      <c r="F107" s="242"/>
      <c r="G107" s="242">
        <f ca="1">G108+G105-G106</f>
        <v>-1331.4</v>
      </c>
      <c r="H107" s="243">
        <f ca="1">G107</f>
        <v>-1331.4</v>
      </c>
      <c r="J107" s="247"/>
      <c r="K107" s="247"/>
      <c r="L107" s="247"/>
      <c r="M107" s="247"/>
    </row>
    <row r="108" spans="1:19" s="221" customFormat="1" ht="13.5" thickBot="1" x14ac:dyDescent="0.25">
      <c r="A108" s="250"/>
      <c r="B108" s="251" t="s">
        <v>228</v>
      </c>
      <c r="C108" s="252"/>
      <c r="D108" s="252"/>
      <c r="E108" s="253"/>
      <c r="F108" s="253"/>
      <c r="G108" s="254">
        <f ca="1">-G103</f>
        <v>-1542.4</v>
      </c>
      <c r="H108" s="255">
        <f ca="1">SUM(H101:H107)</f>
        <v>-1276.4000000000001</v>
      </c>
    </row>
    <row r="109" spans="1:19" s="151" customFormat="1" ht="5.25" customHeight="1" thickTop="1" x14ac:dyDescent="0.2">
      <c r="A109" s="250"/>
      <c r="B109" s="198"/>
      <c r="C109" s="131"/>
      <c r="D109" s="131"/>
      <c r="E109" s="149"/>
      <c r="F109" s="149"/>
      <c r="G109" s="149"/>
      <c r="H109" s="227"/>
      <c r="J109" s="221"/>
      <c r="K109" s="221"/>
      <c r="L109" s="221"/>
      <c r="M109" s="221"/>
    </row>
    <row r="110" spans="1:19" s="151" customFormat="1" ht="12.75" x14ac:dyDescent="0.2">
      <c r="A110" s="250"/>
      <c r="B110" s="251" t="s">
        <v>185</v>
      </c>
      <c r="C110" s="131"/>
      <c r="D110" s="131"/>
      <c r="E110" s="149"/>
      <c r="F110" s="149"/>
      <c r="G110" s="149"/>
      <c r="H110" s="150"/>
      <c r="J110" s="221"/>
      <c r="K110" s="221"/>
      <c r="L110" s="221"/>
      <c r="M110" s="221"/>
      <c r="N110" s="187"/>
    </row>
    <row r="111" spans="1:19" s="244" customFormat="1" ht="12" x14ac:dyDescent="0.2">
      <c r="A111" s="239"/>
      <c r="B111" s="240" t="s">
        <v>8</v>
      </c>
      <c r="C111" s="241"/>
      <c r="D111" s="241"/>
      <c r="E111" s="242"/>
      <c r="F111" s="242" t="s">
        <v>174</v>
      </c>
      <c r="G111" s="242"/>
      <c r="H111" s="243">
        <f>'Les normes-données de base'!B6</f>
        <v>-402.85</v>
      </c>
    </row>
    <row r="112" spans="1:19" s="244" customFormat="1" ht="12" x14ac:dyDescent="0.2">
      <c r="A112" s="239"/>
      <c r="B112" s="240" t="s">
        <v>8</v>
      </c>
      <c r="C112" s="241"/>
      <c r="D112" s="241"/>
      <c r="E112" s="242"/>
      <c r="F112" s="242" t="str">
        <f>C2</f>
        <v>février</v>
      </c>
      <c r="G112" s="242"/>
      <c r="H112" s="243">
        <f ca="1">H111+G101</f>
        <v>-2942.25</v>
      </c>
      <c r="N112" s="245"/>
      <c r="O112" s="245"/>
    </row>
    <row r="113" spans="1:14" s="244" customFormat="1" ht="5.25" customHeight="1" x14ac:dyDescent="0.2">
      <c r="A113" s="239"/>
      <c r="B113" s="240"/>
      <c r="C113" s="241"/>
      <c r="D113" s="241"/>
      <c r="E113" s="242"/>
      <c r="F113" s="242"/>
      <c r="G113" s="242"/>
      <c r="H113" s="243"/>
    </row>
    <row r="114" spans="1:14" s="244" customFormat="1" ht="12" x14ac:dyDescent="0.2">
      <c r="A114" s="239"/>
      <c r="B114" s="240" t="s">
        <v>9</v>
      </c>
      <c r="C114" s="241"/>
      <c r="D114" s="241"/>
      <c r="E114" s="242"/>
      <c r="F114" s="242" t="s">
        <v>174</v>
      </c>
      <c r="G114" s="242"/>
      <c r="H114" s="243">
        <f>'Les normes-données de base'!B7</f>
        <v>-11213.4</v>
      </c>
      <c r="N114" s="245"/>
    </row>
    <row r="115" spans="1:14" s="244" customFormat="1" ht="12" x14ac:dyDescent="0.2">
      <c r="A115" s="239"/>
      <c r="B115" s="240" t="s">
        <v>9</v>
      </c>
      <c r="C115" s="241"/>
      <c r="D115" s="241"/>
      <c r="E115" s="242"/>
      <c r="F115" s="242" t="str">
        <f>C2</f>
        <v>février</v>
      </c>
      <c r="G115" s="242"/>
      <c r="H115" s="243">
        <f ca="1">H114+H108</f>
        <v>-12489.8</v>
      </c>
    </row>
    <row r="116" spans="1:14" s="38" customFormat="1" ht="5.25" customHeight="1" x14ac:dyDescent="0.25">
      <c r="A116" s="233"/>
      <c r="B116" s="197"/>
      <c r="C116" s="97"/>
      <c r="D116" s="97"/>
      <c r="E116" s="84"/>
      <c r="F116" s="84"/>
      <c r="G116" s="84"/>
      <c r="H116" s="98">
        <f>SUM(F116:G116)</f>
        <v>0</v>
      </c>
    </row>
    <row r="117" spans="1:14" s="221" customFormat="1" ht="13.5" thickBot="1" x14ac:dyDescent="0.25">
      <c r="A117" s="250"/>
      <c r="B117" s="251" t="s">
        <v>186</v>
      </c>
      <c r="C117" s="253" t="str">
        <f>F115</f>
        <v>février</v>
      </c>
      <c r="D117" s="131" t="s">
        <v>187</v>
      </c>
      <c r="E117" s="253"/>
      <c r="F117" s="253"/>
      <c r="G117" s="253"/>
      <c r="H117" s="255">
        <f ca="1">H112+H115</f>
        <v>-15432.05</v>
      </c>
      <c r="N117" s="256"/>
    </row>
    <row r="118" spans="1:14" s="38" customFormat="1" ht="15.75" thickTop="1" x14ac:dyDescent="0.25">
      <c r="A118" s="234"/>
      <c r="B118" s="199"/>
      <c r="C118" s="128"/>
      <c r="D118" s="128"/>
      <c r="E118" s="129"/>
      <c r="F118" s="129"/>
      <c r="G118" s="129"/>
      <c r="H118" s="130"/>
      <c r="I118" s="123"/>
      <c r="J118" s="97"/>
    </row>
    <row r="119" spans="1:14" ht="21" x14ac:dyDescent="0.25">
      <c r="A119" s="229"/>
      <c r="B119" s="351" t="str">
        <f>D3</f>
        <v>Nicole Villet</v>
      </c>
      <c r="C119" s="352"/>
      <c r="D119" s="351">
        <f>H3</f>
        <v>977</v>
      </c>
      <c r="E119" s="370" t="s">
        <v>27</v>
      </c>
      <c r="F119" s="371"/>
      <c r="G119" s="371"/>
      <c r="H119" s="371"/>
      <c r="I119" s="8"/>
    </row>
    <row r="120" spans="1:14" ht="21" x14ac:dyDescent="0.25">
      <c r="A120" s="235"/>
      <c r="B120" s="358" t="str">
        <f>C2</f>
        <v>février</v>
      </c>
      <c r="C120" s="369"/>
      <c r="D120" s="369"/>
      <c r="E120" s="358">
        <f>E2</f>
        <v>2015</v>
      </c>
      <c r="F120" s="369"/>
      <c r="G120" s="369"/>
      <c r="H120" s="369"/>
      <c r="J120" s="1"/>
      <c r="K120" s="1"/>
      <c r="L120" s="1"/>
      <c r="M120" s="1"/>
    </row>
    <row r="121" spans="1:14" s="1" customFormat="1" x14ac:dyDescent="0.25">
      <c r="A121" s="235"/>
      <c r="B121" s="313" t="s">
        <v>64</v>
      </c>
      <c r="C121" s="314" t="s">
        <v>65</v>
      </c>
      <c r="D121" s="314" t="s">
        <v>28</v>
      </c>
      <c r="E121" s="314" t="s">
        <v>66</v>
      </c>
      <c r="F121" s="314" t="s">
        <v>49</v>
      </c>
      <c r="G121" s="314" t="s">
        <v>49</v>
      </c>
      <c r="H121" s="314" t="s">
        <v>223</v>
      </c>
    </row>
    <row r="122" spans="1:14" s="1" customFormat="1" x14ac:dyDescent="0.25">
      <c r="A122" s="235"/>
      <c r="B122" s="315">
        <f ca="1">TODAY()</f>
        <v>41987</v>
      </c>
      <c r="C122" s="316" t="str">
        <f>B13</f>
        <v>Revenu de M.</v>
      </c>
      <c r="D122" s="317" t="str">
        <f>J13</f>
        <v>A</v>
      </c>
      <c r="E122" s="317" t="str">
        <f>K13</f>
        <v>SAL</v>
      </c>
      <c r="F122" s="317">
        <f>L13</f>
        <v>2027</v>
      </c>
      <c r="G122" s="317"/>
      <c r="H122" s="318">
        <f>F13</f>
        <v>0</v>
      </c>
      <c r="I122" s="202"/>
      <c r="N122" s="188"/>
    </row>
    <row r="123" spans="1:14" s="1" customFormat="1" x14ac:dyDescent="0.25">
      <c r="A123" s="235"/>
      <c r="B123" s="315">
        <f t="shared" ref="B123:B134" ca="1" si="4">TODAY()</f>
        <v>41987</v>
      </c>
      <c r="C123" s="316" t="str">
        <f t="shared" ref="C123:C134" si="5">B14</f>
        <v>Revenu de Mme</v>
      </c>
      <c r="D123" s="317" t="str">
        <f t="shared" ref="D123:F134" si="6">J14</f>
        <v>A</v>
      </c>
      <c r="E123" s="317" t="str">
        <f t="shared" si="6"/>
        <v>SAL</v>
      </c>
      <c r="F123" s="317">
        <f t="shared" si="6"/>
        <v>2027</v>
      </c>
      <c r="G123" s="317"/>
      <c r="H123" s="318">
        <f t="shared" ref="H123:H134" si="7">-F14</f>
        <v>0</v>
      </c>
      <c r="I123" s="202"/>
    </row>
    <row r="124" spans="1:14" s="1" customFormat="1" x14ac:dyDescent="0.25">
      <c r="A124" s="235"/>
      <c r="B124" s="315">
        <f t="shared" ca="1" si="4"/>
        <v>41987</v>
      </c>
      <c r="C124" s="316" t="str">
        <f t="shared" si="5"/>
        <v>Renevu autre membre de la famille</v>
      </c>
      <c r="D124" s="317" t="str">
        <f t="shared" si="6"/>
        <v>A</v>
      </c>
      <c r="E124" s="317" t="str">
        <f t="shared" si="6"/>
        <v>SAL</v>
      </c>
      <c r="F124" s="317">
        <f t="shared" si="6"/>
        <v>2027</v>
      </c>
      <c r="G124" s="317"/>
      <c r="H124" s="318">
        <f t="shared" si="7"/>
        <v>0</v>
      </c>
      <c r="I124" s="202"/>
    </row>
    <row r="125" spans="1:14" s="1" customFormat="1" x14ac:dyDescent="0.25">
      <c r="A125" s="235"/>
      <c r="B125" s="315">
        <f t="shared" ca="1" si="4"/>
        <v>41987</v>
      </c>
      <c r="C125" s="316" t="str">
        <f t="shared" si="5"/>
        <v>Rente AI</v>
      </c>
      <c r="D125" s="317" t="str">
        <f t="shared" si="6"/>
        <v>A</v>
      </c>
      <c r="E125" s="317" t="str">
        <f t="shared" si="6"/>
        <v>AI</v>
      </c>
      <c r="F125" s="317">
        <f t="shared" si="6"/>
        <v>2027</v>
      </c>
      <c r="G125" s="317"/>
      <c r="H125" s="318">
        <f t="shared" si="7"/>
        <v>0</v>
      </c>
      <c r="I125" s="202"/>
    </row>
    <row r="126" spans="1:14" s="1" customFormat="1" x14ac:dyDescent="0.25">
      <c r="A126" s="235"/>
      <c r="B126" s="315">
        <f t="shared" ca="1" si="4"/>
        <v>41987</v>
      </c>
      <c r="C126" s="316" t="str">
        <f t="shared" si="5"/>
        <v>Prestations complémentaires</v>
      </c>
      <c r="D126" s="317" t="str">
        <f t="shared" si="6"/>
        <v>A</v>
      </c>
      <c r="E126" s="317" t="str">
        <f t="shared" si="6"/>
        <v>PC</v>
      </c>
      <c r="F126" s="317">
        <f t="shared" si="6"/>
        <v>2027</v>
      </c>
      <c r="G126" s="317"/>
      <c r="H126" s="318">
        <f t="shared" si="7"/>
        <v>0</v>
      </c>
      <c r="I126" s="202"/>
    </row>
    <row r="127" spans="1:14" s="1" customFormat="1" x14ac:dyDescent="0.25">
      <c r="A127" s="235"/>
      <c r="B127" s="315">
        <f t="shared" ca="1" si="4"/>
        <v>41987</v>
      </c>
      <c r="C127" s="316" t="str">
        <f t="shared" si="5"/>
        <v>Rente AVS</v>
      </c>
      <c r="D127" s="317" t="str">
        <f t="shared" si="6"/>
        <v>A</v>
      </c>
      <c r="E127" s="317" t="str">
        <f t="shared" si="6"/>
        <v>AVS</v>
      </c>
      <c r="F127" s="317">
        <f t="shared" si="6"/>
        <v>2027</v>
      </c>
      <c r="G127" s="317"/>
      <c r="H127" s="318">
        <f t="shared" si="7"/>
        <v>0</v>
      </c>
      <c r="I127" s="202"/>
    </row>
    <row r="128" spans="1:14" s="1" customFormat="1" x14ac:dyDescent="0.25">
      <c r="A128" s="235"/>
      <c r="B128" s="315">
        <f t="shared" ca="1" si="4"/>
        <v>41987</v>
      </c>
      <c r="C128" s="316" t="str">
        <f t="shared" si="5"/>
        <v>Indemnité chômage</v>
      </c>
      <c r="D128" s="317" t="str">
        <f t="shared" si="6"/>
        <v>A</v>
      </c>
      <c r="E128" s="317" t="str">
        <f t="shared" si="6"/>
        <v>IC</v>
      </c>
      <c r="F128" s="317">
        <f t="shared" si="6"/>
        <v>2027</v>
      </c>
      <c r="G128" s="317"/>
      <c r="H128" s="318">
        <f t="shared" si="7"/>
        <v>0</v>
      </c>
      <c r="I128" s="202"/>
    </row>
    <row r="129" spans="1:9" s="1" customFormat="1" x14ac:dyDescent="0.25">
      <c r="A129" s="235"/>
      <c r="B129" s="315">
        <f t="shared" ca="1" si="4"/>
        <v>41987</v>
      </c>
      <c r="C129" s="316" t="str">
        <f t="shared" si="5"/>
        <v>Indemnité journalière mal/acc</v>
      </c>
      <c r="D129" s="317" t="str">
        <f t="shared" si="6"/>
        <v>A</v>
      </c>
      <c r="E129" s="317" t="str">
        <f t="shared" si="6"/>
        <v>IJ</v>
      </c>
      <c r="F129" s="317">
        <f t="shared" si="6"/>
        <v>2027</v>
      </c>
      <c r="G129" s="317"/>
      <c r="H129" s="318">
        <f t="shared" si="7"/>
        <v>0</v>
      </c>
      <c r="I129" s="202"/>
    </row>
    <row r="130" spans="1:9" s="1" customFormat="1" x14ac:dyDescent="0.25">
      <c r="A130" s="235"/>
      <c r="B130" s="315">
        <f t="shared" ca="1" si="4"/>
        <v>41987</v>
      </c>
      <c r="C130" s="316" t="str">
        <f t="shared" si="5"/>
        <v>Allocations familiales</v>
      </c>
      <c r="D130" s="317" t="str">
        <f t="shared" si="6"/>
        <v>A</v>
      </c>
      <c r="E130" s="317" t="str">
        <f t="shared" si="6"/>
        <v>AF</v>
      </c>
      <c r="F130" s="317">
        <f t="shared" si="6"/>
        <v>2027</v>
      </c>
      <c r="G130" s="317"/>
      <c r="H130" s="318">
        <f t="shared" si="7"/>
        <v>0</v>
      </c>
      <c r="I130" s="202"/>
    </row>
    <row r="131" spans="1:9" s="1" customFormat="1" x14ac:dyDescent="0.25">
      <c r="A131" s="235"/>
      <c r="B131" s="315">
        <f t="shared" ca="1" si="4"/>
        <v>41987</v>
      </c>
      <c r="C131" s="316" t="str">
        <f t="shared" si="5"/>
        <v>Treizième salaire de M.</v>
      </c>
      <c r="D131" s="317" t="str">
        <f t="shared" si="6"/>
        <v>A</v>
      </c>
      <c r="E131" s="317" t="str">
        <f t="shared" si="6"/>
        <v>SAL</v>
      </c>
      <c r="F131" s="317">
        <f t="shared" si="6"/>
        <v>2027</v>
      </c>
      <c r="G131" s="317"/>
      <c r="H131" s="318">
        <f t="shared" si="7"/>
        <v>0</v>
      </c>
      <c r="I131" s="202"/>
    </row>
    <row r="132" spans="1:9" s="1" customFormat="1" x14ac:dyDescent="0.25">
      <c r="A132" s="235"/>
      <c r="B132" s="315">
        <f t="shared" ca="1" si="4"/>
        <v>41987</v>
      </c>
      <c r="C132" s="316" t="str">
        <f t="shared" si="5"/>
        <v>Treizième salaire de Mme</v>
      </c>
      <c r="D132" s="317" t="str">
        <f t="shared" si="6"/>
        <v>A</v>
      </c>
      <c r="E132" s="317" t="str">
        <f t="shared" si="6"/>
        <v>SAL</v>
      </c>
      <c r="F132" s="317">
        <f t="shared" si="6"/>
        <v>2027</v>
      </c>
      <c r="G132" s="317"/>
      <c r="H132" s="318">
        <f t="shared" si="7"/>
        <v>0</v>
      </c>
      <c r="I132" s="202"/>
    </row>
    <row r="133" spans="1:9" s="1" customFormat="1" x14ac:dyDescent="0.25">
      <c r="A133" s="235"/>
      <c r="B133" s="315">
        <f t="shared" ca="1" si="4"/>
        <v>41987</v>
      </c>
      <c r="C133" s="316" t="str">
        <f t="shared" si="5"/>
        <v>Bourse (étude ou autres)</v>
      </c>
      <c r="D133" s="317" t="str">
        <f t="shared" si="6"/>
        <v>A</v>
      </c>
      <c r="E133" s="317" t="str">
        <f t="shared" si="6"/>
        <v>BOU</v>
      </c>
      <c r="F133" s="317">
        <f t="shared" si="6"/>
        <v>2027</v>
      </c>
      <c r="G133" s="317"/>
      <c r="H133" s="318">
        <f t="shared" si="7"/>
        <v>0</v>
      </c>
      <c r="I133" s="202"/>
    </row>
    <row r="134" spans="1:9" s="1" customFormat="1" x14ac:dyDescent="0.25">
      <c r="A134" s="235"/>
      <c r="B134" s="315">
        <f t="shared" ca="1" si="4"/>
        <v>41987</v>
      </c>
      <c r="C134" s="316" t="str">
        <f t="shared" si="5"/>
        <v>Autres</v>
      </c>
      <c r="D134" s="317" t="str">
        <f t="shared" si="6"/>
        <v>A</v>
      </c>
      <c r="E134" s="317" t="str">
        <f t="shared" si="6"/>
        <v>DIV</v>
      </c>
      <c r="F134" s="317">
        <f t="shared" si="6"/>
        <v>2027</v>
      </c>
      <c r="G134" s="317"/>
      <c r="H134" s="318">
        <f t="shared" si="7"/>
        <v>0</v>
      </c>
      <c r="I134" s="202"/>
    </row>
    <row r="135" spans="1:9" s="1" customFormat="1" x14ac:dyDescent="0.25">
      <c r="A135" s="235"/>
      <c r="B135" s="315">
        <f ca="1">TODAY()</f>
        <v>41987</v>
      </c>
      <c r="C135" s="319" t="str">
        <f ca="1">B51</f>
        <v>Assurance ménage</v>
      </c>
      <c r="D135" s="317" t="str">
        <f>J51</f>
        <v>E</v>
      </c>
      <c r="E135" s="317" t="str">
        <f>K51</f>
        <v>ENT</v>
      </c>
      <c r="F135" s="317" t="str">
        <f>L51</f>
        <v>SCC</v>
      </c>
      <c r="G135" s="317" t="str">
        <f>M51</f>
        <v>SG</v>
      </c>
      <c r="H135" s="320">
        <f t="shared" ref="H135:H148" ca="1" si="8">-H51</f>
        <v>12</v>
      </c>
      <c r="I135" s="202" t="s">
        <v>258</v>
      </c>
    </row>
    <row r="136" spans="1:9" s="1" customFormat="1" x14ac:dyDescent="0.25">
      <c r="A136" s="235"/>
      <c r="B136" s="315">
        <f t="shared" ref="B136:B160" ca="1" si="9">TODAY()</f>
        <v>41987</v>
      </c>
      <c r="C136" s="319" t="str">
        <f t="shared" ref="C136:C148" ca="1" si="10">B52</f>
        <v>Electricité</v>
      </c>
      <c r="D136" s="317" t="str">
        <f t="shared" ref="D136:G148" si="11">J52</f>
        <v>E</v>
      </c>
      <c r="E136" s="317" t="str">
        <f t="shared" si="11"/>
        <v>ENT</v>
      </c>
      <c r="F136" s="317" t="str">
        <f t="shared" si="11"/>
        <v>SCC</v>
      </c>
      <c r="G136" s="317" t="str">
        <f t="shared" si="11"/>
        <v>SG</v>
      </c>
      <c r="H136" s="320">
        <f t="shared" ca="1" si="8"/>
        <v>0</v>
      </c>
      <c r="I136" s="202" t="s">
        <v>258</v>
      </c>
    </row>
    <row r="137" spans="1:9" s="1" customFormat="1" x14ac:dyDescent="0.25">
      <c r="A137" s="235"/>
      <c r="B137" s="315">
        <f t="shared" ca="1" si="9"/>
        <v>41987</v>
      </c>
      <c r="C137" s="319" t="str">
        <f t="shared" ca="1" si="10"/>
        <v>Impôt véhicule</v>
      </c>
      <c r="D137" s="317" t="str">
        <f t="shared" si="11"/>
        <v>E</v>
      </c>
      <c r="E137" s="317" t="str">
        <f t="shared" si="11"/>
        <v>ENT</v>
      </c>
      <c r="F137" s="317" t="str">
        <f t="shared" si="11"/>
        <v>SCC</v>
      </c>
      <c r="G137" s="317" t="str">
        <f t="shared" si="11"/>
        <v>SG</v>
      </c>
      <c r="H137" s="320">
        <f t="shared" ca="1" si="8"/>
        <v>28</v>
      </c>
      <c r="I137" s="202" t="s">
        <v>258</v>
      </c>
    </row>
    <row r="138" spans="1:9" s="1" customFormat="1" x14ac:dyDescent="0.25">
      <c r="A138" s="235"/>
      <c r="B138" s="315">
        <f t="shared" ca="1" si="9"/>
        <v>41987</v>
      </c>
      <c r="C138" s="319" t="str">
        <f t="shared" ca="1" si="10"/>
        <v>Assurance véhicule</v>
      </c>
      <c r="D138" s="317" t="str">
        <f t="shared" si="11"/>
        <v>E</v>
      </c>
      <c r="E138" s="317" t="str">
        <f t="shared" si="11"/>
        <v>ENT</v>
      </c>
      <c r="F138" s="317" t="str">
        <f t="shared" si="11"/>
        <v>SCC</v>
      </c>
      <c r="G138" s="317" t="str">
        <f t="shared" si="11"/>
        <v>SG</v>
      </c>
      <c r="H138" s="320">
        <f t="shared" ca="1" si="8"/>
        <v>0</v>
      </c>
      <c r="I138" s="202" t="s">
        <v>258</v>
      </c>
    </row>
    <row r="139" spans="1:9" s="1" customFormat="1" x14ac:dyDescent="0.25">
      <c r="A139" s="235"/>
      <c r="B139" s="315">
        <f t="shared" ca="1" si="9"/>
        <v>41987</v>
      </c>
      <c r="C139" s="319" t="str">
        <f t="shared" ca="1" si="10"/>
        <v>Billag</v>
      </c>
      <c r="D139" s="317" t="str">
        <f t="shared" si="11"/>
        <v>E</v>
      </c>
      <c r="E139" s="317" t="str">
        <f t="shared" si="11"/>
        <v>ENT</v>
      </c>
      <c r="F139" s="317" t="str">
        <f t="shared" si="11"/>
        <v>SCC</v>
      </c>
      <c r="G139" s="317" t="str">
        <f t="shared" si="11"/>
        <v>SG</v>
      </c>
      <c r="H139" s="320">
        <f t="shared" ca="1" si="8"/>
        <v>15</v>
      </c>
      <c r="I139" s="202" t="s">
        <v>258</v>
      </c>
    </row>
    <row r="140" spans="1:9" s="1" customFormat="1" x14ac:dyDescent="0.25">
      <c r="A140" s="235"/>
      <c r="B140" s="315">
        <f t="shared" ca="1" si="9"/>
        <v>41987</v>
      </c>
      <c r="C140" s="319" t="str">
        <f t="shared" ca="1" si="10"/>
        <v>kk</v>
      </c>
      <c r="D140" s="317" t="str">
        <f t="shared" si="11"/>
        <v>E</v>
      </c>
      <c r="E140" s="317" t="str">
        <f t="shared" si="11"/>
        <v>ENT</v>
      </c>
      <c r="F140" s="317" t="str">
        <f t="shared" si="11"/>
        <v>SCC</v>
      </c>
      <c r="G140" s="317" t="str">
        <f t="shared" si="11"/>
        <v>SG</v>
      </c>
      <c r="H140" s="320">
        <f t="shared" ca="1" si="8"/>
        <v>0</v>
      </c>
      <c r="I140" s="202" t="s">
        <v>258</v>
      </c>
    </row>
    <row r="141" spans="1:9" s="1" customFormat="1" x14ac:dyDescent="0.25">
      <c r="A141" s="235"/>
      <c r="B141" s="315">
        <f t="shared" ca="1" si="9"/>
        <v>41987</v>
      </c>
      <c r="C141" s="319">
        <f t="shared" ca="1" si="10"/>
        <v>0</v>
      </c>
      <c r="D141" s="317" t="str">
        <f t="shared" si="11"/>
        <v>E</v>
      </c>
      <c r="E141" s="317" t="str">
        <f t="shared" si="11"/>
        <v>ENT</v>
      </c>
      <c r="F141" s="317" t="str">
        <f t="shared" si="11"/>
        <v>SCC</v>
      </c>
      <c r="G141" s="317" t="str">
        <f t="shared" si="11"/>
        <v>SG</v>
      </c>
      <c r="H141" s="320">
        <f t="shared" ca="1" si="8"/>
        <v>0</v>
      </c>
      <c r="I141" s="202" t="s">
        <v>258</v>
      </c>
    </row>
    <row r="142" spans="1:9" s="1" customFormat="1" x14ac:dyDescent="0.25">
      <c r="A142" s="235"/>
      <c r="B142" s="315">
        <f t="shared" ca="1" si="9"/>
        <v>41987</v>
      </c>
      <c r="C142" s="319">
        <f t="shared" ca="1" si="10"/>
        <v>0</v>
      </c>
      <c r="D142" s="317" t="str">
        <f t="shared" si="11"/>
        <v>E</v>
      </c>
      <c r="E142" s="317" t="str">
        <f t="shared" si="11"/>
        <v>ENT</v>
      </c>
      <c r="F142" s="317" t="str">
        <f t="shared" si="11"/>
        <v>SCC</v>
      </c>
      <c r="G142" s="317" t="str">
        <f t="shared" si="11"/>
        <v>SG</v>
      </c>
      <c r="H142" s="320">
        <f t="shared" ca="1" si="8"/>
        <v>0</v>
      </c>
      <c r="I142" s="202" t="s">
        <v>258</v>
      </c>
    </row>
    <row r="143" spans="1:9" s="1" customFormat="1" x14ac:dyDescent="0.25">
      <c r="A143" s="235"/>
      <c r="B143" s="315">
        <f t="shared" ca="1" si="9"/>
        <v>41987</v>
      </c>
      <c r="C143" s="319">
        <f t="shared" ca="1" si="10"/>
        <v>0</v>
      </c>
      <c r="D143" s="317" t="str">
        <f t="shared" si="11"/>
        <v>E</v>
      </c>
      <c r="E143" s="317" t="str">
        <f t="shared" si="11"/>
        <v>ENT</v>
      </c>
      <c r="F143" s="317" t="str">
        <f t="shared" si="11"/>
        <v>SCC</v>
      </c>
      <c r="G143" s="317" t="str">
        <f t="shared" si="11"/>
        <v>SG</v>
      </c>
      <c r="H143" s="320">
        <f t="shared" ca="1" si="8"/>
        <v>0</v>
      </c>
      <c r="I143" s="202" t="s">
        <v>258</v>
      </c>
    </row>
    <row r="144" spans="1:9" s="1" customFormat="1" x14ac:dyDescent="0.25">
      <c r="A144" s="235"/>
      <c r="B144" s="315">
        <f t="shared" ca="1" si="9"/>
        <v>41987</v>
      </c>
      <c r="C144" s="319">
        <f t="shared" ca="1" si="10"/>
        <v>0</v>
      </c>
      <c r="D144" s="317" t="str">
        <f t="shared" si="11"/>
        <v>E</v>
      </c>
      <c r="E144" s="317" t="str">
        <f t="shared" si="11"/>
        <v>ENT</v>
      </c>
      <c r="F144" s="317" t="str">
        <f t="shared" si="11"/>
        <v>SCC</v>
      </c>
      <c r="G144" s="317" t="str">
        <f t="shared" si="11"/>
        <v>SG</v>
      </c>
      <c r="H144" s="320">
        <f t="shared" ca="1" si="8"/>
        <v>0</v>
      </c>
      <c r="I144" s="202" t="s">
        <v>258</v>
      </c>
    </row>
    <row r="145" spans="1:13" s="1" customFormat="1" x14ac:dyDescent="0.25">
      <c r="A145" s="235"/>
      <c r="B145" s="315">
        <f t="shared" ca="1" si="9"/>
        <v>41987</v>
      </c>
      <c r="C145" s="319">
        <f t="shared" ca="1" si="10"/>
        <v>0</v>
      </c>
      <c r="D145" s="317" t="str">
        <f t="shared" si="11"/>
        <v>E</v>
      </c>
      <c r="E145" s="317" t="str">
        <f t="shared" si="11"/>
        <v>ENT</v>
      </c>
      <c r="F145" s="317" t="str">
        <f t="shared" si="11"/>
        <v>SCC</v>
      </c>
      <c r="G145" s="317" t="str">
        <f t="shared" si="11"/>
        <v>SG</v>
      </c>
      <c r="H145" s="320">
        <f t="shared" ca="1" si="8"/>
        <v>0</v>
      </c>
      <c r="I145" s="202" t="s">
        <v>258</v>
      </c>
    </row>
    <row r="146" spans="1:13" s="1" customFormat="1" x14ac:dyDescent="0.25">
      <c r="A146" s="235"/>
      <c r="B146" s="315">
        <f t="shared" ca="1" si="9"/>
        <v>41987</v>
      </c>
      <c r="C146" s="319">
        <f t="shared" ca="1" si="10"/>
        <v>0</v>
      </c>
      <c r="D146" s="317" t="str">
        <f t="shared" si="11"/>
        <v>E</v>
      </c>
      <c r="E146" s="317" t="str">
        <f t="shared" si="11"/>
        <v>ENT</v>
      </c>
      <c r="F146" s="317" t="str">
        <f t="shared" si="11"/>
        <v>SCC</v>
      </c>
      <c r="G146" s="317" t="str">
        <f t="shared" si="11"/>
        <v>SG</v>
      </c>
      <c r="H146" s="320">
        <f t="shared" ca="1" si="8"/>
        <v>0</v>
      </c>
      <c r="I146" s="202" t="s">
        <v>258</v>
      </c>
    </row>
    <row r="147" spans="1:13" s="1" customFormat="1" x14ac:dyDescent="0.25">
      <c r="A147" s="235"/>
      <c r="B147" s="315">
        <f t="shared" ca="1" si="9"/>
        <v>41987</v>
      </c>
      <c r="C147" s="319">
        <f t="shared" ca="1" si="10"/>
        <v>0</v>
      </c>
      <c r="D147" s="317" t="str">
        <f t="shared" si="11"/>
        <v>E</v>
      </c>
      <c r="E147" s="317" t="str">
        <f t="shared" si="11"/>
        <v>ENT</v>
      </c>
      <c r="F147" s="317" t="str">
        <f t="shared" si="11"/>
        <v>SCC</v>
      </c>
      <c r="G147" s="317" t="str">
        <f t="shared" si="11"/>
        <v>SG</v>
      </c>
      <c r="H147" s="320">
        <f t="shared" ca="1" si="8"/>
        <v>0</v>
      </c>
      <c r="I147" s="202" t="s">
        <v>258</v>
      </c>
    </row>
    <row r="148" spans="1:13" s="1" customFormat="1" x14ac:dyDescent="0.25">
      <c r="A148" s="235"/>
      <c r="B148" s="321">
        <f t="shared" ca="1" si="9"/>
        <v>41987</v>
      </c>
      <c r="C148" s="316">
        <f t="shared" ca="1" si="10"/>
        <v>0</v>
      </c>
      <c r="D148" s="317" t="str">
        <f t="shared" si="11"/>
        <v>E</v>
      </c>
      <c r="E148" s="317" t="str">
        <f t="shared" si="11"/>
        <v>ENT</v>
      </c>
      <c r="F148" s="317" t="str">
        <f t="shared" si="11"/>
        <v>SCC</v>
      </c>
      <c r="G148" s="317" t="str">
        <f t="shared" si="11"/>
        <v>SG</v>
      </c>
      <c r="H148" s="320">
        <f t="shared" ca="1" si="8"/>
        <v>0</v>
      </c>
      <c r="I148" s="202" t="s">
        <v>258</v>
      </c>
    </row>
    <row r="149" spans="1:13" s="1" customFormat="1" x14ac:dyDescent="0.25">
      <c r="A149" s="235"/>
      <c r="B149" s="321">
        <f t="shared" ca="1" si="9"/>
        <v>41987</v>
      </c>
      <c r="C149" s="316" t="str">
        <f>B70</f>
        <v>Solde nourriture et boissons</v>
      </c>
      <c r="D149" s="317" t="str">
        <f>J70</f>
        <v>E</v>
      </c>
      <c r="E149" s="317" t="str">
        <f>K70</f>
        <v>ENT</v>
      </c>
      <c r="F149" s="317"/>
      <c r="G149" s="317">
        <f>L70</f>
        <v>0</v>
      </c>
      <c r="H149" s="320">
        <f ca="1">F70</f>
        <v>883.3</v>
      </c>
      <c r="I149" s="202"/>
    </row>
    <row r="150" spans="1:13" s="1" customFormat="1" x14ac:dyDescent="0.25">
      <c r="A150" s="235"/>
      <c r="B150" s="315">
        <f t="shared" ca="1" si="9"/>
        <v>41987</v>
      </c>
      <c r="C150" s="319" t="str">
        <f>B74</f>
        <v>Frais de location ou int. Hyp. Sans amortissement</v>
      </c>
      <c r="D150" s="317" t="str">
        <f t="shared" ref="D150:F151" si="12">J74</f>
        <v>L</v>
      </c>
      <c r="E150" s="317" t="str">
        <f t="shared" si="12"/>
        <v>LOY</v>
      </c>
      <c r="F150" s="317">
        <f t="shared" si="12"/>
        <v>4010</v>
      </c>
      <c r="G150" s="317" t="s">
        <v>261</v>
      </c>
      <c r="H150" s="320">
        <f ca="1">G74-F74</f>
        <v>-1675</v>
      </c>
      <c r="I150" s="202" t="s">
        <v>258</v>
      </c>
    </row>
    <row r="151" spans="1:13" s="1" customFormat="1" x14ac:dyDescent="0.25">
      <c r="A151" s="235"/>
      <c r="B151" s="315">
        <f t="shared" ca="1" si="9"/>
        <v>41987</v>
      </c>
      <c r="C151" s="319" t="str">
        <f>B75</f>
        <v>Charges locatives</v>
      </c>
      <c r="D151" s="317" t="str">
        <f t="shared" si="12"/>
        <v>L</v>
      </c>
      <c r="E151" s="317" t="str">
        <f t="shared" si="12"/>
        <v>CHA</v>
      </c>
      <c r="F151" s="317">
        <f t="shared" si="12"/>
        <v>4010</v>
      </c>
      <c r="G151" s="317" t="s">
        <v>261</v>
      </c>
      <c r="H151" s="320">
        <f>G75-F75</f>
        <v>0</v>
      </c>
      <c r="I151" s="202" t="s">
        <v>258</v>
      </c>
    </row>
    <row r="152" spans="1:13" x14ac:dyDescent="0.25">
      <c r="A152" s="235"/>
      <c r="B152" s="315">
        <f t="shared" ca="1" si="9"/>
        <v>41987</v>
      </c>
      <c r="C152" s="319" t="str">
        <f>B28</f>
        <v>Total des revenus</v>
      </c>
      <c r="D152" s="322" t="s">
        <v>33</v>
      </c>
      <c r="E152" s="322" t="str">
        <f>K28</f>
        <v>DIV</v>
      </c>
      <c r="F152" s="322"/>
      <c r="G152" s="322"/>
      <c r="H152" s="320">
        <f>-G28+F28</f>
        <v>0</v>
      </c>
      <c r="I152" s="202" t="s">
        <v>258</v>
      </c>
      <c r="J152" s="1"/>
      <c r="K152" s="1"/>
      <c r="L152" s="1"/>
      <c r="M152" s="1"/>
    </row>
    <row r="153" spans="1:13" x14ac:dyDescent="0.25">
      <c r="A153" s="235"/>
      <c r="B153" s="315">
        <f t="shared" ca="1" si="9"/>
        <v>41987</v>
      </c>
      <c r="C153" s="319" t="str">
        <f>B33</f>
        <v>Total des suppléments d'intégration</v>
      </c>
      <c r="D153" s="322" t="s">
        <v>33</v>
      </c>
      <c r="E153" s="322" t="str">
        <f>K33</f>
        <v>SUP</v>
      </c>
      <c r="F153" s="322"/>
      <c r="G153" s="322"/>
      <c r="H153" s="320">
        <f>G33-F33</f>
        <v>0</v>
      </c>
      <c r="I153" s="202" t="s">
        <v>258</v>
      </c>
      <c r="J153" s="1"/>
      <c r="K153" s="1"/>
      <c r="L153" s="1"/>
      <c r="M153" s="1"/>
    </row>
    <row r="154" spans="1:13" x14ac:dyDescent="0.25">
      <c r="A154" s="235"/>
      <c r="B154" s="315">
        <f t="shared" ca="1" si="9"/>
        <v>41987</v>
      </c>
      <c r="C154" s="319" t="str">
        <f>B96</f>
        <v>Total des prestations circonstancielles</v>
      </c>
      <c r="D154" s="322" t="s">
        <v>37</v>
      </c>
      <c r="E154" s="322" t="str">
        <f>K96</f>
        <v>CIR</v>
      </c>
      <c r="F154" s="322"/>
      <c r="G154" s="322"/>
      <c r="H154" s="320">
        <f>G96-F96</f>
        <v>132.6</v>
      </c>
      <c r="I154" s="202" t="s">
        <v>258</v>
      </c>
      <c r="J154" s="1"/>
      <c r="K154" s="1"/>
      <c r="L154" s="1"/>
      <c r="M154" s="1"/>
    </row>
    <row r="155" spans="1:13" x14ac:dyDescent="0.25">
      <c r="A155" s="235"/>
      <c r="B155" s="315">
        <f t="shared" ca="1" si="9"/>
        <v>41987</v>
      </c>
      <c r="C155" s="319" t="str">
        <f t="array" aca="1" ref="C155" ca="1">IF(ROW(A20)&gt;COUNTIF(bdlibel4,"&gt;&lt;"),"",INDEX(bdlibel4,SMALL(IF(bdlibel4&lt;&gt;"",ROW(bdlibel4)-51,""),ROW(A20))))</f>
        <v/>
      </c>
      <c r="D155" s="322" t="str">
        <f ca="1">VLOOKUP($C155,bdlibell4,2,0)</f>
        <v/>
      </c>
      <c r="E155" s="322"/>
      <c r="F155" s="322"/>
      <c r="G155" s="322"/>
      <c r="H155" s="320">
        <f ca="1">SUMIFS(F:F,B:B,C155)</f>
        <v>0</v>
      </c>
      <c r="I155" s="202" t="s">
        <v>258</v>
      </c>
      <c r="J155" s="1"/>
      <c r="K155" s="1"/>
      <c r="L155" s="1"/>
      <c r="M155" s="1"/>
    </row>
    <row r="156" spans="1:13" x14ac:dyDescent="0.25">
      <c r="A156" s="235"/>
      <c r="B156" s="315">
        <f t="shared" ca="1" si="9"/>
        <v>41987</v>
      </c>
      <c r="C156" s="319" t="str">
        <f t="array" aca="1" ref="C156" ca="1">IF(ROW(A21)&gt;COUNTIF(bdlibel4,"&gt;&lt;"),"",INDEX(bdlibel4,SMALL(IF(bdlibel4&lt;&gt;"",ROW(bdlibel4)-51,""),ROW(A21))))</f>
        <v/>
      </c>
      <c r="D156" s="322" t="str">
        <f ca="1">VLOOKUP($C156,bdlibell4,2,0)</f>
        <v/>
      </c>
      <c r="E156" s="322"/>
      <c r="F156" s="322"/>
      <c r="G156" s="322"/>
      <c r="H156" s="320">
        <f ca="1">SUMIFS(F:F,B:B,C156)</f>
        <v>0</v>
      </c>
      <c r="I156" s="202" t="s">
        <v>258</v>
      </c>
      <c r="J156" s="1"/>
      <c r="K156" s="1"/>
      <c r="L156" s="1"/>
      <c r="M156" s="1"/>
    </row>
    <row r="157" spans="1:13" x14ac:dyDescent="0.25">
      <c r="A157" s="235"/>
      <c r="B157" s="315">
        <f t="shared" ca="1" si="9"/>
        <v>41987</v>
      </c>
      <c r="C157" s="319" t="str">
        <f t="array" aca="1" ref="C157" ca="1">IF(ROW(A22)&gt;COUNTIF(bdlibel4,"&gt;&lt;"),"",INDEX(bdlibel4,SMALL(IF(bdlibel4&lt;&gt;"",ROW(bdlibel4)-51,""),ROW(A22))))</f>
        <v/>
      </c>
      <c r="D157" s="322" t="str">
        <f ca="1">VLOOKUP($C157,bdlibell4,2,0)</f>
        <v/>
      </c>
      <c r="E157" s="322"/>
      <c r="F157" s="322"/>
      <c r="G157" s="322"/>
      <c r="H157" s="320">
        <f ca="1">SUMIFS(F:F,B:B,C157)</f>
        <v>0</v>
      </c>
      <c r="I157" s="202" t="s">
        <v>258</v>
      </c>
      <c r="J157" s="1"/>
      <c r="K157" s="1"/>
      <c r="L157" s="1"/>
      <c r="M157" s="1"/>
    </row>
    <row r="158" spans="1:13" x14ac:dyDescent="0.25">
      <c r="A158" s="235"/>
      <c r="B158" s="315">
        <f t="shared" ca="1" si="9"/>
        <v>41987</v>
      </c>
      <c r="C158" s="319" t="str">
        <f t="array" aca="1" ref="C158" ca="1">IF(ROW(A23)&gt;COUNTIF(bdlibel4,"&gt;&lt;"),"",INDEX(bdlibel4,SMALL(IF(bdlibel4&lt;&gt;"",ROW(bdlibel4)-51,""),ROW(A23))))</f>
        <v/>
      </c>
      <c r="D158" s="322" t="str">
        <f ca="1">VLOOKUP($C158,bdlibell4,2,0)</f>
        <v/>
      </c>
      <c r="E158" s="322"/>
      <c r="F158" s="322"/>
      <c r="G158" s="322"/>
      <c r="H158" s="320">
        <f ca="1">SUMIFS(F:F,B:B,C158)</f>
        <v>0</v>
      </c>
      <c r="I158" s="203"/>
      <c r="J158" s="1"/>
      <c r="K158" s="1"/>
      <c r="L158" s="1"/>
      <c r="M158" s="1"/>
    </row>
    <row r="159" spans="1:13" x14ac:dyDescent="0.25">
      <c r="A159" s="235"/>
      <c r="B159" s="315">
        <f t="shared" ca="1" si="9"/>
        <v>41987</v>
      </c>
      <c r="C159" s="319" t="str">
        <f>B107</f>
        <v>Versé/Prélevé en compte de gestion</v>
      </c>
      <c r="D159" s="317"/>
      <c r="E159" s="317"/>
      <c r="F159" s="317" t="s">
        <v>276</v>
      </c>
      <c r="G159" s="317" t="s">
        <v>275</v>
      </c>
      <c r="H159" s="320">
        <f ca="1">H107</f>
        <v>-1331.4</v>
      </c>
      <c r="I159" s="202"/>
      <c r="J159" s="1"/>
      <c r="K159" s="1"/>
      <c r="L159" s="1"/>
      <c r="M159" s="1"/>
    </row>
    <row r="160" spans="1:13" x14ac:dyDescent="0.25">
      <c r="A160" s="235"/>
      <c r="B160" s="315">
        <f t="shared" ca="1" si="9"/>
        <v>41987</v>
      </c>
      <c r="C160" s="319" t="s">
        <v>242</v>
      </c>
      <c r="D160" s="319"/>
      <c r="E160" s="319"/>
      <c r="F160" s="319">
        <v>1000</v>
      </c>
      <c r="G160" s="316">
        <v>4010</v>
      </c>
      <c r="H160" s="320">
        <f>G106</f>
        <v>401</v>
      </c>
      <c r="I160" s="203"/>
      <c r="J160" s="1"/>
      <c r="K160" s="1"/>
      <c r="L160" s="1"/>
      <c r="M160" s="1"/>
    </row>
    <row r="161" spans="1:14" x14ac:dyDescent="0.25">
      <c r="A161" s="235"/>
      <c r="B161" s="200"/>
      <c r="C161" s="203"/>
      <c r="D161" s="203"/>
      <c r="E161" s="203"/>
      <c r="F161" s="203"/>
      <c r="G161" s="203"/>
      <c r="H161" s="204"/>
      <c r="I161" s="203"/>
      <c r="J161" s="1"/>
      <c r="K161" s="1"/>
      <c r="L161" s="1"/>
      <c r="M161" s="1"/>
      <c r="N161" s="25"/>
    </row>
    <row r="162" spans="1:14" ht="15.75" thickBot="1" x14ac:dyDescent="0.3">
      <c r="A162" s="235"/>
      <c r="B162" s="200"/>
      <c r="C162" s="202" t="s">
        <v>245</v>
      </c>
      <c r="D162" s="202" t="str">
        <f>C2</f>
        <v>février</v>
      </c>
      <c r="E162" s="202"/>
      <c r="F162" s="202"/>
      <c r="G162" s="202"/>
      <c r="H162" s="206">
        <f ca="1">SUM(H122:H161)</f>
        <v>-1534.5</v>
      </c>
      <c r="I162" s="203"/>
      <c r="J162" s="1"/>
      <c r="K162" s="1"/>
      <c r="L162" s="1"/>
      <c r="M162" s="1"/>
      <c r="N162" s="25"/>
    </row>
    <row r="163" spans="1:14" ht="15.75" thickTop="1" x14ac:dyDescent="0.25">
      <c r="A163" s="235"/>
      <c r="B163" s="200"/>
      <c r="C163" s="202"/>
      <c r="D163" s="202"/>
      <c r="E163" s="202"/>
      <c r="F163" s="202"/>
      <c r="G163" s="202"/>
      <c r="H163" s="325"/>
      <c r="I163" s="203"/>
      <c r="J163" s="1"/>
      <c r="K163" s="1"/>
      <c r="L163" s="1"/>
      <c r="M163" s="1"/>
      <c r="N163" s="25"/>
    </row>
    <row r="164" spans="1:14" ht="21" x14ac:dyDescent="0.25">
      <c r="A164" s="235"/>
      <c r="B164" s="358" t="str">
        <f>B119</f>
        <v>Nicole Villet</v>
      </c>
      <c r="C164" s="369"/>
      <c r="D164" s="348">
        <f>D119</f>
        <v>977</v>
      </c>
      <c r="E164" s="358" t="s">
        <v>67</v>
      </c>
      <c r="F164" s="369"/>
      <c r="G164" s="369"/>
      <c r="H164" s="369"/>
      <c r="J164" s="1"/>
      <c r="K164" s="1"/>
      <c r="L164" s="1"/>
      <c r="M164" s="1"/>
    </row>
    <row r="165" spans="1:14" ht="21" x14ac:dyDescent="0.25">
      <c r="A165" s="235"/>
      <c r="B165" s="357" t="str">
        <f>C2</f>
        <v>février</v>
      </c>
      <c r="C165" s="357"/>
      <c r="D165" s="357"/>
      <c r="E165" s="357">
        <f>E2</f>
        <v>2015</v>
      </c>
      <c r="F165" s="357"/>
      <c r="G165" s="357"/>
      <c r="H165" s="357"/>
      <c r="J165" s="1"/>
      <c r="K165" s="1"/>
      <c r="L165" s="1"/>
      <c r="M165" s="1"/>
    </row>
    <row r="166" spans="1:14" s="1" customFormat="1" x14ac:dyDescent="0.25">
      <c r="A166" s="235"/>
      <c r="B166" s="313" t="s">
        <v>64</v>
      </c>
      <c r="C166" s="314" t="s">
        <v>65</v>
      </c>
      <c r="D166" s="314" t="s">
        <v>28</v>
      </c>
      <c r="E166" s="314" t="s">
        <v>66</v>
      </c>
      <c r="F166" s="314" t="s">
        <v>49</v>
      </c>
      <c r="G166" s="314" t="s">
        <v>49</v>
      </c>
      <c r="H166" s="314" t="s">
        <v>223</v>
      </c>
    </row>
    <row r="167" spans="1:14" s="203" customFormat="1" ht="12.75" x14ac:dyDescent="0.2">
      <c r="A167" s="235"/>
      <c r="B167" s="321">
        <f t="shared" ref="B167:B205" ca="1" si="13">TODAY()</f>
        <v>41987</v>
      </c>
      <c r="C167" s="316" t="str">
        <f>B36</f>
        <v>CSS</v>
      </c>
      <c r="D167" s="317" t="str">
        <f>J36</f>
        <v>E</v>
      </c>
      <c r="E167" s="317" t="str">
        <f>K36</f>
        <v>LCA</v>
      </c>
      <c r="F167" s="317"/>
      <c r="G167" s="317">
        <f>L36</f>
        <v>0</v>
      </c>
      <c r="H167" s="318">
        <f>F36</f>
        <v>12.4</v>
      </c>
      <c r="J167" s="202"/>
      <c r="K167" s="202"/>
      <c r="L167" s="202"/>
      <c r="M167" s="202"/>
    </row>
    <row r="168" spans="1:14" s="203" customFormat="1" ht="12.75" x14ac:dyDescent="0.2">
      <c r="A168" s="235"/>
      <c r="B168" s="321">
        <f t="shared" ca="1" si="13"/>
        <v>41987</v>
      </c>
      <c r="C168" s="316" t="str">
        <f t="shared" ref="C168:C181" ca="1" si="14">B37</f>
        <v>Impôts communaux</v>
      </c>
      <c r="D168" s="317" t="str">
        <f t="shared" ref="D168:E181" si="15">J37</f>
        <v>E</v>
      </c>
      <c r="E168" s="317" t="str">
        <f t="shared" si="15"/>
        <v>ENT</v>
      </c>
      <c r="F168" s="317"/>
      <c r="G168" s="317">
        <f t="shared" ref="G168:G181" si="16">L37</f>
        <v>0</v>
      </c>
      <c r="H168" s="318">
        <f t="shared" ref="H168:H181" ca="1" si="17">F37</f>
        <v>0</v>
      </c>
      <c r="J168" s="202"/>
      <c r="K168" s="202"/>
      <c r="L168" s="202"/>
      <c r="M168" s="202"/>
    </row>
    <row r="169" spans="1:14" s="203" customFormat="1" ht="12.75" x14ac:dyDescent="0.2">
      <c r="A169" s="235"/>
      <c r="B169" s="321">
        <f t="shared" ca="1" si="13"/>
        <v>41987</v>
      </c>
      <c r="C169" s="316" t="str">
        <f t="shared" ca="1" si="14"/>
        <v>Impôts cantonaux</v>
      </c>
      <c r="D169" s="317" t="str">
        <f t="shared" si="15"/>
        <v>E</v>
      </c>
      <c r="E169" s="317" t="str">
        <f t="shared" si="15"/>
        <v>ENT</v>
      </c>
      <c r="F169" s="317"/>
      <c r="G169" s="317">
        <f t="shared" si="16"/>
        <v>0</v>
      </c>
      <c r="H169" s="318">
        <f t="shared" ca="1" si="17"/>
        <v>82.3</v>
      </c>
      <c r="J169" s="202"/>
      <c r="K169" s="202"/>
      <c r="L169" s="202"/>
      <c r="M169" s="202"/>
    </row>
    <row r="170" spans="1:14" s="203" customFormat="1" ht="12.75" x14ac:dyDescent="0.2">
      <c r="A170" s="235"/>
      <c r="B170" s="321">
        <f t="shared" ca="1" si="13"/>
        <v>41987</v>
      </c>
      <c r="C170" s="316" t="str">
        <f t="shared" ca="1" si="14"/>
        <v>Téléphone</v>
      </c>
      <c r="D170" s="317" t="str">
        <f t="shared" si="15"/>
        <v>E</v>
      </c>
      <c r="E170" s="317" t="str">
        <f t="shared" si="15"/>
        <v>ENT</v>
      </c>
      <c r="F170" s="317"/>
      <c r="G170" s="317">
        <f t="shared" si="16"/>
        <v>0</v>
      </c>
      <c r="H170" s="318">
        <f t="shared" ca="1" si="17"/>
        <v>0</v>
      </c>
      <c r="J170" s="202"/>
      <c r="K170" s="202"/>
      <c r="L170" s="202"/>
      <c r="M170" s="202"/>
    </row>
    <row r="171" spans="1:14" s="203" customFormat="1" ht="12.75" x14ac:dyDescent="0.2">
      <c r="A171" s="235"/>
      <c r="B171" s="321">
        <f t="shared" ca="1" si="13"/>
        <v>41987</v>
      </c>
      <c r="C171" s="316">
        <f t="shared" ca="1" si="14"/>
        <v>0</v>
      </c>
      <c r="D171" s="317" t="str">
        <f t="shared" si="15"/>
        <v>E</v>
      </c>
      <c r="E171" s="317" t="str">
        <f t="shared" si="15"/>
        <v>ENT</v>
      </c>
      <c r="F171" s="317"/>
      <c r="G171" s="317">
        <f t="shared" si="16"/>
        <v>0</v>
      </c>
      <c r="H171" s="318">
        <f t="shared" ca="1" si="17"/>
        <v>0</v>
      </c>
      <c r="J171" s="202"/>
      <c r="K171" s="202"/>
      <c r="L171" s="202"/>
      <c r="M171" s="202"/>
    </row>
    <row r="172" spans="1:14" s="203" customFormat="1" ht="12.75" x14ac:dyDescent="0.2">
      <c r="A172" s="235"/>
      <c r="B172" s="321">
        <f t="shared" ca="1" si="13"/>
        <v>41987</v>
      </c>
      <c r="C172" s="316">
        <f t="shared" ca="1" si="14"/>
        <v>0</v>
      </c>
      <c r="D172" s="317" t="str">
        <f t="shared" si="15"/>
        <v>E</v>
      </c>
      <c r="E172" s="317" t="str">
        <f t="shared" si="15"/>
        <v>ENT</v>
      </c>
      <c r="F172" s="317"/>
      <c r="G172" s="317">
        <f t="shared" si="16"/>
        <v>0</v>
      </c>
      <c r="H172" s="318">
        <f t="shared" ca="1" si="17"/>
        <v>0</v>
      </c>
      <c r="J172" s="202"/>
      <c r="K172" s="202"/>
      <c r="L172" s="202"/>
      <c r="M172" s="202"/>
    </row>
    <row r="173" spans="1:14" s="203" customFormat="1" ht="12.75" x14ac:dyDescent="0.2">
      <c r="A173" s="235"/>
      <c r="B173" s="321">
        <f t="shared" ca="1" si="13"/>
        <v>41987</v>
      </c>
      <c r="C173" s="316">
        <f t="shared" ca="1" si="14"/>
        <v>0</v>
      </c>
      <c r="D173" s="317" t="str">
        <f t="shared" si="15"/>
        <v>E</v>
      </c>
      <c r="E173" s="317" t="str">
        <f t="shared" si="15"/>
        <v>ENT</v>
      </c>
      <c r="F173" s="317"/>
      <c r="G173" s="317">
        <f t="shared" si="16"/>
        <v>0</v>
      </c>
      <c r="H173" s="318">
        <f t="shared" ca="1" si="17"/>
        <v>0</v>
      </c>
      <c r="J173" s="202"/>
      <c r="K173" s="202"/>
      <c r="L173" s="202"/>
      <c r="M173" s="202"/>
    </row>
    <row r="174" spans="1:14" s="203" customFormat="1" ht="12.75" x14ac:dyDescent="0.2">
      <c r="A174" s="235"/>
      <c r="B174" s="321">
        <f t="shared" ca="1" si="13"/>
        <v>41987</v>
      </c>
      <c r="C174" s="316" t="str">
        <f t="shared" ca="1" si="14"/>
        <v>tutu</v>
      </c>
      <c r="D174" s="317" t="str">
        <f t="shared" si="15"/>
        <v>E</v>
      </c>
      <c r="E174" s="317" t="str">
        <f t="shared" si="15"/>
        <v>ENT</v>
      </c>
      <c r="F174" s="317"/>
      <c r="G174" s="317">
        <f t="shared" si="16"/>
        <v>0</v>
      </c>
      <c r="H174" s="318">
        <f t="shared" ca="1" si="17"/>
        <v>12</v>
      </c>
      <c r="J174" s="202"/>
      <c r="K174" s="202"/>
      <c r="L174" s="202"/>
      <c r="M174" s="202"/>
    </row>
    <row r="175" spans="1:14" s="203" customFormat="1" ht="12.75" x14ac:dyDescent="0.2">
      <c r="A175" s="235"/>
      <c r="B175" s="321">
        <f t="shared" ca="1" si="13"/>
        <v>41987</v>
      </c>
      <c r="C175" s="316">
        <f t="shared" ca="1" si="14"/>
        <v>0</v>
      </c>
      <c r="D175" s="317" t="str">
        <f t="shared" si="15"/>
        <v>E</v>
      </c>
      <c r="E175" s="317" t="str">
        <f t="shared" si="15"/>
        <v>ENT</v>
      </c>
      <c r="F175" s="317"/>
      <c r="G175" s="317">
        <f t="shared" si="16"/>
        <v>0</v>
      </c>
      <c r="H175" s="318">
        <f t="shared" ca="1" si="17"/>
        <v>0</v>
      </c>
      <c r="J175" s="202"/>
      <c r="K175" s="202"/>
      <c r="L175" s="202"/>
      <c r="M175" s="202"/>
    </row>
    <row r="176" spans="1:14" s="203" customFormat="1" ht="12.75" x14ac:dyDescent="0.2">
      <c r="A176" s="235"/>
      <c r="B176" s="321">
        <f t="shared" ca="1" si="13"/>
        <v>41987</v>
      </c>
      <c r="C176" s="316">
        <f t="shared" ca="1" si="14"/>
        <v>0</v>
      </c>
      <c r="D176" s="317" t="str">
        <f t="shared" si="15"/>
        <v>E</v>
      </c>
      <c r="E176" s="317" t="str">
        <f t="shared" si="15"/>
        <v>ENT</v>
      </c>
      <c r="F176" s="317"/>
      <c r="G176" s="317">
        <f t="shared" si="16"/>
        <v>0</v>
      </c>
      <c r="H176" s="318">
        <f t="shared" ca="1" si="17"/>
        <v>0</v>
      </c>
      <c r="J176" s="202"/>
      <c r="K176" s="202"/>
      <c r="L176" s="202"/>
      <c r="M176" s="202"/>
    </row>
    <row r="177" spans="1:13" s="203" customFormat="1" ht="12.75" x14ac:dyDescent="0.2">
      <c r="A177" s="235"/>
      <c r="B177" s="321">
        <f t="shared" ca="1" si="13"/>
        <v>41987</v>
      </c>
      <c r="C177" s="316">
        <f t="shared" ca="1" si="14"/>
        <v>0</v>
      </c>
      <c r="D177" s="317" t="str">
        <f t="shared" si="15"/>
        <v>E</v>
      </c>
      <c r="E177" s="317" t="str">
        <f t="shared" si="15"/>
        <v>ENT</v>
      </c>
      <c r="F177" s="317"/>
      <c r="G177" s="317">
        <f t="shared" si="16"/>
        <v>0</v>
      </c>
      <c r="H177" s="318">
        <f t="shared" ca="1" si="17"/>
        <v>0</v>
      </c>
      <c r="J177" s="202"/>
      <c r="K177" s="202"/>
      <c r="L177" s="202"/>
      <c r="M177" s="202"/>
    </row>
    <row r="178" spans="1:13" s="203" customFormat="1" ht="12.75" x14ac:dyDescent="0.2">
      <c r="A178" s="235"/>
      <c r="B178" s="321">
        <f t="shared" ca="1" si="13"/>
        <v>41987</v>
      </c>
      <c r="C178" s="316">
        <f t="shared" ca="1" si="14"/>
        <v>0</v>
      </c>
      <c r="D178" s="317" t="str">
        <f t="shared" si="15"/>
        <v>E</v>
      </c>
      <c r="E178" s="317" t="str">
        <f t="shared" si="15"/>
        <v>ENT</v>
      </c>
      <c r="F178" s="317"/>
      <c r="G178" s="317">
        <f t="shared" si="16"/>
        <v>0</v>
      </c>
      <c r="H178" s="318">
        <f t="shared" ca="1" si="17"/>
        <v>0</v>
      </c>
      <c r="J178" s="202"/>
      <c r="K178" s="202"/>
      <c r="L178" s="202"/>
      <c r="M178" s="202"/>
    </row>
    <row r="179" spans="1:13" s="203" customFormat="1" ht="12.75" x14ac:dyDescent="0.2">
      <c r="A179" s="235"/>
      <c r="B179" s="321">
        <f t="shared" ca="1" si="13"/>
        <v>41987</v>
      </c>
      <c r="C179" s="316">
        <f t="shared" ca="1" si="14"/>
        <v>0</v>
      </c>
      <c r="D179" s="317" t="str">
        <f t="shared" si="15"/>
        <v>E</v>
      </c>
      <c r="E179" s="317" t="str">
        <f t="shared" si="15"/>
        <v>ENT</v>
      </c>
      <c r="F179" s="317"/>
      <c r="G179" s="317">
        <f t="shared" si="16"/>
        <v>0</v>
      </c>
      <c r="H179" s="318">
        <f t="shared" ca="1" si="17"/>
        <v>0</v>
      </c>
      <c r="J179" s="202"/>
      <c r="K179" s="202"/>
      <c r="L179" s="202"/>
      <c r="M179" s="202"/>
    </row>
    <row r="180" spans="1:13" s="203" customFormat="1" ht="12.75" x14ac:dyDescent="0.2">
      <c r="A180" s="235"/>
      <c r="B180" s="321">
        <f t="shared" ca="1" si="13"/>
        <v>41987</v>
      </c>
      <c r="C180" s="316">
        <f t="shared" ca="1" si="14"/>
        <v>0</v>
      </c>
      <c r="D180" s="317" t="str">
        <f t="shared" si="15"/>
        <v>E</v>
      </c>
      <c r="E180" s="317" t="str">
        <f t="shared" si="15"/>
        <v>ENT</v>
      </c>
      <c r="F180" s="317"/>
      <c r="G180" s="317">
        <f t="shared" si="16"/>
        <v>0</v>
      </c>
      <c r="H180" s="318">
        <f t="shared" ca="1" si="17"/>
        <v>0</v>
      </c>
      <c r="J180" s="202"/>
      <c r="K180" s="202"/>
      <c r="L180" s="202"/>
      <c r="M180" s="202"/>
    </row>
    <row r="181" spans="1:13" s="203" customFormat="1" ht="12.75" x14ac:dyDescent="0.2">
      <c r="A181" s="235"/>
      <c r="B181" s="321">
        <f t="shared" ca="1" si="13"/>
        <v>41987</v>
      </c>
      <c r="C181" s="316">
        <f t="shared" ca="1" si="14"/>
        <v>0</v>
      </c>
      <c r="D181" s="317" t="str">
        <f t="shared" si="15"/>
        <v>E</v>
      </c>
      <c r="E181" s="317" t="str">
        <f t="shared" si="15"/>
        <v>ENT</v>
      </c>
      <c r="F181" s="317"/>
      <c r="G181" s="317">
        <f t="shared" si="16"/>
        <v>0</v>
      </c>
      <c r="H181" s="318">
        <f t="shared" ca="1" si="17"/>
        <v>0</v>
      </c>
      <c r="J181" s="202"/>
      <c r="K181" s="202"/>
      <c r="L181" s="202"/>
      <c r="M181" s="202"/>
    </row>
    <row r="182" spans="1:13" s="203" customFormat="1" ht="12.75" x14ac:dyDescent="0.2">
      <c r="A182" s="235"/>
      <c r="B182" s="321">
        <f t="shared" ca="1" si="13"/>
        <v>41987</v>
      </c>
      <c r="C182" s="316">
        <f>B65</f>
        <v>0</v>
      </c>
      <c r="D182" s="317" t="str">
        <f t="shared" ref="D182:E186" si="18">J65</f>
        <v>E</v>
      </c>
      <c r="E182" s="317" t="str">
        <f t="shared" si="18"/>
        <v>ENT</v>
      </c>
      <c r="F182" s="317"/>
      <c r="G182" s="317">
        <f>L65</f>
        <v>0</v>
      </c>
      <c r="H182" s="318">
        <f>F65</f>
        <v>0</v>
      </c>
      <c r="J182" s="202"/>
      <c r="K182" s="202"/>
      <c r="L182" s="202"/>
      <c r="M182" s="202"/>
    </row>
    <row r="183" spans="1:13" s="203" customFormat="1" ht="12.75" x14ac:dyDescent="0.2">
      <c r="A183" s="235"/>
      <c r="B183" s="321">
        <f t="shared" ca="1" si="13"/>
        <v>41987</v>
      </c>
      <c r="C183" s="316">
        <f>B66</f>
        <v>0</v>
      </c>
      <c r="D183" s="317" t="str">
        <f t="shared" si="18"/>
        <v>E</v>
      </c>
      <c r="E183" s="317" t="str">
        <f t="shared" si="18"/>
        <v>ENT</v>
      </c>
      <c r="F183" s="317"/>
      <c r="G183" s="317">
        <f>L66</f>
        <v>0</v>
      </c>
      <c r="H183" s="318">
        <f>F66</f>
        <v>0</v>
      </c>
      <c r="J183" s="202"/>
      <c r="K183" s="202"/>
      <c r="L183" s="202"/>
      <c r="M183" s="202"/>
    </row>
    <row r="184" spans="1:13" s="203" customFormat="1" ht="12.75" x14ac:dyDescent="0.2">
      <c r="A184" s="235"/>
      <c r="B184" s="321">
        <f t="shared" ca="1" si="13"/>
        <v>41987</v>
      </c>
      <c r="C184" s="316">
        <f>B67</f>
        <v>0</v>
      </c>
      <c r="D184" s="317" t="str">
        <f t="shared" si="18"/>
        <v>E</v>
      </c>
      <c r="E184" s="317" t="str">
        <f t="shared" si="18"/>
        <v>ENT</v>
      </c>
      <c r="F184" s="317"/>
      <c r="G184" s="317">
        <f>L67</f>
        <v>0</v>
      </c>
      <c r="H184" s="318">
        <f>F67</f>
        <v>0</v>
      </c>
      <c r="J184" s="202"/>
      <c r="K184" s="202"/>
      <c r="L184" s="202"/>
      <c r="M184" s="202"/>
    </row>
    <row r="185" spans="1:13" s="203" customFormat="1" ht="12.75" x14ac:dyDescent="0.2">
      <c r="A185" s="235"/>
      <c r="B185" s="321">
        <f t="shared" ca="1" si="13"/>
        <v>41987</v>
      </c>
      <c r="C185" s="316">
        <f>B68</f>
        <v>0</v>
      </c>
      <c r="D185" s="317" t="str">
        <f t="shared" si="18"/>
        <v>E</v>
      </c>
      <c r="E185" s="317" t="str">
        <f t="shared" si="18"/>
        <v>ENT</v>
      </c>
      <c r="F185" s="317"/>
      <c r="G185" s="317">
        <f>L68</f>
        <v>0</v>
      </c>
      <c r="H185" s="318">
        <f>F68</f>
        <v>0</v>
      </c>
      <c r="J185" s="202"/>
      <c r="K185" s="202"/>
      <c r="L185" s="202"/>
      <c r="M185" s="202"/>
    </row>
    <row r="186" spans="1:13" s="203" customFormat="1" ht="12.75" x14ac:dyDescent="0.2">
      <c r="A186" s="235"/>
      <c r="B186" s="321">
        <f t="shared" ca="1" si="13"/>
        <v>41987</v>
      </c>
      <c r="C186" s="316">
        <f>B69</f>
        <v>0</v>
      </c>
      <c r="D186" s="317" t="str">
        <f t="shared" si="18"/>
        <v>E</v>
      </c>
      <c r="E186" s="317" t="str">
        <f t="shared" si="18"/>
        <v>ENT</v>
      </c>
      <c r="F186" s="317"/>
      <c r="G186" s="317">
        <f>L69</f>
        <v>0</v>
      </c>
      <c r="H186" s="318">
        <f>F69</f>
        <v>0</v>
      </c>
      <c r="J186" s="202"/>
      <c r="K186" s="202"/>
      <c r="L186" s="202"/>
      <c r="M186" s="202"/>
    </row>
    <row r="187" spans="1:13" s="203" customFormat="1" ht="12.75" x14ac:dyDescent="0.2">
      <c r="A187" s="235"/>
      <c r="B187" s="321">
        <f t="shared" ca="1" si="13"/>
        <v>41987</v>
      </c>
      <c r="C187" s="316" t="str">
        <f>B74</f>
        <v>Frais de location ou int. Hyp. Sans amortissement</v>
      </c>
      <c r="D187" s="317" t="str">
        <f t="shared" ref="D187:G188" si="19">J74</f>
        <v>L</v>
      </c>
      <c r="E187" s="317" t="str">
        <f t="shared" si="19"/>
        <v>LOY</v>
      </c>
      <c r="F187" s="317">
        <f t="shared" si="19"/>
        <v>4010</v>
      </c>
      <c r="G187" s="317">
        <f t="shared" si="19"/>
        <v>2027</v>
      </c>
      <c r="H187" s="318">
        <f>F74</f>
        <v>2400</v>
      </c>
      <c r="J187" s="202"/>
      <c r="K187" s="202"/>
      <c r="L187" s="202"/>
      <c r="M187" s="202"/>
    </row>
    <row r="188" spans="1:13" s="203" customFormat="1" ht="12.75" x14ac:dyDescent="0.2">
      <c r="A188" s="235"/>
      <c r="B188" s="321">
        <f t="shared" ca="1" si="13"/>
        <v>41987</v>
      </c>
      <c r="C188" s="316" t="str">
        <f>B75</f>
        <v>Charges locatives</v>
      </c>
      <c r="D188" s="317" t="str">
        <f t="shared" si="19"/>
        <v>L</v>
      </c>
      <c r="E188" s="317" t="str">
        <f t="shared" si="19"/>
        <v>CHA</v>
      </c>
      <c r="F188" s="317">
        <f t="shared" si="19"/>
        <v>4010</v>
      </c>
      <c r="G188" s="317">
        <f t="shared" si="19"/>
        <v>2027</v>
      </c>
      <c r="H188" s="318">
        <f>F75</f>
        <v>270</v>
      </c>
      <c r="J188" s="202"/>
      <c r="K188" s="202"/>
      <c r="L188" s="202"/>
      <c r="M188" s="202"/>
    </row>
    <row r="189" spans="1:13" s="203" customFormat="1" ht="12.75" x14ac:dyDescent="0.2">
      <c r="A189" s="235"/>
      <c r="B189" s="321">
        <f t="shared" ca="1" si="13"/>
        <v>41987</v>
      </c>
      <c r="C189" s="316" t="str">
        <f>B78</f>
        <v>CSS</v>
      </c>
      <c r="D189" s="317" t="str">
        <f t="shared" ref="D189:G198" si="20">J78</f>
        <v>M</v>
      </c>
      <c r="E189" s="317" t="str">
        <f t="shared" si="20"/>
        <v>PM</v>
      </c>
      <c r="F189" s="317">
        <f t="shared" si="20"/>
        <v>4024</v>
      </c>
      <c r="G189" s="317">
        <f t="shared" si="20"/>
        <v>2027</v>
      </c>
      <c r="H189" s="318">
        <f>F78</f>
        <v>352.8</v>
      </c>
      <c r="J189" s="202"/>
      <c r="K189" s="202"/>
      <c r="L189" s="202"/>
      <c r="M189" s="202"/>
    </row>
    <row r="190" spans="1:13" s="203" customFormat="1" ht="12.75" x14ac:dyDescent="0.2">
      <c r="A190" s="235"/>
      <c r="B190" s="321">
        <f t="shared" ca="1" si="13"/>
        <v>41987</v>
      </c>
      <c r="C190" s="316" t="str">
        <f t="shared" ref="C190:C198" si="21">B79</f>
        <v>Subvention</v>
      </c>
      <c r="D190" s="317" t="str">
        <f t="shared" si="20"/>
        <v>M</v>
      </c>
      <c r="E190" s="317" t="str">
        <f t="shared" si="20"/>
        <v>PM</v>
      </c>
      <c r="F190" s="317">
        <f t="shared" si="20"/>
        <v>4024</v>
      </c>
      <c r="G190" s="317">
        <f t="shared" si="20"/>
        <v>2027</v>
      </c>
      <c r="H190" s="318">
        <f t="shared" ref="H190:H198" si="22">F79</f>
        <v>-12.8</v>
      </c>
      <c r="J190" s="202"/>
      <c r="K190" s="202"/>
      <c r="L190" s="202"/>
      <c r="M190" s="202"/>
    </row>
    <row r="191" spans="1:13" s="203" customFormat="1" ht="12.75" x14ac:dyDescent="0.2">
      <c r="A191" s="235"/>
      <c r="B191" s="321">
        <f t="shared" ca="1" si="13"/>
        <v>41987</v>
      </c>
      <c r="C191" s="316" t="str">
        <f t="shared" si="21"/>
        <v>CSS</v>
      </c>
      <c r="D191" s="317" t="str">
        <f t="shared" si="20"/>
        <v>M</v>
      </c>
      <c r="E191" s="317" t="str">
        <f t="shared" si="20"/>
        <v>MED</v>
      </c>
      <c r="F191" s="317">
        <f t="shared" si="20"/>
        <v>4023</v>
      </c>
      <c r="G191" s="317">
        <f t="shared" si="20"/>
        <v>2027</v>
      </c>
      <c r="H191" s="318">
        <f t="shared" si="22"/>
        <v>0</v>
      </c>
      <c r="J191" s="202"/>
      <c r="K191" s="202"/>
      <c r="L191" s="202"/>
      <c r="M191" s="202"/>
    </row>
    <row r="192" spans="1:13" s="203" customFormat="1" ht="12.75" x14ac:dyDescent="0.2">
      <c r="A192" s="235"/>
      <c r="B192" s="321">
        <f t="shared" ca="1" si="13"/>
        <v>41987</v>
      </c>
      <c r="C192" s="316" t="str">
        <f t="shared" si="21"/>
        <v>CSS</v>
      </c>
      <c r="D192" s="317" t="str">
        <f t="shared" si="20"/>
        <v>M</v>
      </c>
      <c r="E192" s="317" t="str">
        <f t="shared" si="20"/>
        <v>MED</v>
      </c>
      <c r="F192" s="317">
        <f t="shared" si="20"/>
        <v>4023</v>
      </c>
      <c r="G192" s="317">
        <f t="shared" si="20"/>
        <v>2027</v>
      </c>
      <c r="H192" s="318">
        <f t="shared" si="22"/>
        <v>0</v>
      </c>
      <c r="J192" s="202"/>
      <c r="K192" s="202"/>
      <c r="L192" s="202"/>
      <c r="M192" s="202"/>
    </row>
    <row r="193" spans="1:14" s="203" customFormat="1" ht="12.75" x14ac:dyDescent="0.2">
      <c r="A193" s="235"/>
      <c r="B193" s="321">
        <f t="shared" ca="1" si="13"/>
        <v>41987</v>
      </c>
      <c r="C193" s="316" t="str">
        <f t="shared" si="21"/>
        <v>CSS</v>
      </c>
      <c r="D193" s="317" t="str">
        <f t="shared" si="20"/>
        <v>M</v>
      </c>
      <c r="E193" s="317" t="str">
        <f t="shared" si="20"/>
        <v>MED</v>
      </c>
      <c r="F193" s="317">
        <f t="shared" si="20"/>
        <v>4023</v>
      </c>
      <c r="G193" s="317">
        <f t="shared" si="20"/>
        <v>2027</v>
      </c>
      <c r="H193" s="318">
        <f t="shared" si="22"/>
        <v>26.8</v>
      </c>
      <c r="J193" s="202"/>
      <c r="K193" s="202"/>
      <c r="L193" s="202"/>
      <c r="M193" s="202"/>
    </row>
    <row r="194" spans="1:14" s="203" customFormat="1" ht="12.75" x14ac:dyDescent="0.2">
      <c r="A194" s="235"/>
      <c r="B194" s="321">
        <f t="shared" ca="1" si="13"/>
        <v>41987</v>
      </c>
      <c r="C194" s="316" t="str">
        <f t="shared" si="21"/>
        <v>CSS</v>
      </c>
      <c r="D194" s="317" t="str">
        <f t="shared" si="20"/>
        <v>M</v>
      </c>
      <c r="E194" s="317" t="str">
        <f t="shared" si="20"/>
        <v>MED</v>
      </c>
      <c r="F194" s="317">
        <f t="shared" si="20"/>
        <v>4023</v>
      </c>
      <c r="G194" s="317">
        <f t="shared" si="20"/>
        <v>2027</v>
      </c>
      <c r="H194" s="318">
        <f t="shared" si="22"/>
        <v>0</v>
      </c>
      <c r="J194" s="202"/>
      <c r="K194" s="202"/>
      <c r="L194" s="202"/>
      <c r="M194" s="202"/>
    </row>
    <row r="195" spans="1:14" s="203" customFormat="1" ht="12.75" x14ac:dyDescent="0.2">
      <c r="A195" s="235"/>
      <c r="B195" s="321">
        <f t="shared" ca="1" si="13"/>
        <v>41987</v>
      </c>
      <c r="C195" s="316" t="str">
        <f t="shared" si="21"/>
        <v>CSS</v>
      </c>
      <c r="D195" s="317" t="str">
        <f t="shared" si="20"/>
        <v>M</v>
      </c>
      <c r="E195" s="317" t="str">
        <f t="shared" si="20"/>
        <v>MED</v>
      </c>
      <c r="F195" s="317">
        <f t="shared" si="20"/>
        <v>4023</v>
      </c>
      <c r="G195" s="317">
        <f t="shared" si="20"/>
        <v>2027</v>
      </c>
      <c r="H195" s="318">
        <f t="shared" si="22"/>
        <v>0</v>
      </c>
      <c r="J195" s="202"/>
      <c r="K195" s="202"/>
      <c r="L195" s="202"/>
      <c r="M195" s="202"/>
    </row>
    <row r="196" spans="1:14" s="203" customFormat="1" ht="12.75" x14ac:dyDescent="0.2">
      <c r="A196" s="235"/>
      <c r="B196" s="321">
        <f t="shared" ca="1" si="13"/>
        <v>41987</v>
      </c>
      <c r="C196" s="316" t="str">
        <f t="shared" si="21"/>
        <v>Caisse compensation</v>
      </c>
      <c r="D196" s="317" t="str">
        <f t="shared" si="20"/>
        <v>M</v>
      </c>
      <c r="E196" s="317" t="str">
        <f t="shared" si="20"/>
        <v>MED</v>
      </c>
      <c r="F196" s="317">
        <f t="shared" si="20"/>
        <v>4023</v>
      </c>
      <c r="G196" s="317">
        <f t="shared" si="20"/>
        <v>2027</v>
      </c>
      <c r="H196" s="318">
        <f t="shared" si="22"/>
        <v>0</v>
      </c>
      <c r="J196" s="202"/>
      <c r="K196" s="202"/>
      <c r="L196" s="202"/>
      <c r="M196" s="202"/>
    </row>
    <row r="197" spans="1:14" s="203" customFormat="1" ht="12.75" x14ac:dyDescent="0.2">
      <c r="A197" s="235"/>
      <c r="B197" s="321">
        <f t="shared" ca="1" si="13"/>
        <v>41987</v>
      </c>
      <c r="C197" s="316">
        <f t="shared" si="21"/>
        <v>0</v>
      </c>
      <c r="D197" s="317" t="str">
        <f t="shared" si="20"/>
        <v>M</v>
      </c>
      <c r="E197" s="317" t="str">
        <f t="shared" si="20"/>
        <v>MED</v>
      </c>
      <c r="F197" s="317">
        <f t="shared" si="20"/>
        <v>4023</v>
      </c>
      <c r="G197" s="317">
        <f t="shared" si="20"/>
        <v>2027</v>
      </c>
      <c r="H197" s="318">
        <f t="shared" si="22"/>
        <v>0</v>
      </c>
      <c r="J197" s="202"/>
      <c r="K197" s="202"/>
      <c r="L197" s="202"/>
      <c r="M197" s="202"/>
    </row>
    <row r="198" spans="1:14" s="203" customFormat="1" ht="12.75" x14ac:dyDescent="0.2">
      <c r="A198" s="235"/>
      <c r="B198" s="321">
        <f t="shared" ca="1" si="13"/>
        <v>41987</v>
      </c>
      <c r="C198" s="316">
        <f t="shared" si="21"/>
        <v>0</v>
      </c>
      <c r="D198" s="317" t="str">
        <f t="shared" si="20"/>
        <v>M</v>
      </c>
      <c r="E198" s="317" t="str">
        <f t="shared" si="20"/>
        <v>MED</v>
      </c>
      <c r="F198" s="317">
        <f t="shared" si="20"/>
        <v>4023</v>
      </c>
      <c r="G198" s="317">
        <f t="shared" si="20"/>
        <v>2027</v>
      </c>
      <c r="H198" s="318">
        <f t="shared" si="22"/>
        <v>0</v>
      </c>
      <c r="J198" s="202"/>
      <c r="K198" s="202"/>
      <c r="L198" s="202"/>
      <c r="M198" s="202"/>
    </row>
    <row r="199" spans="1:14" s="203" customFormat="1" ht="12.75" x14ac:dyDescent="0.2">
      <c r="A199" s="235"/>
      <c r="B199" s="321">
        <f t="shared" ca="1" si="13"/>
        <v>41987</v>
      </c>
      <c r="C199" s="316" t="str">
        <f t="shared" ref="C199:C204" si="23">B90</f>
        <v>Frais de transports</v>
      </c>
      <c r="D199" s="317" t="str">
        <f>J90</f>
        <v>C</v>
      </c>
      <c r="E199" s="317" t="str">
        <f>K90</f>
        <v>CIR</v>
      </c>
      <c r="F199" s="317">
        <f>L90</f>
        <v>4010</v>
      </c>
      <c r="G199" s="317">
        <f t="shared" ref="G199:G204" si="24">M90</f>
        <v>2027</v>
      </c>
      <c r="H199" s="318">
        <f t="shared" ref="H199:H204" si="25">F90</f>
        <v>0</v>
      </c>
      <c r="J199" s="202"/>
      <c r="K199" s="202"/>
      <c r="L199" s="202"/>
      <c r="M199" s="202"/>
    </row>
    <row r="200" spans="1:14" s="203" customFormat="1" ht="12.75" x14ac:dyDescent="0.2">
      <c r="A200" s="235"/>
      <c r="B200" s="321">
        <f t="shared" ca="1" si="13"/>
        <v>41987</v>
      </c>
      <c r="C200" s="316" t="str">
        <f t="shared" si="23"/>
        <v>Repas pris hors du domicile</v>
      </c>
      <c r="D200" s="317" t="str">
        <f t="shared" ref="D200:F204" si="26">J91</f>
        <v>C</v>
      </c>
      <c r="E200" s="317" t="str">
        <f t="shared" si="26"/>
        <v>CIR</v>
      </c>
      <c r="F200" s="317">
        <f t="shared" si="26"/>
        <v>4010</v>
      </c>
      <c r="G200" s="317">
        <f t="shared" si="24"/>
        <v>2027</v>
      </c>
      <c r="H200" s="318">
        <f t="shared" si="25"/>
        <v>0</v>
      </c>
      <c r="J200" s="202"/>
      <c r="K200" s="202"/>
      <c r="L200" s="202"/>
      <c r="M200" s="202"/>
    </row>
    <row r="201" spans="1:14" s="203" customFormat="1" ht="12.75" x14ac:dyDescent="0.2">
      <c r="A201" s="235"/>
      <c r="B201" s="321">
        <f t="shared" ca="1" si="13"/>
        <v>41987</v>
      </c>
      <c r="C201" s="316">
        <f t="shared" si="23"/>
        <v>0</v>
      </c>
      <c r="D201" s="317" t="str">
        <f t="shared" si="26"/>
        <v>C</v>
      </c>
      <c r="E201" s="317" t="str">
        <f t="shared" si="26"/>
        <v>CIR</v>
      </c>
      <c r="F201" s="317">
        <f t="shared" si="26"/>
        <v>4010</v>
      </c>
      <c r="G201" s="317">
        <f t="shared" si="24"/>
        <v>2027</v>
      </c>
      <c r="H201" s="318">
        <f t="shared" si="25"/>
        <v>0</v>
      </c>
      <c r="J201" s="202"/>
      <c r="K201" s="202"/>
      <c r="L201" s="202"/>
      <c r="M201" s="202"/>
    </row>
    <row r="202" spans="1:14" s="203" customFormat="1" ht="12.75" x14ac:dyDescent="0.2">
      <c r="A202" s="235"/>
      <c r="B202" s="321">
        <f t="shared" ca="1" si="13"/>
        <v>41987</v>
      </c>
      <c r="C202" s="316">
        <f t="shared" si="23"/>
        <v>0</v>
      </c>
      <c r="D202" s="317" t="str">
        <f t="shared" si="26"/>
        <v>C</v>
      </c>
      <c r="E202" s="317" t="str">
        <f t="shared" si="26"/>
        <v>CIR</v>
      </c>
      <c r="F202" s="317">
        <f t="shared" si="26"/>
        <v>4010</v>
      </c>
      <c r="G202" s="317">
        <f t="shared" si="24"/>
        <v>2027</v>
      </c>
      <c r="H202" s="318">
        <f t="shared" si="25"/>
        <v>0</v>
      </c>
      <c r="J202" s="202"/>
      <c r="K202" s="202"/>
      <c r="L202" s="202"/>
      <c r="M202" s="202"/>
    </row>
    <row r="203" spans="1:14" s="203" customFormat="1" ht="12.75" x14ac:dyDescent="0.2">
      <c r="A203" s="235"/>
      <c r="B203" s="321">
        <f t="shared" ca="1" si="13"/>
        <v>41987</v>
      </c>
      <c r="C203" s="316">
        <f t="shared" si="23"/>
        <v>0</v>
      </c>
      <c r="D203" s="317">
        <f t="shared" si="26"/>
        <v>0</v>
      </c>
      <c r="E203" s="317">
        <f t="shared" si="26"/>
        <v>0</v>
      </c>
      <c r="F203" s="317">
        <f t="shared" si="26"/>
        <v>4010</v>
      </c>
      <c r="G203" s="317">
        <f t="shared" si="24"/>
        <v>2027</v>
      </c>
      <c r="H203" s="318">
        <f t="shared" si="25"/>
        <v>0</v>
      </c>
      <c r="J203" s="202"/>
      <c r="K203" s="202"/>
      <c r="L203" s="202"/>
      <c r="M203" s="202"/>
    </row>
    <row r="204" spans="1:14" s="203" customFormat="1" ht="12.75" x14ac:dyDescent="0.2">
      <c r="A204" s="235"/>
      <c r="B204" s="321">
        <f t="shared" ca="1" si="13"/>
        <v>41987</v>
      </c>
      <c r="C204" s="316">
        <f t="shared" si="23"/>
        <v>0</v>
      </c>
      <c r="D204" s="317">
        <f t="shared" si="26"/>
        <v>0</v>
      </c>
      <c r="E204" s="317">
        <f t="shared" si="26"/>
        <v>0</v>
      </c>
      <c r="F204" s="317">
        <f t="shared" si="26"/>
        <v>4010</v>
      </c>
      <c r="G204" s="317">
        <f t="shared" si="24"/>
        <v>2027</v>
      </c>
      <c r="H204" s="318">
        <f t="shared" si="25"/>
        <v>0</v>
      </c>
      <c r="J204" s="202"/>
      <c r="K204" s="202"/>
      <c r="L204" s="202"/>
      <c r="M204" s="202"/>
    </row>
    <row r="205" spans="1:14" s="203" customFormat="1" ht="12.75" x14ac:dyDescent="0.2">
      <c r="A205" s="235"/>
      <c r="B205" s="321">
        <f t="shared" ca="1" si="13"/>
        <v>41987</v>
      </c>
      <c r="C205" s="316" t="s">
        <v>259</v>
      </c>
      <c r="D205" s="317"/>
      <c r="E205" s="317"/>
      <c r="F205" s="317">
        <v>4010</v>
      </c>
      <c r="G205" s="317">
        <v>2027</v>
      </c>
      <c r="H205" s="318">
        <f>G105</f>
        <v>612</v>
      </c>
      <c r="J205" s="202"/>
      <c r="K205" s="202"/>
      <c r="L205" s="202"/>
      <c r="M205" s="202"/>
    </row>
    <row r="206" spans="1:14" s="203" customFormat="1" ht="12.75" x14ac:dyDescent="0.2">
      <c r="A206" s="235"/>
      <c r="B206" s="205"/>
      <c r="C206" s="151"/>
      <c r="D206" s="201"/>
      <c r="E206" s="201"/>
      <c r="F206" s="201"/>
      <c r="G206" s="201"/>
      <c r="H206" s="187"/>
      <c r="J206" s="202"/>
      <c r="K206" s="202"/>
      <c r="L206" s="202"/>
      <c r="M206" s="202"/>
    </row>
    <row r="207" spans="1:14" s="203" customFormat="1" ht="13.5" thickBot="1" x14ac:dyDescent="0.25">
      <c r="A207" s="229"/>
      <c r="B207" s="207"/>
      <c r="C207" s="202" t="s">
        <v>244</v>
      </c>
      <c r="D207" s="202" t="str">
        <f>C2</f>
        <v>février</v>
      </c>
      <c r="E207" s="202"/>
      <c r="F207" s="202"/>
      <c r="G207" s="202"/>
      <c r="H207" s="206">
        <f ca="1">SUM(H167:H206)</f>
        <v>3755.5</v>
      </c>
      <c r="N207" s="204"/>
    </row>
    <row r="208" spans="1:14" s="203" customFormat="1" ht="13.5" thickTop="1" x14ac:dyDescent="0.2">
      <c r="A208" s="235"/>
      <c r="B208" s="207"/>
      <c r="J208" s="202"/>
      <c r="K208" s="202"/>
      <c r="L208" s="202"/>
      <c r="M208" s="202"/>
      <c r="N208" s="204"/>
    </row>
    <row r="209" spans="1:14" s="203" customFormat="1" ht="13.5" thickBot="1" x14ac:dyDescent="0.25">
      <c r="A209" s="229"/>
      <c r="B209" s="207"/>
      <c r="C209" s="202" t="s">
        <v>247</v>
      </c>
      <c r="D209" s="202"/>
      <c r="E209" s="202"/>
      <c r="F209" s="202"/>
      <c r="G209" s="202"/>
      <c r="H209" s="208" t="str">
        <f ca="1">IF(H162+H207+G103-H205-H205=-G101,"c'est tout bon!!","t'as fait tout faux !!!")</f>
        <v>c'est tout bon!!</v>
      </c>
      <c r="N209" s="204"/>
    </row>
    <row r="210" spans="1:14" s="203" customFormat="1" ht="14.25" thickTop="1" thickBot="1" x14ac:dyDescent="0.25">
      <c r="A210" s="235"/>
      <c r="B210" s="207"/>
      <c r="J210" s="202"/>
      <c r="K210" s="202"/>
      <c r="L210" s="202"/>
      <c r="M210" s="202"/>
    </row>
    <row r="211" spans="1:14" s="203" customFormat="1" ht="13.5" thickTop="1" x14ac:dyDescent="0.2">
      <c r="A211" s="235"/>
      <c r="B211" s="207"/>
      <c r="E211" s="209" t="s">
        <v>262</v>
      </c>
      <c r="F211" s="210"/>
      <c r="G211" s="211" t="s">
        <v>261</v>
      </c>
      <c r="H211" s="212" t="s">
        <v>260</v>
      </c>
      <c r="J211" s="202"/>
      <c r="K211" s="202"/>
      <c r="L211" s="202"/>
      <c r="M211" s="202"/>
    </row>
    <row r="212" spans="1:14" s="203" customFormat="1" ht="12.75" x14ac:dyDescent="0.2">
      <c r="A212" s="235"/>
      <c r="B212" s="207"/>
      <c r="E212" s="213" t="s">
        <v>33</v>
      </c>
      <c r="F212" s="214"/>
      <c r="G212" s="215"/>
      <c r="H212" s="216">
        <f ca="1">SUMIFS(H122:H205,D122:D205,E212)</f>
        <v>0</v>
      </c>
      <c r="J212" s="202"/>
      <c r="K212" s="202"/>
      <c r="L212" s="202"/>
      <c r="M212" s="202"/>
    </row>
    <row r="213" spans="1:14" s="203" customFormat="1" ht="12.75" x14ac:dyDescent="0.2">
      <c r="A213" s="235"/>
      <c r="B213" s="207"/>
      <c r="E213" s="213" t="s">
        <v>31</v>
      </c>
      <c r="F213" s="214"/>
      <c r="G213" s="215"/>
      <c r="H213" s="216">
        <f ca="1">SUMIFS(H123:H206,D123:D206,E213)</f>
        <v>1045</v>
      </c>
      <c r="J213" s="202"/>
      <c r="K213" s="202"/>
      <c r="L213" s="202"/>
      <c r="M213" s="202"/>
    </row>
    <row r="214" spans="1:14" s="203" customFormat="1" ht="12.75" x14ac:dyDescent="0.2">
      <c r="A214" s="235"/>
      <c r="B214" s="207"/>
      <c r="E214" s="213" t="s">
        <v>39</v>
      </c>
      <c r="F214" s="214"/>
      <c r="G214" s="215"/>
      <c r="H214" s="216">
        <f ca="1">SUMIFS(H122:H205,D122:D205,E214)</f>
        <v>995</v>
      </c>
      <c r="J214" s="202"/>
      <c r="K214" s="202"/>
      <c r="L214" s="202"/>
      <c r="M214" s="202"/>
    </row>
    <row r="215" spans="1:14" s="203" customFormat="1" ht="12.75" x14ac:dyDescent="0.2">
      <c r="A215" s="235"/>
      <c r="B215" s="207"/>
      <c r="E215" s="213" t="s">
        <v>37</v>
      </c>
      <c r="F215" s="214"/>
      <c r="G215" s="215"/>
      <c r="H215" s="216">
        <f ca="1">SUMIFS(H122:H205,D122:D205,E215)</f>
        <v>132.6</v>
      </c>
      <c r="J215" s="202"/>
      <c r="K215" s="202"/>
      <c r="L215" s="202"/>
      <c r="M215" s="202"/>
    </row>
    <row r="216" spans="1:14" s="203" customFormat="1" ht="12.75" x14ac:dyDescent="0.2">
      <c r="A216" s="235"/>
      <c r="B216" s="207"/>
      <c r="E216" s="213" t="s">
        <v>35</v>
      </c>
      <c r="F216" s="214"/>
      <c r="G216" s="215"/>
      <c r="H216" s="216">
        <f ca="1">SUMIFS(H122:H205,D122:D205,E216)</f>
        <v>366.8</v>
      </c>
      <c r="J216" s="202"/>
      <c r="K216" s="202"/>
      <c r="L216" s="202"/>
      <c r="M216" s="202"/>
    </row>
    <row r="217" spans="1:14" s="203" customFormat="1" ht="13.5" thickBot="1" x14ac:dyDescent="0.25">
      <c r="A217" s="235"/>
      <c r="B217" s="207"/>
      <c r="E217" s="213" t="s">
        <v>258</v>
      </c>
      <c r="F217" s="214"/>
      <c r="G217" s="217">
        <f ca="1">SUMIFS(H122:H160,I122:I160,E217)</f>
        <v>-1487.4</v>
      </c>
      <c r="H217" s="218"/>
      <c r="J217" s="202"/>
      <c r="K217" s="202"/>
      <c r="L217" s="202">
        <f>SUMIFS(H122:H161,I122:I161,I159)</f>
        <v>0</v>
      </c>
      <c r="M217" s="202"/>
    </row>
    <row r="218" spans="1:14" s="203" customFormat="1" ht="14.25" thickTop="1" thickBot="1" x14ac:dyDescent="0.25">
      <c r="A218" s="235"/>
      <c r="B218" s="207"/>
      <c r="E218" s="219"/>
      <c r="F218" s="220"/>
      <c r="G218" s="217">
        <f ca="1">SUM(G212:G217)</f>
        <v>-1487.4</v>
      </c>
      <c r="H218" s="218">
        <f ca="1">SUM(H212:H217)</f>
        <v>2539.4</v>
      </c>
      <c r="J218" s="202"/>
      <c r="K218" s="202"/>
      <c r="L218" s="202"/>
      <c r="M218" s="202"/>
    </row>
    <row r="219" spans="1:14" ht="15.75" thickTop="1" x14ac:dyDescent="0.25">
      <c r="A219" s="235"/>
      <c r="B219" s="35"/>
      <c r="G219" s="25"/>
      <c r="J219" s="1"/>
      <c r="K219" s="1"/>
      <c r="L219" s="1"/>
      <c r="M219" s="1"/>
    </row>
    <row r="220" spans="1:14" x14ac:dyDescent="0.25">
      <c r="A220" s="235"/>
      <c r="B220" s="35"/>
      <c r="G220" s="25"/>
      <c r="J220" s="1"/>
      <c r="K220" s="1"/>
      <c r="L220" s="1"/>
      <c r="M220" s="1"/>
    </row>
    <row r="221" spans="1:14" x14ac:dyDescent="0.25">
      <c r="A221" s="235"/>
      <c r="B221" s="35"/>
      <c r="J221" s="1"/>
      <c r="K221" s="1"/>
      <c r="L221" s="1"/>
      <c r="M221" s="1"/>
    </row>
    <row r="222" spans="1:14" x14ac:dyDescent="0.25">
      <c r="A222" s="235"/>
      <c r="B222" s="35"/>
      <c r="J222" s="1"/>
      <c r="K222" s="1"/>
      <c r="L222" s="1"/>
      <c r="M222" s="1"/>
    </row>
    <row r="223" spans="1:14" x14ac:dyDescent="0.25">
      <c r="A223" s="235"/>
      <c r="B223" s="35"/>
      <c r="J223" s="1"/>
      <c r="K223" s="1"/>
      <c r="L223" s="1"/>
      <c r="M223" s="1"/>
    </row>
    <row r="224" spans="1:14" x14ac:dyDescent="0.25">
      <c r="A224" s="235"/>
      <c r="B224" s="35"/>
      <c r="J224" s="1"/>
      <c r="K224" s="1"/>
      <c r="L224" s="1"/>
      <c r="M224" s="1"/>
    </row>
  </sheetData>
  <sheetProtection sheet="1" formatCells="0" formatColumns="0" formatRows="0" insertColumns="0" insertRows="0" insertHyperlinks="0" deleteColumns="0" deleteRows="0" sort="0" autoFilter="0" pivotTables="0"/>
  <protectedRanges>
    <protectedRange sqref="N31:N32" name="Plage1_3"/>
    <protectedRange sqref="B65:F69" name="Plage2_3"/>
    <protectedRange sqref="B92:F95" name="Plage3_3"/>
    <protectedRange sqref="G105:G106" name="Plage4_3"/>
  </protectedRanges>
  <mergeCells count="13">
    <mergeCell ref="B165:D165"/>
    <mergeCell ref="E165:H165"/>
    <mergeCell ref="B1:H1"/>
    <mergeCell ref="B27:D27"/>
    <mergeCell ref="B30:D30"/>
    <mergeCell ref="B31:D31"/>
    <mergeCell ref="B32:D32"/>
    <mergeCell ref="B35:H35"/>
    <mergeCell ref="E119:H119"/>
    <mergeCell ref="B120:D120"/>
    <mergeCell ref="E120:H120"/>
    <mergeCell ref="B164:C164"/>
    <mergeCell ref="E164:H164"/>
  </mergeCells>
  <dataValidations count="2">
    <dataValidation allowBlank="1" showInputMessage="1" showErrorMessage="1" promptTitle="renevus" sqref="B13:B21"/>
    <dataValidation type="list" allowBlank="1" showInputMessage="1" showErrorMessage="1" sqref="B27:B28">
      <formula1>Ressources</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ImpressionSélective">
                <anchor moveWithCells="1">
                  <from>
                    <xdr:col>9</xdr:col>
                    <xdr:colOff>0</xdr:colOff>
                    <xdr:row>0</xdr:row>
                    <xdr:rowOff>152400</xdr:rowOff>
                  </from>
                  <to>
                    <xdr:col>14</xdr:col>
                    <xdr:colOff>695325</xdr:colOff>
                    <xdr:row>2</xdr:row>
                    <xdr:rowOff>9525</xdr:rowOff>
                  </to>
                </anchor>
              </controlPr>
            </control>
          </mc:Choice>
        </mc:AlternateContent>
        <mc:AlternateContent xmlns:mc="http://schemas.openxmlformats.org/markup-compatibility/2006">
          <mc:Choice Requires="x14">
            <control shapeId="16386" r:id="rId4" name="Button 2">
              <controlPr defaultSize="0" print="0" autoFill="0" autoPict="0" macro="[0]!ImpresSélect">
                <anchor moveWithCells="1">
                  <from>
                    <xdr:col>9</xdr:col>
                    <xdr:colOff>19050</xdr:colOff>
                    <xdr:row>3</xdr:row>
                    <xdr:rowOff>9525</xdr:rowOff>
                  </from>
                  <to>
                    <xdr:col>14</xdr:col>
                    <xdr:colOff>638175</xdr:colOff>
                    <xdr:row>4</xdr:row>
                    <xdr:rowOff>95250</xdr:rowOff>
                  </to>
                </anchor>
              </controlPr>
            </control>
          </mc:Choice>
        </mc:AlternateContent>
        <mc:AlternateContent xmlns:mc="http://schemas.openxmlformats.org/markup-compatibility/2006">
          <mc:Choice Requires="x14">
            <control shapeId="16390" r:id="rId5" name="Button 6">
              <controlPr defaultSize="0" print="0" autoFill="0" autoPict="0" macro="[0]!ImpresSélect">
                <anchor moveWithCells="1">
                  <from>
                    <xdr:col>9</xdr:col>
                    <xdr:colOff>19050</xdr:colOff>
                    <xdr:row>3</xdr:row>
                    <xdr:rowOff>9525</xdr:rowOff>
                  </from>
                  <to>
                    <xdr:col>14</xdr:col>
                    <xdr:colOff>685800</xdr:colOff>
                    <xdr:row>4</xdr:row>
                    <xdr:rowOff>95250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3">
    <tabColor rgb="FF92D050"/>
  </sheetPr>
  <dimension ref="A1:T224"/>
  <sheetViews>
    <sheetView showZeros="0" topLeftCell="B1" workbookViewId="0">
      <selection activeCell="D13" sqref="D13"/>
    </sheetView>
  </sheetViews>
  <sheetFormatPr baseColWidth="10" defaultRowHeight="15" x14ac:dyDescent="0.25"/>
  <cols>
    <col min="1" max="1" width="11.42578125" hidden="1" customWidth="1"/>
    <col min="2" max="2" width="16.85546875" customWidth="1"/>
    <col min="3" max="3" width="21.140625" customWidth="1"/>
    <col min="4" max="4" width="14" customWidth="1"/>
    <col min="5" max="8" width="11.42578125" customWidth="1"/>
    <col min="9" max="9" width="3.5703125" customWidth="1"/>
    <col min="10" max="11" width="4" customWidth="1"/>
    <col min="12" max="13" width="6.85546875" customWidth="1"/>
    <col min="14" max="14" width="9.42578125" customWidth="1"/>
  </cols>
  <sheetData>
    <row r="1" spans="1:15" ht="21" x14ac:dyDescent="0.25">
      <c r="A1" s="229"/>
      <c r="B1" s="358" t="s">
        <v>4</v>
      </c>
      <c r="C1" s="358"/>
      <c r="D1" s="358"/>
      <c r="E1" s="358"/>
      <c r="F1" s="358"/>
      <c r="G1" s="358"/>
      <c r="H1" s="358"/>
      <c r="J1" s="1"/>
      <c r="K1" s="1"/>
      <c r="L1" s="1"/>
      <c r="M1" s="1"/>
    </row>
    <row r="2" spans="1:15" s="203" customFormat="1" ht="12.75" x14ac:dyDescent="0.2">
      <c r="A2" s="229"/>
      <c r="B2" s="207" t="s">
        <v>7</v>
      </c>
      <c r="C2" s="221" t="s">
        <v>166</v>
      </c>
      <c r="D2" s="203" t="s">
        <v>6</v>
      </c>
      <c r="E2" s="236">
        <f>'Les normes-données de base'!B1</f>
        <v>2015</v>
      </c>
      <c r="F2" s="203" t="s">
        <v>24</v>
      </c>
      <c r="H2" s="207" t="str">
        <f>'Les normes-données de base'!B5</f>
        <v>NV</v>
      </c>
      <c r="J2" s="202"/>
      <c r="K2" s="202"/>
      <c r="L2" s="202"/>
      <c r="M2" s="202"/>
    </row>
    <row r="3" spans="1:15" s="203" customFormat="1" ht="12.75" x14ac:dyDescent="0.2">
      <c r="A3" s="229"/>
      <c r="B3" s="207" t="s">
        <v>5</v>
      </c>
      <c r="D3" s="203" t="str">
        <f>'Les normes-données de base'!B3</f>
        <v>Nicole Villet</v>
      </c>
      <c r="F3" s="203" t="s">
        <v>23</v>
      </c>
      <c r="H3" s="207">
        <f>'Les normes-données de base'!B4</f>
        <v>977</v>
      </c>
      <c r="J3" s="202"/>
      <c r="K3" s="202"/>
      <c r="L3" s="202"/>
      <c r="M3" s="202"/>
    </row>
    <row r="4" spans="1:15" s="203" customFormat="1" ht="12.75" x14ac:dyDescent="0.2">
      <c r="A4" s="229"/>
      <c r="B4" s="207" t="s">
        <v>14</v>
      </c>
      <c r="D4" s="203" t="str">
        <f>'Les normes-données de base'!B14</f>
        <v>Impasse de l'Opéra 1</v>
      </c>
      <c r="F4" s="203" t="s">
        <v>25</v>
      </c>
      <c r="H4" s="207">
        <f>'Les normes-données de base'!B12</f>
        <v>2231</v>
      </c>
      <c r="J4" s="202"/>
      <c r="K4" s="202"/>
      <c r="L4" s="202"/>
      <c r="M4" s="202"/>
    </row>
    <row r="5" spans="1:15" s="203" customFormat="1" ht="12.75" x14ac:dyDescent="0.2">
      <c r="A5" s="229"/>
      <c r="B5" s="207"/>
      <c r="D5" s="203" t="str">
        <f>'Les normes-données de base'!D14</f>
        <v>1696 Vuisternens-en-Ogoz</v>
      </c>
      <c r="F5" s="203" t="s">
        <v>26</v>
      </c>
      <c r="H5" s="207">
        <f>'Les normes-données de base'!B13</f>
        <v>2231</v>
      </c>
      <c r="J5" s="202"/>
      <c r="K5" s="202"/>
      <c r="L5" s="202"/>
      <c r="M5" s="202"/>
    </row>
    <row r="6" spans="1:15" s="203" customFormat="1" ht="12.75" x14ac:dyDescent="0.2">
      <c r="A6" s="229"/>
      <c r="B6" s="207" t="s">
        <v>16</v>
      </c>
      <c r="D6" s="200">
        <f>'Les normes-données de base'!B8</f>
        <v>24682</v>
      </c>
      <c r="E6" s="151"/>
      <c r="F6" s="203" t="s">
        <v>68</v>
      </c>
      <c r="G6" s="151"/>
      <c r="H6" s="205">
        <f ca="1">TODAY()</f>
        <v>41987</v>
      </c>
      <c r="J6" s="202"/>
      <c r="K6" s="202"/>
      <c r="L6" s="202"/>
      <c r="M6" s="202"/>
    </row>
    <row r="7" spans="1:15" s="203" customFormat="1" ht="12.75" x14ac:dyDescent="0.2">
      <c r="A7" s="229"/>
      <c r="B7" s="207" t="s">
        <v>15</v>
      </c>
      <c r="D7" s="151" t="str">
        <f t="array" ref="D7">INDEX('Les normes-données de base'!B18:B29,MATCH(1,('Les normes-données de base'!A18:A29=C2)*('Les normes-données de base'!B3='BU-janv'!D3),0))</f>
        <v>veuve</v>
      </c>
      <c r="E7" s="151"/>
      <c r="F7" s="203" t="s">
        <v>19</v>
      </c>
      <c r="H7" s="203" t="str">
        <f>'Les normes-données de base'!B9</f>
        <v>Treyvaux</v>
      </c>
      <c r="J7" s="202"/>
      <c r="K7" s="202"/>
      <c r="L7" s="202"/>
      <c r="M7" s="202"/>
    </row>
    <row r="8" spans="1:15" s="203" customFormat="1" ht="12.75" x14ac:dyDescent="0.2">
      <c r="A8" s="229"/>
      <c r="B8" s="207" t="s">
        <v>107</v>
      </c>
      <c r="D8" s="228">
        <f ca="1">SUMIF('Les normes-données de base'!A18:C29,C2,'Les normes-données de base'!C18:C29)</f>
        <v>4</v>
      </c>
      <c r="E8" s="151"/>
      <c r="F8" s="203" t="s">
        <v>20</v>
      </c>
      <c r="H8" s="203" t="str">
        <f>'Les normes-données de base'!B10</f>
        <v>FR</v>
      </c>
      <c r="J8" s="202"/>
      <c r="K8" s="202"/>
      <c r="L8" s="202"/>
      <c r="M8" s="202"/>
    </row>
    <row r="9" spans="1:15" s="203" customFormat="1" ht="12.75" x14ac:dyDescent="0.2">
      <c r="A9" s="229"/>
      <c r="B9" s="207" t="s">
        <v>106</v>
      </c>
      <c r="D9" s="228">
        <f ca="1">SUMIF('Les normes-données de base'!A18:D29,C2,'Les normes-données de base'!D18:D29)</f>
        <v>2</v>
      </c>
      <c r="E9" s="151"/>
      <c r="F9" s="203" t="s">
        <v>21</v>
      </c>
      <c r="H9" s="203" t="str">
        <f>'Les normes-données de base'!B11</f>
        <v>CH</v>
      </c>
      <c r="J9" s="202"/>
      <c r="K9" s="202"/>
      <c r="L9" s="202"/>
      <c r="M9" s="202"/>
    </row>
    <row r="10" spans="1:15" s="203" customFormat="1" ht="12.75" x14ac:dyDescent="0.2">
      <c r="A10" s="229"/>
      <c r="B10" s="207" t="s">
        <v>17</v>
      </c>
      <c r="D10" s="207">
        <f>'Les normes-données de base'!B16</f>
        <v>2014</v>
      </c>
      <c r="F10" s="203" t="s">
        <v>18</v>
      </c>
      <c r="H10" s="203" t="str">
        <f>'Les normes-données de base'!B15</f>
        <v>32/33</v>
      </c>
      <c r="J10" s="202"/>
      <c r="K10" s="202"/>
      <c r="L10" s="202"/>
      <c r="M10" s="202"/>
    </row>
    <row r="11" spans="1:15" s="16" customFormat="1" ht="38.25" x14ac:dyDescent="0.25">
      <c r="A11" s="230"/>
      <c r="B11" s="196"/>
      <c r="D11" s="22"/>
      <c r="E11" s="20" t="s">
        <v>0</v>
      </c>
      <c r="F11" s="21" t="s">
        <v>1</v>
      </c>
      <c r="G11" s="21" t="s">
        <v>2</v>
      </c>
      <c r="H11" s="20" t="s">
        <v>3</v>
      </c>
      <c r="J11" s="124" t="s">
        <v>28</v>
      </c>
      <c r="K11" s="124" t="s">
        <v>66</v>
      </c>
      <c r="L11" s="124" t="s">
        <v>49</v>
      </c>
      <c r="M11" s="124" t="s">
        <v>49</v>
      </c>
    </row>
    <row r="12" spans="1:15" s="203" customFormat="1" ht="18" x14ac:dyDescent="0.2">
      <c r="A12" s="326" t="s">
        <v>84</v>
      </c>
      <c r="B12" s="277" t="s">
        <v>32</v>
      </c>
      <c r="C12" s="294"/>
      <c r="D12" s="279"/>
      <c r="E12" s="311"/>
      <c r="F12" s="312"/>
      <c r="G12" s="312"/>
      <c r="H12" s="311"/>
      <c r="J12" s="224"/>
      <c r="K12" s="224"/>
      <c r="L12" s="224"/>
      <c r="M12" s="224"/>
      <c r="O12" s="226"/>
    </row>
    <row r="13" spans="1:15" s="285" customFormat="1" ht="12" x14ac:dyDescent="0.2">
      <c r="A13" s="327"/>
      <c r="B13" s="292" t="s">
        <v>58</v>
      </c>
      <c r="C13" s="290"/>
      <c r="D13" s="291"/>
      <c r="E13" s="243">
        <f>SUMIFS(Ressources!D:D,Ressources!$C:$C,$B13,Ressources!$A:$A,$C$2)</f>
        <v>0</v>
      </c>
      <c r="F13" s="243">
        <f>SUMIFS(Ressources!E:E,Ressources!$C:$C,$B13,Ressources!$A:$A,$C$2)</f>
        <v>0</v>
      </c>
      <c r="G13" s="283">
        <f>E13+F13</f>
        <v>0</v>
      </c>
      <c r="H13" s="243"/>
      <c r="J13" s="274" t="s">
        <v>33</v>
      </c>
      <c r="K13" s="274" t="s">
        <v>263</v>
      </c>
      <c r="L13" s="274">
        <v>2027</v>
      </c>
      <c r="M13" s="274"/>
      <c r="O13" s="290"/>
    </row>
    <row r="14" spans="1:15" s="285" customFormat="1" ht="12" x14ac:dyDescent="0.2">
      <c r="A14" s="327"/>
      <c r="B14" s="292" t="s">
        <v>59</v>
      </c>
      <c r="C14" s="290"/>
      <c r="D14" s="291"/>
      <c r="E14" s="243">
        <f>SUMIFS(Ressources!D:D,Ressources!$C:$C,B14,Ressources!$A:$A,$C$2)</f>
        <v>0</v>
      </c>
      <c r="F14" s="243">
        <f>SUMIFS(Ressources!E:E,Ressources!$C:$C,$B14,Ressources!$A:$A,$C$2)</f>
        <v>0</v>
      </c>
      <c r="G14" s="283">
        <f t="shared" ref="G14:G26" si="0">E14+F14</f>
        <v>0</v>
      </c>
      <c r="H14" s="243"/>
      <c r="J14" s="274" t="s">
        <v>33</v>
      </c>
      <c r="K14" s="274" t="s">
        <v>263</v>
      </c>
      <c r="L14" s="274">
        <v>2027</v>
      </c>
      <c r="M14" s="274"/>
      <c r="O14" s="290"/>
    </row>
    <row r="15" spans="1:15" s="285" customFormat="1" ht="12" x14ac:dyDescent="0.2">
      <c r="A15" s="327"/>
      <c r="B15" s="292" t="s">
        <v>93</v>
      </c>
      <c r="C15" s="290"/>
      <c r="D15" s="291"/>
      <c r="E15" s="243">
        <f>SUMIFS(Ressources!D:D,Ressources!$C:$C,B15,Ressources!$A:$A,$C$2)</f>
        <v>0</v>
      </c>
      <c r="F15" s="243">
        <f>SUMIFS(Ressources!E:E,Ressources!$C:$C,$B15,Ressources!$A:$A,$C$2)</f>
        <v>0</v>
      </c>
      <c r="G15" s="283">
        <f t="shared" si="0"/>
        <v>0</v>
      </c>
      <c r="H15" s="243"/>
      <c r="J15" s="274" t="s">
        <v>33</v>
      </c>
      <c r="K15" s="274" t="s">
        <v>263</v>
      </c>
      <c r="L15" s="274">
        <v>2027</v>
      </c>
      <c r="M15" s="274"/>
      <c r="O15" s="290"/>
    </row>
    <row r="16" spans="1:15" s="285" customFormat="1" ht="12" x14ac:dyDescent="0.2">
      <c r="A16" s="327"/>
      <c r="B16" s="292" t="s">
        <v>60</v>
      </c>
      <c r="C16" s="290"/>
      <c r="D16" s="291"/>
      <c r="E16" s="243">
        <f>SUMIFS(Ressources!D:D,Ressources!$C:$C,B16,Ressources!$A:$A,$C$2)</f>
        <v>0</v>
      </c>
      <c r="F16" s="243">
        <f>SUMIFS(Ressources!E:E,Ressources!$C:$C,$B16,Ressources!$A:$A,$C$2)</f>
        <v>0</v>
      </c>
      <c r="G16" s="283">
        <f t="shared" si="0"/>
        <v>0</v>
      </c>
      <c r="H16" s="243"/>
      <c r="J16" s="274" t="s">
        <v>33</v>
      </c>
      <c r="K16" s="274" t="s">
        <v>264</v>
      </c>
      <c r="L16" s="274">
        <v>2027</v>
      </c>
      <c r="M16" s="274"/>
      <c r="O16" s="290"/>
    </row>
    <row r="17" spans="1:16" s="285" customFormat="1" ht="12" x14ac:dyDescent="0.2">
      <c r="A17" s="327"/>
      <c r="B17" s="292" t="s">
        <v>61</v>
      </c>
      <c r="C17" s="290"/>
      <c r="D17" s="291"/>
      <c r="E17" s="243">
        <f>SUMIFS(Ressources!D:D,Ressources!$C:$C,B17,Ressources!$A:$A,$C$2)</f>
        <v>0</v>
      </c>
      <c r="F17" s="243">
        <f>SUMIFS(Ressources!E:E,Ressources!$C:$C,$B17,Ressources!$A:$A,$C$2)</f>
        <v>0</v>
      </c>
      <c r="G17" s="283">
        <f t="shared" si="0"/>
        <v>0</v>
      </c>
      <c r="H17" s="243"/>
      <c r="J17" s="274" t="s">
        <v>33</v>
      </c>
      <c r="K17" s="274" t="s">
        <v>257</v>
      </c>
      <c r="L17" s="274">
        <v>2027</v>
      </c>
      <c r="M17" s="274"/>
      <c r="O17" s="290"/>
    </row>
    <row r="18" spans="1:16" s="285" customFormat="1" ht="12" x14ac:dyDescent="0.2">
      <c r="A18" s="327"/>
      <c r="B18" s="292" t="s">
        <v>62</v>
      </c>
      <c r="C18" s="290"/>
      <c r="D18" s="291"/>
      <c r="E18" s="243">
        <f>SUMIFS(Ressources!D:D,Ressources!$C:$C,B18,Ressources!$A:$A,$C$2)</f>
        <v>0</v>
      </c>
      <c r="F18" s="243">
        <f>SUMIFS(Ressources!E:E,Ressources!$C:$C,$B18,Ressources!$A:$A,$C$2)</f>
        <v>0</v>
      </c>
      <c r="G18" s="283">
        <f t="shared" si="0"/>
        <v>0</v>
      </c>
      <c r="H18" s="243"/>
      <c r="J18" s="274" t="s">
        <v>33</v>
      </c>
      <c r="K18" s="274" t="s">
        <v>265</v>
      </c>
      <c r="L18" s="274">
        <v>2027</v>
      </c>
      <c r="M18" s="274"/>
      <c r="O18" s="290"/>
    </row>
    <row r="19" spans="1:16" s="285" customFormat="1" ht="12" x14ac:dyDescent="0.2">
      <c r="A19" s="327"/>
      <c r="B19" s="292" t="s">
        <v>101</v>
      </c>
      <c r="C19" s="290"/>
      <c r="D19" s="291"/>
      <c r="E19" s="243">
        <f>SUMIFS(Ressources!D:D,Ressources!$C:$C,B19,Ressources!$A:$A,$C$2)</f>
        <v>0</v>
      </c>
      <c r="F19" s="243">
        <f>SUMIFS(Ressources!E:E,Ressources!$C:$C,$B19,Ressources!$A:$A,$C$2)</f>
        <v>0</v>
      </c>
      <c r="G19" s="283">
        <f t="shared" si="0"/>
        <v>0</v>
      </c>
      <c r="H19" s="243"/>
      <c r="J19" s="274" t="s">
        <v>33</v>
      </c>
      <c r="K19" s="274" t="s">
        <v>266</v>
      </c>
      <c r="L19" s="274">
        <v>2027</v>
      </c>
      <c r="M19" s="274"/>
      <c r="O19" s="290"/>
    </row>
    <row r="20" spans="1:16" s="285" customFormat="1" ht="12" x14ac:dyDescent="0.2">
      <c r="A20" s="327"/>
      <c r="B20" s="292" t="s">
        <v>102</v>
      </c>
      <c r="C20" s="290"/>
      <c r="D20" s="291"/>
      <c r="E20" s="243">
        <f>SUMIFS(Ressources!D:D,Ressources!$C:$C,B20,Ressources!$A:$A,$C$2)</f>
        <v>0</v>
      </c>
      <c r="F20" s="243">
        <f>SUMIFS(Ressources!E:E,Ressources!$C:$C,$B20,Ressources!$A:$A,$C$2)</f>
        <v>0</v>
      </c>
      <c r="G20" s="283">
        <f t="shared" si="0"/>
        <v>0</v>
      </c>
      <c r="H20" s="243"/>
      <c r="J20" s="274" t="s">
        <v>33</v>
      </c>
      <c r="K20" s="274" t="s">
        <v>267</v>
      </c>
      <c r="L20" s="274">
        <v>2027</v>
      </c>
      <c r="M20" s="274"/>
      <c r="O20" s="290"/>
    </row>
    <row r="21" spans="1:16" s="285" customFormat="1" ht="12" x14ac:dyDescent="0.2">
      <c r="A21" s="327"/>
      <c r="B21" s="292" t="s">
        <v>63</v>
      </c>
      <c r="C21" s="290"/>
      <c r="D21" s="291"/>
      <c r="E21" s="243">
        <f>SUMIFS(Ressources!D:D,Ressources!$C:$C,B21,Ressources!$A:$A,$C$2)</f>
        <v>0</v>
      </c>
      <c r="F21" s="243">
        <f>SUMIFS(Ressources!E:E,Ressources!$C:$C,$B21,Ressources!$A:$A,$C$2)</f>
        <v>0</v>
      </c>
      <c r="G21" s="283">
        <f t="shared" si="0"/>
        <v>0</v>
      </c>
      <c r="H21" s="243"/>
      <c r="J21" s="274" t="s">
        <v>33</v>
      </c>
      <c r="K21" s="274" t="s">
        <v>268</v>
      </c>
      <c r="L21" s="274">
        <v>2027</v>
      </c>
      <c r="M21" s="274"/>
      <c r="O21" s="290"/>
    </row>
    <row r="22" spans="1:16" s="285" customFormat="1" ht="12" x14ac:dyDescent="0.2">
      <c r="A22" s="327"/>
      <c r="B22" s="292" t="s">
        <v>91</v>
      </c>
      <c r="C22" s="290"/>
      <c r="D22" s="291"/>
      <c r="E22" s="243">
        <f>SUMIFS(Ressources!D:D,Ressources!$C:$C,B22,Ressources!$A:$A,$C$2)</f>
        <v>0</v>
      </c>
      <c r="F22" s="243">
        <f>SUMIFS(Ressources!E:E,Ressources!$C:$C,$B22,Ressources!$A:$A,$C$2)</f>
        <v>0</v>
      </c>
      <c r="G22" s="283">
        <f t="shared" si="0"/>
        <v>0</v>
      </c>
      <c r="H22" s="243"/>
      <c r="J22" s="274" t="s">
        <v>33</v>
      </c>
      <c r="K22" s="274" t="s">
        <v>263</v>
      </c>
      <c r="L22" s="274">
        <v>2027</v>
      </c>
      <c r="M22" s="274"/>
      <c r="O22" s="290"/>
    </row>
    <row r="23" spans="1:16" s="285" customFormat="1" ht="12" x14ac:dyDescent="0.2">
      <c r="A23" s="327"/>
      <c r="B23" s="292" t="s">
        <v>92</v>
      </c>
      <c r="C23" s="290"/>
      <c r="D23" s="291"/>
      <c r="E23" s="243">
        <f>SUMIFS(Ressources!D:D,Ressources!$C:$C,B23,Ressources!$A:$A,$C$2)</f>
        <v>0</v>
      </c>
      <c r="F23" s="243">
        <f>SUMIFS(Ressources!E:E,Ressources!$C:$C,$B23,Ressources!$A:$A,$C$2)</f>
        <v>0</v>
      </c>
      <c r="G23" s="283">
        <f t="shared" si="0"/>
        <v>0</v>
      </c>
      <c r="H23" s="243"/>
      <c r="J23" s="274" t="s">
        <v>33</v>
      </c>
      <c r="K23" s="274" t="s">
        <v>263</v>
      </c>
      <c r="L23" s="274">
        <v>2027</v>
      </c>
      <c r="M23" s="274"/>
      <c r="O23" s="290"/>
    </row>
    <row r="24" spans="1:16" s="285" customFormat="1" ht="12" x14ac:dyDescent="0.2">
      <c r="A24" s="327"/>
      <c r="B24" s="240" t="s">
        <v>196</v>
      </c>
      <c r="C24" s="290"/>
      <c r="D24" s="291"/>
      <c r="E24" s="243"/>
      <c r="F24" s="243"/>
      <c r="G24" s="283"/>
      <c r="H24" s="243"/>
      <c r="J24" s="274" t="s">
        <v>33</v>
      </c>
      <c r="K24" s="274" t="s">
        <v>269</v>
      </c>
      <c r="L24" s="274">
        <v>2027</v>
      </c>
      <c r="M24" s="274"/>
      <c r="O24" s="290"/>
    </row>
    <row r="25" spans="1:16" s="285" customFormat="1" ht="12" x14ac:dyDescent="0.2">
      <c r="A25" s="327"/>
      <c r="B25" s="292" t="s">
        <v>85</v>
      </c>
      <c r="C25" s="290"/>
      <c r="D25" s="291"/>
      <c r="E25" s="243">
        <f>SUMIFS(Ressources!D:D,Ressources!$C:$C,B25,Ressources!$A:$A,$C$2)</f>
        <v>0</v>
      </c>
      <c r="F25" s="243">
        <f>SUMIFS(Ressources!E:E,Ressources!$C:$C,$B25,Ressources!$A:$A,$C$2)</f>
        <v>0</v>
      </c>
      <c r="G25" s="283">
        <f t="shared" si="0"/>
        <v>0</v>
      </c>
      <c r="H25" s="243"/>
      <c r="J25" s="274" t="s">
        <v>33</v>
      </c>
      <c r="K25" s="274" t="s">
        <v>270</v>
      </c>
      <c r="L25" s="274">
        <v>2027</v>
      </c>
      <c r="M25" s="274"/>
      <c r="O25" s="290"/>
    </row>
    <row r="26" spans="1:16" s="203" customFormat="1" ht="12.75" x14ac:dyDescent="0.2">
      <c r="A26" s="328"/>
      <c r="B26" s="342" t="s">
        <v>136</v>
      </c>
      <c r="C26" s="226"/>
      <c r="D26" s="148"/>
      <c r="E26" s="150"/>
      <c r="F26" s="150">
        <f>SUMIFS(Ressources!E:E,Ressources!$C:$C,$B26,Ressources!$A:$A,$C$2)</f>
        <v>0</v>
      </c>
      <c r="G26" s="223">
        <f t="shared" si="0"/>
        <v>0</v>
      </c>
      <c r="H26" s="150"/>
      <c r="J26" s="224"/>
      <c r="K26" s="224"/>
      <c r="L26" s="224"/>
      <c r="M26" s="224"/>
      <c r="O26" s="226"/>
    </row>
    <row r="27" spans="1:16" x14ac:dyDescent="0.25">
      <c r="A27" s="329"/>
      <c r="B27" s="359" t="s">
        <v>137</v>
      </c>
      <c r="C27" s="360"/>
      <c r="D27" s="361"/>
      <c r="E27" s="98"/>
      <c r="F27" s="98">
        <f>SUMIFS(Ressources!E:E,Ressources!$C:$C,$B27,Ressources!$A:$A,$C$2)</f>
        <v>0</v>
      </c>
      <c r="G27" s="99">
        <f>-SUMIFS(Ressources!F:F,Ressources!C:C,'BU-janv'!B27:B27,Ressources!A:A,C2)</f>
        <v>0</v>
      </c>
      <c r="H27" s="98"/>
      <c r="J27" s="125" t="s">
        <v>33</v>
      </c>
      <c r="K27" s="125" t="s">
        <v>271</v>
      </c>
      <c r="L27" s="125"/>
      <c r="M27" s="125"/>
      <c r="O27" s="8"/>
    </row>
    <row r="28" spans="1:16" s="203" customFormat="1" ht="12.75" x14ac:dyDescent="0.2">
      <c r="A28" s="328"/>
      <c r="B28" s="269" t="s">
        <v>139</v>
      </c>
      <c r="C28" s="270"/>
      <c r="D28" s="271"/>
      <c r="E28" s="275">
        <f>SUM(E12:E27)</f>
        <v>0</v>
      </c>
      <c r="F28" s="275">
        <f>SUM(F12:F27)</f>
        <v>0</v>
      </c>
      <c r="G28" s="275">
        <f>SUM(G12:G27)</f>
        <v>0</v>
      </c>
      <c r="H28" s="276">
        <f>SUM(H12:H27)</f>
        <v>0</v>
      </c>
      <c r="J28" s="224" t="s">
        <v>33</v>
      </c>
      <c r="K28" s="224" t="s">
        <v>270</v>
      </c>
      <c r="L28" s="224"/>
      <c r="M28" s="224"/>
      <c r="O28" s="226"/>
    </row>
    <row r="29" spans="1:16" s="203" customFormat="1" ht="12.75" x14ac:dyDescent="0.2">
      <c r="A29" s="328"/>
      <c r="B29" s="277" t="s">
        <v>138</v>
      </c>
      <c r="C29" s="294"/>
      <c r="D29" s="279"/>
      <c r="E29" s="281"/>
      <c r="F29" s="280"/>
      <c r="G29" s="280"/>
      <c r="H29" s="281"/>
      <c r="J29" s="224"/>
      <c r="K29" s="224"/>
      <c r="L29" s="224"/>
      <c r="M29" s="224"/>
      <c r="N29" s="222" t="s">
        <v>157</v>
      </c>
      <c r="O29" s="310"/>
      <c r="P29" s="222"/>
    </row>
    <row r="30" spans="1:16" s="285" customFormat="1" ht="12.75" thickBot="1" x14ac:dyDescent="0.25">
      <c r="A30" s="327"/>
      <c r="B30" s="362" t="s">
        <v>153</v>
      </c>
      <c r="C30" s="363"/>
      <c r="D30" s="364"/>
      <c r="E30" s="297"/>
      <c r="F30" s="293"/>
      <c r="G30" s="283">
        <f>SUMIFS(Supplément!C:C,Supplément!A:A,C2,Supplément!B:B,B30)</f>
        <v>0</v>
      </c>
      <c r="H30" s="293"/>
      <c r="J30" s="274" t="s">
        <v>33</v>
      </c>
      <c r="K30" s="274" t="s">
        <v>272</v>
      </c>
      <c r="L30" s="274"/>
      <c r="M30" s="274"/>
      <c r="O30" s="290"/>
    </row>
    <row r="31" spans="1:16" s="285" customFormat="1" ht="13.5" thickTop="1" thickBot="1" x14ac:dyDescent="0.25">
      <c r="A31" s="327"/>
      <c r="B31" s="362" t="s">
        <v>154</v>
      </c>
      <c r="C31" s="363"/>
      <c r="D31" s="364"/>
      <c r="E31" s="297"/>
      <c r="F31" s="293"/>
      <c r="G31" s="283">
        <f>SUMIFS(Supplément!C:C,Supplément!A:A,C2,Supplément!B:B,B31)</f>
        <v>0</v>
      </c>
      <c r="H31" s="297"/>
      <c r="J31" s="274" t="s">
        <v>33</v>
      </c>
      <c r="K31" s="274" t="s">
        <v>272</v>
      </c>
      <c r="L31" s="274"/>
      <c r="M31" s="274"/>
      <c r="N31" s="308" t="s">
        <v>111</v>
      </c>
      <c r="O31" s="290" t="s">
        <v>158</v>
      </c>
    </row>
    <row r="32" spans="1:16" s="285" customFormat="1" ht="13.5" thickTop="1" thickBot="1" x14ac:dyDescent="0.25">
      <c r="A32" s="327"/>
      <c r="B32" s="362" t="s">
        <v>155</v>
      </c>
      <c r="C32" s="363"/>
      <c r="D32" s="364"/>
      <c r="E32" s="293"/>
      <c r="F32" s="293"/>
      <c r="G32" s="283">
        <f>SUMIFS(Supplément!C:C,Supplément!A:A,C2,Supplément!B:B,B32)</f>
        <v>0</v>
      </c>
      <c r="H32" s="297"/>
      <c r="J32" s="274" t="s">
        <v>33</v>
      </c>
      <c r="K32" s="274" t="s">
        <v>272</v>
      </c>
      <c r="L32" s="274"/>
      <c r="M32" s="274"/>
      <c r="N32" s="309">
        <v>2</v>
      </c>
      <c r="O32" s="290" t="s">
        <v>159</v>
      </c>
    </row>
    <row r="33" spans="1:15" s="203" customFormat="1" ht="13.5" thickTop="1" x14ac:dyDescent="0.2">
      <c r="A33" s="330"/>
      <c r="B33" s="269" t="s">
        <v>140</v>
      </c>
      <c r="C33" s="270"/>
      <c r="D33" s="271"/>
      <c r="E33" s="275">
        <f>SUM(E30:E32)</f>
        <v>0</v>
      </c>
      <c r="F33" s="275">
        <f>SUM(F30:F32)</f>
        <v>0</v>
      </c>
      <c r="G33" s="275">
        <f>SUM(G30:G32)</f>
        <v>0</v>
      </c>
      <c r="H33" s="275">
        <f>SUM(H30:H32)</f>
        <v>0</v>
      </c>
      <c r="J33" s="224" t="s">
        <v>33</v>
      </c>
      <c r="K33" s="224" t="s">
        <v>272</v>
      </c>
      <c r="L33" s="224"/>
      <c r="M33" s="224"/>
      <c r="O33" s="226"/>
    </row>
    <row r="34" spans="1:15" s="203" customFormat="1" ht="99" x14ac:dyDescent="0.2">
      <c r="A34" s="331" t="s">
        <v>54</v>
      </c>
      <c r="B34" s="277" t="s">
        <v>50</v>
      </c>
      <c r="C34" s="294"/>
      <c r="D34" s="279"/>
      <c r="E34" s="281"/>
      <c r="F34" s="281"/>
      <c r="G34" s="307">
        <f ca="1">(SUMIFS('Les normes-données de base'!B34:B41,'Les normes-données de base'!A34:A41,D8))/D8*D9</f>
        <v>1045</v>
      </c>
      <c r="H34" s="281"/>
      <c r="J34" s="224" t="s">
        <v>31</v>
      </c>
      <c r="K34" s="224" t="s">
        <v>86</v>
      </c>
      <c r="L34" s="224"/>
      <c r="M34" s="224"/>
      <c r="O34" s="226"/>
    </row>
    <row r="35" spans="1:15" x14ac:dyDescent="0.25">
      <c r="A35" s="332"/>
      <c r="B35" s="365" t="s">
        <v>56</v>
      </c>
      <c r="C35" s="366"/>
      <c r="D35" s="366"/>
      <c r="E35" s="367"/>
      <c r="F35" s="367"/>
      <c r="G35" s="367"/>
      <c r="H35" s="368"/>
      <c r="J35" s="125"/>
      <c r="K35" s="125"/>
      <c r="L35" s="125"/>
      <c r="M35" s="125"/>
      <c r="O35" s="8"/>
    </row>
    <row r="36" spans="1:15" s="285" customFormat="1" ht="12" x14ac:dyDescent="0.2">
      <c r="A36" s="333"/>
      <c r="B36" s="292" t="str">
        <f t="array" ref="B36">INDEX('Caisse maladie'!$C$2:$C$49,MATCH(1,('Caisse maladie'!$A$2:$A$49=C2)*('Caisse maladie'!$B$2:$B$49="LCA"),0))</f>
        <v>CSS</v>
      </c>
      <c r="C36" s="349"/>
      <c r="D36" s="350" t="s">
        <v>46</v>
      </c>
      <c r="E36" s="243">
        <f>SUMIFS('Caisse maladie'!D:D,'Caisse maladie'!A:A,C2,'Caisse maladie'!B:B,D36,'Caisse maladie'!E:E,"non")</f>
        <v>0</v>
      </c>
      <c r="F36" s="243">
        <f>SUMIFS('Caisse maladie'!D:D,'Caisse maladie'!A:A,C2,'Caisse maladie'!B:B,D36,'Caisse maladie'!E:E,"oui")</f>
        <v>12.4</v>
      </c>
      <c r="G36" s="243"/>
      <c r="H36" s="243"/>
      <c r="J36" s="274" t="s">
        <v>31</v>
      </c>
      <c r="K36" s="274" t="s">
        <v>46</v>
      </c>
      <c r="L36" s="274"/>
      <c r="M36" s="274"/>
      <c r="O36" s="290"/>
    </row>
    <row r="37" spans="1:15" s="285" customFormat="1" ht="12" x14ac:dyDescent="0.2">
      <c r="A37" s="333"/>
      <c r="B37" s="240" t="str">
        <f ca="1">IF(OFFSET(OFFSET(INDEX('Paiements échelonnés'!C:C,MATCH($C$2,'Paiements échelonnés'!B:B,0)),ROW()-37,0),0,2)&lt;&gt;"",OFFSET(INDEX('Paiements échelonnés'!C:C,MATCH($C$2,'Paiements échelonnés'!B:B,0)),ROW()-37,0),"")</f>
        <v>Impôts communaux</v>
      </c>
      <c r="C37" s="299" t="str">
        <f ca="1">IF(OFFSET(OFFSET(INDEX('Paiements échelonnés'!D:D,MATCH($C$2,'Paiements échelonnés'!B:B,0)),ROW()-37,0),0,2)&lt;&gt;"",OFFSET(INDEX('Paiements échelonnés'!D:D,MATCH($C$2,'Paiements échelonnés'!B:B,0)),ROW()-37,0),"")</f>
        <v>Commune de Farvagny</v>
      </c>
      <c r="D37" s="350"/>
      <c r="E37" s="243">
        <f ca="1">SUMIFS('Paiements échelonnés'!E:E,'Paiements échelonnés'!C:C,B37,'Paiements échelonnés'!A:A,$C$2,'Paiements échelonnés'!F:F,"non")</f>
        <v>81.5</v>
      </c>
      <c r="F37" s="243">
        <f ca="1">SUMIFS('Paiements échelonnés'!E:E,'Paiements échelonnés'!C:C,B37,'Paiements échelonnés'!A:A,$C$2,'Paiements échelonnés'!F:F,"oui")</f>
        <v>0</v>
      </c>
      <c r="G37" s="243"/>
      <c r="H37" s="243"/>
      <c r="J37" s="274" t="s">
        <v>31</v>
      </c>
      <c r="K37" s="274" t="s">
        <v>86</v>
      </c>
      <c r="L37" s="274"/>
      <c r="M37" s="274"/>
      <c r="O37" s="290"/>
    </row>
    <row r="38" spans="1:15" s="285" customFormat="1" ht="12" x14ac:dyDescent="0.2">
      <c r="A38" s="333"/>
      <c r="B38" s="240" t="str">
        <f ca="1">IF(OFFSET(OFFSET(INDEX('Paiements échelonnés'!C:C,MATCH($C$2,'Paiements échelonnés'!B:B,0)),ROW()-37,0),0,2)&lt;&gt;"",OFFSET(INDEX('Paiements échelonnés'!C:C,MATCH($C$2,'Paiements échelonnés'!B:B,0)),ROW()-37,0),"")</f>
        <v>Impôts cantonaux</v>
      </c>
      <c r="C38" s="299" t="str">
        <f ca="1">IF(OFFSET(OFFSET(INDEX('Paiements échelonnés'!D:D,MATCH($C$2,'Paiements échelonnés'!B:B,0)),ROW()-37,0),0,2)&lt;&gt;"",OFFSET(INDEX('Paiements échelonnés'!D:D,MATCH($C$2,'Paiements échelonnés'!B:B,0)),ROW()-37,0),"")</f>
        <v>SCC</v>
      </c>
      <c r="D38" s="350"/>
      <c r="E38" s="243">
        <f ca="1">SUMIFS('Paiements échelonnés'!E:E,'Paiements échelonnés'!C:C,B38,'Paiements échelonnés'!A:A,$C$2,'Paiements échelonnés'!F:F,"non")</f>
        <v>0</v>
      </c>
      <c r="F38" s="243">
        <f ca="1">SUMIFS('Paiements échelonnés'!E:E,'Paiements échelonnés'!C:C,B38,'Paiements échelonnés'!A:A,$C$2,'Paiements échelonnés'!F:F,"oui")</f>
        <v>82.3</v>
      </c>
      <c r="G38" s="243"/>
      <c r="H38" s="243"/>
      <c r="J38" s="274" t="s">
        <v>31</v>
      </c>
      <c r="K38" s="274" t="s">
        <v>86</v>
      </c>
      <c r="L38" s="274"/>
      <c r="M38" s="274"/>
      <c r="O38" s="290"/>
    </row>
    <row r="39" spans="1:15" s="285" customFormat="1" ht="12" x14ac:dyDescent="0.2">
      <c r="A39" s="333"/>
      <c r="B39" s="240" t="str">
        <f ca="1">IF(OFFSET(OFFSET(INDEX('Paiements échelonnés'!C:C,MATCH($C$2,'Paiements échelonnés'!B:B,0)),ROW()-37,0),0,2)&lt;&gt;"",OFFSET(INDEX('Paiements échelonnés'!C:C,MATCH($C$2,'Paiements échelonnés'!B:B,0)),ROW()-37,0),"")</f>
        <v>Téléphone</v>
      </c>
      <c r="C39" s="299">
        <f ca="1">IF(OFFSET(OFFSET(INDEX('Paiements échelonnés'!D:D,MATCH($C$2,'Paiements échelonnés'!B:B,0)),ROW()-37,0),0,2)&lt;&gt;"",OFFSET(INDEX('Paiements échelonnés'!D:D,MATCH($C$2,'Paiements échelonnés'!B:B,0)),ROW()-37,0),"")</f>
        <v>0</v>
      </c>
      <c r="D39" s="350"/>
      <c r="E39" s="243">
        <f ca="1">SUMIFS('Paiements échelonnés'!E:E,'Paiements échelonnés'!C:C,B39,'Paiements échelonnés'!A:A,$C$2,'Paiements échelonnés'!F:F,"non")</f>
        <v>0</v>
      </c>
      <c r="F39" s="243">
        <f ca="1">SUMIFS('Paiements échelonnés'!E:E,'Paiements échelonnés'!C:C,B39,'Paiements échelonnés'!A:A,$C$2,'Paiements échelonnés'!F:F,"oui")</f>
        <v>0</v>
      </c>
      <c r="G39" s="243"/>
      <c r="H39" s="243"/>
      <c r="J39" s="274" t="s">
        <v>31</v>
      </c>
      <c r="K39" s="274" t="s">
        <v>86</v>
      </c>
      <c r="L39" s="274"/>
      <c r="M39" s="274"/>
      <c r="O39" s="290"/>
    </row>
    <row r="40" spans="1:15" s="285" customFormat="1" ht="12" x14ac:dyDescent="0.2">
      <c r="A40" s="333"/>
      <c r="B40" s="240">
        <f ca="1">IF(OFFSET(OFFSET(INDEX('Paiements échelonnés'!C:C,MATCH($C$2,'Paiements échelonnés'!B:B,0)),ROW()-37,0),0,2)&lt;&gt;"",OFFSET(INDEX('Paiements échelonnés'!C:C,MATCH($C$2,'Paiements échelonnés'!B:B,0)),ROW()-37,0),"")</f>
        <v>0</v>
      </c>
      <c r="C40" s="299">
        <f ca="1">IF(OFFSET(OFFSET(INDEX('Paiements échelonnés'!D:D,MATCH($C$2,'Paiements échelonnés'!B:B,0)),ROW()-37,0),0,2)&lt;&gt;"",OFFSET(INDEX('Paiements échelonnés'!D:D,MATCH($C$2,'Paiements échelonnés'!B:B,0)),ROW()-37,0),"")</f>
        <v>0</v>
      </c>
      <c r="D40" s="300"/>
      <c r="E40" s="243">
        <f ca="1">SUMIFS('Paiements échelonnés'!E:E,'Paiements échelonnés'!C:C,B40,'Paiements échelonnés'!A:A,$C$2,'Paiements échelonnés'!F:F,"non")</f>
        <v>0</v>
      </c>
      <c r="F40" s="243">
        <f ca="1">SUMIFS('Paiements échelonnés'!E:E,'Paiements échelonnés'!C:C,B40,'Paiements échelonnés'!A:A,$C$2,'Paiements échelonnés'!F:F,"oui")</f>
        <v>0</v>
      </c>
      <c r="G40" s="243"/>
      <c r="H40" s="243"/>
      <c r="J40" s="274" t="s">
        <v>31</v>
      </c>
      <c r="K40" s="274" t="s">
        <v>86</v>
      </c>
      <c r="L40" s="274"/>
      <c r="M40" s="274"/>
      <c r="O40" s="290"/>
    </row>
    <row r="41" spans="1:15" s="285" customFormat="1" ht="12" x14ac:dyDescent="0.2">
      <c r="A41" s="333"/>
      <c r="B41" s="240">
        <f ca="1">IF(OFFSET(OFFSET(INDEX('Paiements échelonnés'!C:C,MATCH($C$2,'Paiements échelonnés'!B:B,0)),ROW()-37,0),0,2)&lt;&gt;"",OFFSET(INDEX('Paiements échelonnés'!C:C,MATCH($C$2,'Paiements échelonnés'!B:B,0)),ROW()-37,0),"")</f>
        <v>0</v>
      </c>
      <c r="C41" s="299">
        <f ca="1">IF(OFFSET(OFFSET(INDEX('Paiements échelonnés'!D:D,MATCH($C$2,'Paiements échelonnés'!B:B,0)),ROW()-37,0),0,2)&lt;&gt;"",OFFSET(INDEX('Paiements échelonnés'!D:D,MATCH($C$2,'Paiements échelonnés'!B:B,0)),ROW()-37,0),"")</f>
        <v>0</v>
      </c>
      <c r="D41" s="300"/>
      <c r="E41" s="243">
        <f ca="1">SUMIFS('Paiements échelonnés'!E:E,'Paiements échelonnés'!C:C,B41,'Paiements échelonnés'!A:A,$C$2,'Paiements échelonnés'!F:F,"non")</f>
        <v>0</v>
      </c>
      <c r="F41" s="243">
        <f ca="1">SUMIFS('Paiements échelonnés'!E:E,'Paiements échelonnés'!C:C,B41,'Paiements échelonnés'!A:A,$C$2,'Paiements échelonnés'!F:F,"oui")</f>
        <v>0</v>
      </c>
      <c r="G41" s="243"/>
      <c r="H41" s="243"/>
      <c r="J41" s="274" t="s">
        <v>31</v>
      </c>
      <c r="K41" s="274" t="s">
        <v>86</v>
      </c>
      <c r="L41" s="274"/>
      <c r="M41" s="274"/>
      <c r="O41" s="290"/>
    </row>
    <row r="42" spans="1:15" s="285" customFormat="1" ht="12" x14ac:dyDescent="0.2">
      <c r="A42" s="333"/>
      <c r="B42" s="240">
        <f ca="1">IF(OFFSET(OFFSET(INDEX('Paiements échelonnés'!C:C,MATCH($C$2,'Paiements échelonnés'!B:B,0)),ROW()-37,0),0,2)&lt;&gt;"",OFFSET(INDEX('Paiements échelonnés'!C:C,MATCH($C$2,'Paiements échelonnés'!B:B,0)),ROW()-37,0),"")</f>
        <v>0</v>
      </c>
      <c r="C42" s="299">
        <f ca="1">IF(OFFSET(OFFSET(INDEX('Paiements échelonnés'!D:D,MATCH($C$2,'Paiements échelonnés'!B:B,0)),ROW()-37,0),0,2)&lt;&gt;"",OFFSET(INDEX('Paiements échelonnés'!D:D,MATCH($C$2,'Paiements échelonnés'!B:B,0)),ROW()-37,0),"")</f>
        <v>0</v>
      </c>
      <c r="D42" s="300"/>
      <c r="E42" s="243">
        <f ca="1">SUMIFS('Paiements échelonnés'!E:E,'Paiements échelonnés'!C:C,B42,'Paiements échelonnés'!A:A,$C$2,'Paiements échelonnés'!F:F,"non")</f>
        <v>0</v>
      </c>
      <c r="F42" s="243">
        <f ca="1">SUMIFS('Paiements échelonnés'!E:E,'Paiements échelonnés'!C:C,B42,'Paiements échelonnés'!A:A,$C$2,'Paiements échelonnés'!F:F,"oui")</f>
        <v>0</v>
      </c>
      <c r="G42" s="243"/>
      <c r="H42" s="243"/>
      <c r="J42" s="274" t="s">
        <v>31</v>
      </c>
      <c r="K42" s="274" t="s">
        <v>86</v>
      </c>
      <c r="L42" s="274"/>
      <c r="M42" s="274"/>
      <c r="O42" s="290"/>
    </row>
    <row r="43" spans="1:15" s="285" customFormat="1" ht="12" x14ac:dyDescent="0.2">
      <c r="A43" s="333"/>
      <c r="B43" s="240" t="str">
        <f ca="1">IF(OFFSET(OFFSET(INDEX('Paiements échelonnés'!C:C,MATCH($C$2,'Paiements échelonnés'!B:B,0)),ROW()-37,0),0,2)&lt;&gt;"",OFFSET(INDEX('Paiements échelonnés'!C:C,MATCH($C$2,'Paiements échelonnés'!B:B,0)),ROW()-37,0),"")</f>
        <v>tutu</v>
      </c>
      <c r="C43" s="299">
        <f ca="1">IF(OFFSET(OFFSET(INDEX('Paiements échelonnés'!D:D,MATCH($C$2,'Paiements échelonnés'!B:B,0)),ROW()-37,0),0,2)&lt;&gt;"",OFFSET(INDEX('Paiements échelonnés'!D:D,MATCH($C$2,'Paiements échelonnés'!B:B,0)),ROW()-37,0),"")</f>
        <v>0</v>
      </c>
      <c r="D43" s="300"/>
      <c r="E43" s="243">
        <f ca="1">SUMIFS('Paiements échelonnés'!E:E,'Paiements échelonnés'!C:C,B43,'Paiements échelonnés'!A:A,$C$2,'Paiements échelonnés'!F:F,"non")</f>
        <v>0</v>
      </c>
      <c r="F43" s="243">
        <f ca="1">SUMIFS('Paiements échelonnés'!E:E,'Paiements échelonnés'!C:C,B43,'Paiements échelonnés'!A:A,$C$2,'Paiements échelonnés'!F:F,"oui")</f>
        <v>12</v>
      </c>
      <c r="G43" s="243"/>
      <c r="H43" s="243"/>
      <c r="J43" s="274" t="s">
        <v>31</v>
      </c>
      <c r="K43" s="274" t="s">
        <v>86</v>
      </c>
      <c r="L43" s="274"/>
      <c r="M43" s="274"/>
      <c r="O43" s="290"/>
    </row>
    <row r="44" spans="1:15" s="285" customFormat="1" ht="12" x14ac:dyDescent="0.2">
      <c r="A44" s="333"/>
      <c r="B44" s="240">
        <f ca="1">IF(OFFSET(OFFSET(INDEX('Paiements échelonnés'!C:C,MATCH($C$2,'Paiements échelonnés'!B:B,0)),ROW()-37,0),0,2)&lt;&gt;"",OFFSET(INDEX('Paiements échelonnés'!C:C,MATCH($C$2,'Paiements échelonnés'!B:B,0)),ROW()-37,0),"")</f>
        <v>0</v>
      </c>
      <c r="C44" s="299">
        <f ca="1">IF(OFFSET(OFFSET(INDEX('Paiements échelonnés'!D:D,MATCH($C$2,'Paiements échelonnés'!B:B,0)),ROW()-37,0),0,2)&lt;&gt;"",OFFSET(INDEX('Paiements échelonnés'!D:D,MATCH($C$2,'Paiements échelonnés'!B:B,0)),ROW()-37,0),"")</f>
        <v>0</v>
      </c>
      <c r="D44" s="300"/>
      <c r="E44" s="243">
        <f ca="1">SUMIFS('Paiements échelonnés'!E:E,'Paiements échelonnés'!C:C,B44,'Paiements échelonnés'!A:A,$C$2,'Paiements échelonnés'!F:F,"non")</f>
        <v>0</v>
      </c>
      <c r="F44" s="243">
        <f ca="1">SUMIFS('Paiements échelonnés'!E:E,'Paiements échelonnés'!C:C,B44,'Paiements échelonnés'!A:A,$C$2,'Paiements échelonnés'!F:F,"oui")</f>
        <v>0</v>
      </c>
      <c r="G44" s="243"/>
      <c r="H44" s="243"/>
      <c r="J44" s="274" t="s">
        <v>31</v>
      </c>
      <c r="K44" s="274" t="s">
        <v>86</v>
      </c>
      <c r="L44" s="274"/>
      <c r="M44" s="274"/>
      <c r="O44" s="290"/>
    </row>
    <row r="45" spans="1:15" s="285" customFormat="1" ht="12" x14ac:dyDescent="0.2">
      <c r="A45" s="333"/>
      <c r="B45" s="240">
        <f ca="1">IF(OFFSET(OFFSET(INDEX('Paiements échelonnés'!C:C,MATCH($C$2,'Paiements échelonnés'!B:B,0)),ROW()-37,0),0,2)&lt;&gt;"",OFFSET(INDEX('Paiements échelonnés'!C:C,MATCH($C$2,'Paiements échelonnés'!B:B,0)),ROW()-37,0),"")</f>
        <v>0</v>
      </c>
      <c r="C45" s="299">
        <f ca="1">IF(OFFSET(OFFSET(INDEX('Paiements échelonnés'!D:D,MATCH($C$2,'Paiements échelonnés'!B:B,0)),ROW()-37,0),0,2)&lt;&gt;"",OFFSET(INDEX('Paiements échelonnés'!D:D,MATCH($C$2,'Paiements échelonnés'!B:B,0)),ROW()-37,0),"")</f>
        <v>0</v>
      </c>
      <c r="D45" s="300"/>
      <c r="E45" s="243">
        <f ca="1">SUMIFS('Paiements échelonnés'!E:E,'Paiements échelonnés'!C:C,B45,'Paiements échelonnés'!A:A,$C$2,'Paiements échelonnés'!F:F,"non")</f>
        <v>0</v>
      </c>
      <c r="F45" s="243">
        <f ca="1">SUMIFS('Paiements échelonnés'!E:E,'Paiements échelonnés'!C:C,B45,'Paiements échelonnés'!A:A,$C$2,'Paiements échelonnés'!F:F,"oui")</f>
        <v>0</v>
      </c>
      <c r="G45" s="243"/>
      <c r="H45" s="243"/>
      <c r="J45" s="274" t="s">
        <v>31</v>
      </c>
      <c r="K45" s="274" t="s">
        <v>86</v>
      </c>
      <c r="L45" s="274"/>
      <c r="M45" s="274"/>
      <c r="O45" s="290"/>
    </row>
    <row r="46" spans="1:15" s="285" customFormat="1" ht="12" x14ac:dyDescent="0.2">
      <c r="A46" s="333"/>
      <c r="B46" s="240">
        <f ca="1">IF(OFFSET(OFFSET(INDEX('Paiements échelonnés'!C:C,MATCH($C$2,'Paiements échelonnés'!B:B,0)),ROW()-37,0),0,2)&lt;&gt;"",OFFSET(INDEX('Paiements échelonnés'!C:C,MATCH($C$2,'Paiements échelonnés'!B:B,0)),ROW()-37,0),"")</f>
        <v>0</v>
      </c>
      <c r="C46" s="299">
        <f ca="1">IF(OFFSET(OFFSET(INDEX('Paiements échelonnés'!D:D,MATCH($C$2,'Paiements échelonnés'!B:B,0)),ROW()-37,0),0,2)&lt;&gt;"",OFFSET(INDEX('Paiements échelonnés'!D:D,MATCH($C$2,'Paiements échelonnés'!B:B,0)),ROW()-37,0),"")</f>
        <v>0</v>
      </c>
      <c r="D46" s="300"/>
      <c r="E46" s="243">
        <f ca="1">SUMIFS('Paiements échelonnés'!E:E,'Paiements échelonnés'!C:C,B46,'Paiements échelonnés'!A:A,$C$2,'Paiements échelonnés'!F:F,"non")</f>
        <v>0</v>
      </c>
      <c r="F46" s="243">
        <f ca="1">SUMIFS('Paiements échelonnés'!E:E,'Paiements échelonnés'!C:C,B46,'Paiements échelonnés'!A:A,$C$2,'Paiements échelonnés'!F:F,"oui")</f>
        <v>0</v>
      </c>
      <c r="G46" s="243"/>
      <c r="H46" s="243"/>
      <c r="J46" s="274" t="s">
        <v>31</v>
      </c>
      <c r="K46" s="274" t="s">
        <v>86</v>
      </c>
      <c r="L46" s="274"/>
      <c r="M46" s="274"/>
      <c r="O46" s="290"/>
    </row>
    <row r="47" spans="1:15" s="285" customFormat="1" ht="12" x14ac:dyDescent="0.2">
      <c r="A47" s="333"/>
      <c r="B47" s="240">
        <f ca="1">IF(OFFSET(OFFSET(INDEX('Paiements échelonnés'!C:C,MATCH($C$2,'Paiements échelonnés'!B:B,0)),ROW()-37,0),0,2)&lt;&gt;"",OFFSET(INDEX('Paiements échelonnés'!C:C,MATCH($C$2,'Paiements échelonnés'!B:B,0)),ROW()-37,0),"")</f>
        <v>0</v>
      </c>
      <c r="C47" s="299">
        <f ca="1">IF(OFFSET(OFFSET(INDEX('Paiements échelonnés'!D:D,MATCH($C$2,'Paiements échelonnés'!B:B,0)),ROW()-37,0),0,2)&lt;&gt;"",OFFSET(INDEX('Paiements échelonnés'!D:D,MATCH($C$2,'Paiements échelonnés'!B:B,0)),ROW()-37,0),"")</f>
        <v>0</v>
      </c>
      <c r="D47" s="300"/>
      <c r="E47" s="243">
        <f ca="1">SUMIFS('Paiements échelonnés'!E:E,'Paiements échelonnés'!C:C,B47,'Paiements échelonnés'!A:A,$C$2,'Paiements échelonnés'!F:F,"non")</f>
        <v>0</v>
      </c>
      <c r="F47" s="243">
        <f ca="1">SUMIFS('Paiements échelonnés'!E:E,'Paiements échelonnés'!C:C,B47,'Paiements échelonnés'!A:A,$C$2,'Paiements échelonnés'!F:F,"oui")</f>
        <v>0</v>
      </c>
      <c r="G47" s="243"/>
      <c r="H47" s="243"/>
      <c r="J47" s="274" t="s">
        <v>31</v>
      </c>
      <c r="K47" s="274" t="s">
        <v>86</v>
      </c>
      <c r="L47" s="274"/>
      <c r="M47" s="274"/>
      <c r="O47" s="290"/>
    </row>
    <row r="48" spans="1:15" s="285" customFormat="1" ht="12" x14ac:dyDescent="0.2">
      <c r="A48" s="333"/>
      <c r="B48" s="240">
        <f ca="1">IF(OFFSET(OFFSET(INDEX('Paiements échelonnés'!C:C,MATCH($C$2,'Paiements échelonnés'!B:B,0)),ROW()-37,0),0,2)&lt;&gt;"",OFFSET(INDEX('Paiements échelonnés'!C:C,MATCH($C$2,'Paiements échelonnés'!B:B,0)),ROW()-37,0),"")</f>
        <v>0</v>
      </c>
      <c r="C48" s="299">
        <f ca="1">IF(OFFSET(OFFSET(INDEX('Paiements échelonnés'!D:D,MATCH($C$2,'Paiements échelonnés'!B:B,0)),ROW()-37,0),0,2)&lt;&gt;"",OFFSET(INDEX('Paiements échelonnés'!D:D,MATCH($C$2,'Paiements échelonnés'!B:B,0)),ROW()-37,0),"")</f>
        <v>0</v>
      </c>
      <c r="D48" s="300"/>
      <c r="E48" s="243">
        <f ca="1">SUMIFS('Paiements échelonnés'!E:E,'Paiements échelonnés'!C:C,B48,'Paiements échelonnés'!A:A,$C$2,'Paiements échelonnés'!F:F,"non")</f>
        <v>0</v>
      </c>
      <c r="F48" s="243">
        <f ca="1">SUMIFS('Paiements échelonnés'!E:E,'Paiements échelonnés'!C:C,B48,'Paiements échelonnés'!A:A,$C$2,'Paiements échelonnés'!F:F,"oui")</f>
        <v>0</v>
      </c>
      <c r="G48" s="243"/>
      <c r="H48" s="243"/>
      <c r="J48" s="274" t="s">
        <v>31</v>
      </c>
      <c r="K48" s="274" t="s">
        <v>86</v>
      </c>
      <c r="L48" s="274"/>
      <c r="M48" s="274"/>
      <c r="O48" s="290"/>
    </row>
    <row r="49" spans="1:15" s="285" customFormat="1" ht="12" x14ac:dyDescent="0.2">
      <c r="A49" s="333"/>
      <c r="B49" s="240">
        <f ca="1">IF(OFFSET(OFFSET(INDEX('Paiements échelonnés'!C:C,MATCH($C$2,'Paiements échelonnés'!B:B,0)),ROW()-37,0),0,2)&lt;&gt;"",OFFSET(INDEX('Paiements échelonnés'!C:C,MATCH($C$2,'Paiements échelonnés'!B:B,0)),ROW()-37,0),"")</f>
        <v>0</v>
      </c>
      <c r="C49" s="299">
        <f ca="1">IF(OFFSET(OFFSET(INDEX('Paiements échelonnés'!D:D,MATCH($C$2,'Paiements échelonnés'!B:B,0)),ROW()-37,0),0,2)&lt;&gt;"",OFFSET(INDEX('Paiements échelonnés'!D:D,MATCH($C$2,'Paiements échelonnés'!B:B,0)),ROW()-37,0),"")</f>
        <v>0</v>
      </c>
      <c r="D49" s="300"/>
      <c r="E49" s="243">
        <f ca="1">SUMIFS('Paiements échelonnés'!E:E,'Paiements échelonnés'!C:C,B49,'Paiements échelonnés'!A:A,$C$2,'Paiements échelonnés'!F:F,"non")</f>
        <v>0</v>
      </c>
      <c r="F49" s="243">
        <f ca="1">SUMIFS('Paiements échelonnés'!E:E,'Paiements échelonnés'!C:C,B49,'Paiements échelonnés'!A:A,$C$2,'Paiements échelonnés'!F:F,"oui")</f>
        <v>0</v>
      </c>
      <c r="G49" s="243"/>
      <c r="H49" s="243"/>
      <c r="J49" s="274" t="s">
        <v>31</v>
      </c>
      <c r="K49" s="274" t="s">
        <v>86</v>
      </c>
      <c r="L49" s="274"/>
      <c r="M49" s="274"/>
      <c r="O49" s="290"/>
    </row>
    <row r="50" spans="1:15" s="285" customFormat="1" ht="12" x14ac:dyDescent="0.2">
      <c r="A50" s="333"/>
      <c r="B50" s="240">
        <f ca="1">IF(OFFSET(OFFSET(INDEX('Paiements échelonnés'!C:C,MATCH($C$2,'Paiements échelonnés'!B:B,0)),ROW()-37,0),0,2)&lt;&gt;"",OFFSET(INDEX('Paiements échelonnés'!C:C,MATCH($C$2,'Paiements échelonnés'!B:B,0)),ROW()-37,0),"")</f>
        <v>0</v>
      </c>
      <c r="C50" s="299">
        <f ca="1">IF(OFFSET(OFFSET(INDEX('Paiements échelonnés'!D:D,MATCH($C$2,'Paiements échelonnés'!B:B,0)),ROW()-37,0),0,2)&lt;&gt;"",OFFSET(INDEX('Paiements échelonnés'!D:D,MATCH($C$2,'Paiements échelonnés'!B:B,0)),ROW()-37,0),"")</f>
        <v>0</v>
      </c>
      <c r="D50" s="300"/>
      <c r="E50" s="243">
        <f ca="1">SUMIFS('Paiements échelonnés'!E:E,'Paiements échelonnés'!C:C,B50,'Paiements échelonnés'!A:A,$C$2,'Paiements échelonnés'!F:F,"non")</f>
        <v>0</v>
      </c>
      <c r="F50" s="243">
        <f ca="1">SUMIFS('Paiements échelonnés'!E:E,'Paiements échelonnés'!C:C,B50,'Paiements échelonnés'!A:A,$C$2,'Paiements échelonnés'!F:F,"oui")</f>
        <v>0</v>
      </c>
      <c r="G50" s="243"/>
      <c r="H50" s="243"/>
      <c r="J50" s="274" t="s">
        <v>31</v>
      </c>
      <c r="K50" s="274" t="s">
        <v>86</v>
      </c>
      <c r="L50" s="274"/>
      <c r="M50" s="274"/>
      <c r="O50" s="290"/>
    </row>
    <row r="51" spans="1:15" s="285" customFormat="1" ht="12" x14ac:dyDescent="0.2">
      <c r="A51" s="333"/>
      <c r="B51" s="240" t="str">
        <f ca="1">IF(OFFSET(OFFSET(INDEX('Paiements échelonnés'!H:H,MATCH($C$2,'Paiements échelonnés'!B:B,0)),ROW()-51,0),0,2)&lt;&gt;"",OFFSET(INDEX('Paiements échelonnés'!H:H,MATCH($C$2,'Paiements échelonnés'!B:B,0)),ROW()-51,0),"")</f>
        <v>Assurance ménage</v>
      </c>
      <c r="C51" s="241" t="str">
        <f ca="1">IF(OFFSET(OFFSET(INDEX('Paiements échelonnés'!I:I,MATCH($C$2,'Paiements échelonnés'!B:B,0)),ROW()-51,0),0,1)&lt;&gt;"",OFFSET(INDEX('Paiements échelonnés'!I:I,MATCH($C$2,'Paiements échelonnés'!B:B,0)),ROW()-51,0),"")</f>
        <v>Générali</v>
      </c>
      <c r="D51" s="300"/>
      <c r="E51" s="243">
        <f ca="1">SUMIFS('Paiements échelonnés'!J:J,'Paiements échelonnés'!H:H,B51,'Paiements échelonnés'!A:A,$C$2,'Paiements échelonnés'!K:K,"non")</f>
        <v>0</v>
      </c>
      <c r="F51" s="243">
        <f ca="1">SUMIFS('Paiements échelonnés'!J:J,'Paiements échelonnés'!H:H,B51,'Paiements échelonnés'!A:A,$C$2,'Paiements échelonnés'!K:K,"oui")</f>
        <v>12</v>
      </c>
      <c r="G51" s="243"/>
      <c r="H51" s="243">
        <f ca="1">-F51</f>
        <v>-12</v>
      </c>
      <c r="J51" s="274" t="s">
        <v>31</v>
      </c>
      <c r="K51" s="274" t="s">
        <v>86</v>
      </c>
      <c r="L51" s="274" t="s">
        <v>201</v>
      </c>
      <c r="M51" s="274" t="s">
        <v>261</v>
      </c>
      <c r="O51" s="290"/>
    </row>
    <row r="52" spans="1:15" s="285" customFormat="1" ht="12" x14ac:dyDescent="0.2">
      <c r="A52" s="333"/>
      <c r="B52" s="240" t="str">
        <f ca="1">IF(OFFSET(OFFSET(INDEX('Paiements échelonnés'!H:H,MATCH($C$2,'Paiements échelonnés'!B:B,0)),ROW()-51,0),0,2)&lt;&gt;"",OFFSET(INDEX('Paiements échelonnés'!H:H,MATCH($C$2,'Paiements échelonnés'!B:B,0)),ROW()-51,0),"")</f>
        <v>Electricité</v>
      </c>
      <c r="C52" s="241" t="str">
        <f ca="1">IF(OFFSET(OFFSET(INDEX('Paiements échelonnés'!I:I,MATCH($C$2,'Paiements échelonnés'!B:B,0)),ROW()-51,0),0,1)&lt;&gt;"",OFFSET(INDEX('Paiements échelonnés'!I:I,MATCH($C$2,'Paiements échelonnés'!B:B,0)),ROW()-51,0),"")</f>
        <v>Groupe E</v>
      </c>
      <c r="D52" s="300"/>
      <c r="E52" s="243">
        <f ca="1">SUMIFS('Paiements échelonnés'!J:J,'Paiements échelonnés'!H:H,B52,'Paiements échelonnés'!A:A,$C$2,'Paiements échelonnés'!K:K,"non")</f>
        <v>0</v>
      </c>
      <c r="F52" s="243">
        <f ca="1">SUMIFS('Paiements échelonnés'!J:J,'Paiements échelonnés'!H:H,B52,'Paiements échelonnés'!A:A,$C$2,'Paiements échelonnés'!K:K,"oui")</f>
        <v>0</v>
      </c>
      <c r="G52" s="243"/>
      <c r="H52" s="243">
        <f t="shared" ref="H52:H64" ca="1" si="1">-F52</f>
        <v>0</v>
      </c>
      <c r="J52" s="274" t="s">
        <v>31</v>
      </c>
      <c r="K52" s="274" t="s">
        <v>86</v>
      </c>
      <c r="L52" s="274" t="s">
        <v>201</v>
      </c>
      <c r="M52" s="274" t="s">
        <v>261</v>
      </c>
      <c r="O52" s="290"/>
    </row>
    <row r="53" spans="1:15" s="285" customFormat="1" ht="12" x14ac:dyDescent="0.2">
      <c r="A53" s="333"/>
      <c r="B53" s="240" t="str">
        <f ca="1">IF(OFFSET(OFFSET(INDEX('Paiements échelonnés'!H:H,MATCH($C$2,'Paiements échelonnés'!B:B,0)),ROW()-51,0),0,2)&lt;&gt;"",OFFSET(INDEX('Paiements échelonnés'!H:H,MATCH($C$2,'Paiements échelonnés'!B:B,0)),ROW()-51,0),"")</f>
        <v>Impôt véhicule</v>
      </c>
      <c r="C53" s="241" t="str">
        <f ca="1">IF(OFFSET(OFFSET(INDEX('Paiements échelonnés'!I:I,MATCH($C$2,'Paiements échelonnés'!B:B,0)),ROW()-51,0),0,1)&lt;&gt;"",OFFSET(INDEX('Paiements échelonnés'!I:I,MATCH($C$2,'Paiements échelonnés'!B:B,0)),ROW()-51,0),"")</f>
        <v>OCN</v>
      </c>
      <c r="D53" s="300"/>
      <c r="E53" s="243">
        <f ca="1">SUMIFS('Paiements échelonnés'!J:J,'Paiements échelonnés'!H:H,B53,'Paiements échelonnés'!A:A,$C$2,'Paiements échelonnés'!K:K,"non")</f>
        <v>0</v>
      </c>
      <c r="F53" s="243">
        <f ca="1">SUMIFS('Paiements échelonnés'!J:J,'Paiements échelonnés'!H:H,B53,'Paiements échelonnés'!A:A,$C$2,'Paiements échelonnés'!K:K,"oui")</f>
        <v>28</v>
      </c>
      <c r="G53" s="243"/>
      <c r="H53" s="243">
        <f t="shared" ca="1" si="1"/>
        <v>-28</v>
      </c>
      <c r="J53" s="274" t="s">
        <v>31</v>
      </c>
      <c r="K53" s="274" t="s">
        <v>86</v>
      </c>
      <c r="L53" s="274" t="s">
        <v>201</v>
      </c>
      <c r="M53" s="274" t="s">
        <v>261</v>
      </c>
      <c r="O53" s="290"/>
    </row>
    <row r="54" spans="1:15" s="285" customFormat="1" ht="12" x14ac:dyDescent="0.2">
      <c r="A54" s="333"/>
      <c r="B54" s="240" t="str">
        <f ca="1">IF(OFFSET(OFFSET(INDEX('Paiements échelonnés'!H:H,MATCH($C$2,'Paiements échelonnés'!B:B,0)),ROW()-51,0),0,2)&lt;&gt;"",OFFSET(INDEX('Paiements échelonnés'!H:H,MATCH($C$2,'Paiements échelonnés'!B:B,0)),ROW()-51,0),"")</f>
        <v>Assurance véhicule</v>
      </c>
      <c r="C54" s="241">
        <f ca="1">IF(OFFSET(OFFSET(INDEX('Paiements échelonnés'!I:I,MATCH($C$2,'Paiements échelonnés'!B:B,0)),ROW()-51,0),0,1)&lt;&gt;"",OFFSET(INDEX('Paiements échelonnés'!I:I,MATCH($C$2,'Paiements échelonnés'!B:B,0)),ROW()-51,0),"")</f>
        <v>0</v>
      </c>
      <c r="D54" s="300"/>
      <c r="E54" s="243">
        <f ca="1">SUMIFS('Paiements échelonnés'!J:J,'Paiements échelonnés'!H:H,B54,'Paiements échelonnés'!A:A,$C$2,'Paiements échelonnés'!K:K,"non")</f>
        <v>0</v>
      </c>
      <c r="F54" s="243">
        <f ca="1">SUMIFS('Paiements échelonnés'!J:J,'Paiements échelonnés'!H:H,B54,'Paiements échelonnés'!A:A,$C$2,'Paiements échelonnés'!K:K,"oui")</f>
        <v>0</v>
      </c>
      <c r="G54" s="243"/>
      <c r="H54" s="243">
        <f t="shared" ca="1" si="1"/>
        <v>0</v>
      </c>
      <c r="J54" s="274" t="s">
        <v>31</v>
      </c>
      <c r="K54" s="274" t="s">
        <v>86</v>
      </c>
      <c r="L54" s="274" t="s">
        <v>201</v>
      </c>
      <c r="M54" s="274" t="s">
        <v>261</v>
      </c>
      <c r="O54" s="290"/>
    </row>
    <row r="55" spans="1:15" s="285" customFormat="1" ht="12" x14ac:dyDescent="0.2">
      <c r="A55" s="333"/>
      <c r="B55" s="240" t="str">
        <f ca="1">IF(OFFSET(OFFSET(INDEX('Paiements échelonnés'!H:H,MATCH($C$2,'Paiements échelonnés'!B:B,0)),ROW()-51,0),0,2)&lt;&gt;"",OFFSET(INDEX('Paiements échelonnés'!H:H,MATCH($C$2,'Paiements échelonnés'!B:B,0)),ROW()-51,0),"")</f>
        <v>Billag</v>
      </c>
      <c r="C55" s="241">
        <f ca="1">IF(OFFSET(OFFSET(INDEX('Paiements échelonnés'!I:I,MATCH($C$2,'Paiements échelonnés'!B:B,0)),ROW()-51,0),0,1)&lt;&gt;"",OFFSET(INDEX('Paiements échelonnés'!I:I,MATCH($C$2,'Paiements échelonnés'!B:B,0)),ROW()-51,0),"")</f>
        <v>0</v>
      </c>
      <c r="D55" s="300"/>
      <c r="E55" s="243">
        <f ca="1">SUMIFS('Paiements échelonnés'!J:J,'Paiements échelonnés'!H:H,B55,'Paiements échelonnés'!A:A,$C$2,'Paiements échelonnés'!K:K,"non")</f>
        <v>0</v>
      </c>
      <c r="F55" s="243">
        <f ca="1">SUMIFS('Paiements échelonnés'!J:J,'Paiements échelonnés'!H:H,B55,'Paiements échelonnés'!A:A,$C$2,'Paiements échelonnés'!K:K,"oui")</f>
        <v>15</v>
      </c>
      <c r="G55" s="243"/>
      <c r="H55" s="243">
        <f t="shared" ca="1" si="1"/>
        <v>-15</v>
      </c>
      <c r="J55" s="274" t="s">
        <v>31</v>
      </c>
      <c r="K55" s="274" t="s">
        <v>86</v>
      </c>
      <c r="L55" s="274" t="s">
        <v>201</v>
      </c>
      <c r="M55" s="274" t="s">
        <v>261</v>
      </c>
      <c r="O55" s="290"/>
    </row>
    <row r="56" spans="1:15" s="285" customFormat="1" ht="12" x14ac:dyDescent="0.2">
      <c r="A56" s="333"/>
      <c r="B56" s="240" t="str">
        <f ca="1">IF(OFFSET(OFFSET(INDEX('Paiements échelonnés'!H:H,MATCH($C$2,'Paiements échelonnés'!B:B,0)),ROW()-51,0),0,2)&lt;&gt;"",OFFSET(INDEX('Paiements échelonnés'!H:H,MATCH($C$2,'Paiements échelonnés'!B:B,0)),ROW()-51,0),"")</f>
        <v>kk</v>
      </c>
      <c r="C56" s="241">
        <f ca="1">IF(OFFSET(OFFSET(INDEX('Paiements échelonnés'!I:I,MATCH($C$2,'Paiements échelonnés'!B:B,0)),ROW()-51,0),0,1)&lt;&gt;"",OFFSET(INDEX('Paiements échelonnés'!I:I,MATCH($C$2,'Paiements échelonnés'!B:B,0)),ROW()-51,0),"")</f>
        <v>0</v>
      </c>
      <c r="D56" s="300"/>
      <c r="E56" s="243">
        <f ca="1">SUMIFS('Paiements échelonnés'!J:J,'Paiements échelonnés'!H:H,B56,'Paiements échelonnés'!A:A,$C$2,'Paiements échelonnés'!K:K,"non")</f>
        <v>0</v>
      </c>
      <c r="F56" s="243">
        <f ca="1">SUMIFS('Paiements échelonnés'!J:J,'Paiements échelonnés'!H:H,B56,'Paiements échelonnés'!A:A,$C$2,'Paiements échelonnés'!K:K,"oui")</f>
        <v>0</v>
      </c>
      <c r="G56" s="243"/>
      <c r="H56" s="243">
        <f t="shared" ca="1" si="1"/>
        <v>0</v>
      </c>
      <c r="J56" s="274" t="s">
        <v>31</v>
      </c>
      <c r="K56" s="274" t="s">
        <v>86</v>
      </c>
      <c r="L56" s="274" t="s">
        <v>201</v>
      </c>
      <c r="M56" s="274" t="s">
        <v>261</v>
      </c>
      <c r="O56" s="290"/>
    </row>
    <row r="57" spans="1:15" s="285" customFormat="1" ht="12" x14ac:dyDescent="0.2">
      <c r="A57" s="333"/>
      <c r="B57" s="240">
        <f ca="1">IF(OFFSET(OFFSET(INDEX('Paiements échelonnés'!H:H,MATCH($C$2,'Paiements échelonnés'!B:B,0)),ROW()-51,0),0,2)&lt;&gt;"",OFFSET(INDEX('Paiements échelonnés'!H:H,MATCH($C$2,'Paiements échelonnés'!B:B,0)),ROW()-51,0),"")</f>
        <v>0</v>
      </c>
      <c r="C57" s="299">
        <f ca="1">IF(OFFSET(OFFSET(INDEX('Paiements échelonnés'!I:I,MATCH($C$2,'Paiements échelonnés'!B:B,0)),ROW()-51,0),0,1)&lt;&gt;"",OFFSET(INDEX('Paiements échelonnés'!I:I,MATCH($C$2,'Paiements échelonnés'!B:B,0)),ROW()-51,0),"")</f>
        <v>0</v>
      </c>
      <c r="D57" s="300"/>
      <c r="E57" s="243">
        <f ca="1">SUMIFS('Paiements échelonnés'!J:J,'Paiements échelonnés'!H:H,B57,'Paiements échelonnés'!A:A,$C$2,'Paiements échelonnés'!K:K,"non")</f>
        <v>0</v>
      </c>
      <c r="F57" s="243">
        <f ca="1">SUMIFS('Paiements échelonnés'!J:J,'Paiements échelonnés'!H:H,B57,'Paiements échelonnés'!A:A,$C$2,'Paiements échelonnés'!K:K,"oui")</f>
        <v>0</v>
      </c>
      <c r="G57" s="243"/>
      <c r="H57" s="243">
        <f t="shared" ca="1" si="1"/>
        <v>0</v>
      </c>
      <c r="J57" s="274" t="s">
        <v>31</v>
      </c>
      <c r="K57" s="274" t="s">
        <v>86</v>
      </c>
      <c r="L57" s="274" t="s">
        <v>201</v>
      </c>
      <c r="M57" s="274" t="s">
        <v>261</v>
      </c>
      <c r="O57" s="290"/>
    </row>
    <row r="58" spans="1:15" s="285" customFormat="1" ht="12" x14ac:dyDescent="0.2">
      <c r="A58" s="333"/>
      <c r="B58" s="240">
        <f ca="1">IF(OFFSET(OFFSET(INDEX('Paiements échelonnés'!H:H,MATCH($C$2,'Paiements échelonnés'!B:B,0)),ROW()-51,0),0,2)&lt;&gt;"",OFFSET(INDEX('Paiements échelonnés'!H:H,MATCH($C$2,'Paiements échelonnés'!B:B,0)),ROW()-51,0),"")</f>
        <v>0</v>
      </c>
      <c r="C58" s="299">
        <f ca="1">IF(OFFSET(OFFSET(INDEX('Paiements échelonnés'!I:I,MATCH($C$2,'Paiements échelonnés'!B:B,0)),ROW()-51,0),0,1)&lt;&gt;"",OFFSET(INDEX('Paiements échelonnés'!I:I,MATCH($C$2,'Paiements échelonnés'!B:B,0)),ROW()-51,0),"")</f>
        <v>0</v>
      </c>
      <c r="D58" s="300"/>
      <c r="E58" s="243">
        <f ca="1">SUMIFS('Paiements échelonnés'!J:J,'Paiements échelonnés'!H:H,B58,'Paiements échelonnés'!A:A,$C$2,'Paiements échelonnés'!K:K,"non")</f>
        <v>0</v>
      </c>
      <c r="F58" s="243">
        <f ca="1">SUMIFS('Paiements échelonnés'!J:J,'Paiements échelonnés'!H:H,B58,'Paiements échelonnés'!A:A,$C$2,'Paiements échelonnés'!K:K,"oui")</f>
        <v>0</v>
      </c>
      <c r="G58" s="243"/>
      <c r="H58" s="243">
        <f t="shared" ca="1" si="1"/>
        <v>0</v>
      </c>
      <c r="J58" s="274" t="s">
        <v>31</v>
      </c>
      <c r="K58" s="274" t="s">
        <v>86</v>
      </c>
      <c r="L58" s="274" t="s">
        <v>201</v>
      </c>
      <c r="M58" s="274" t="s">
        <v>261</v>
      </c>
      <c r="O58" s="290"/>
    </row>
    <row r="59" spans="1:15" s="285" customFormat="1" ht="12" x14ac:dyDescent="0.2">
      <c r="A59" s="333"/>
      <c r="B59" s="240">
        <f ca="1">IF(OFFSET(OFFSET(INDEX('Paiements échelonnés'!H:H,MATCH($C$2,'Paiements échelonnés'!B:B,0)),ROW()-51,0),0,2)&lt;&gt;"",OFFSET(INDEX('Paiements échelonnés'!H:H,MATCH($C$2,'Paiements échelonnés'!B:B,0)),ROW()-51,0),"")</f>
        <v>0</v>
      </c>
      <c r="C59" s="299">
        <f ca="1">IF(OFFSET(OFFSET(INDEX('Paiements échelonnés'!I:I,MATCH($C$2,'Paiements échelonnés'!B:B,0)),ROW()-51,0),0,1)&lt;&gt;"",OFFSET(INDEX('Paiements échelonnés'!I:I,MATCH($C$2,'Paiements échelonnés'!B:B,0)),ROW()-51,0),"")</f>
        <v>0</v>
      </c>
      <c r="D59" s="300"/>
      <c r="E59" s="243">
        <f ca="1">SUMIFS('Paiements échelonnés'!J:J,'Paiements échelonnés'!H:H,B59,'Paiements échelonnés'!A:A,$C$2,'Paiements échelonnés'!K:K,"non")</f>
        <v>0</v>
      </c>
      <c r="F59" s="243">
        <f ca="1">SUMIFS('Paiements échelonnés'!J:J,'Paiements échelonnés'!H:H,B59,'Paiements échelonnés'!A:A,$C$2,'Paiements échelonnés'!K:K,"oui")</f>
        <v>0</v>
      </c>
      <c r="G59" s="243"/>
      <c r="H59" s="243">
        <f t="shared" ca="1" si="1"/>
        <v>0</v>
      </c>
      <c r="J59" s="274" t="s">
        <v>31</v>
      </c>
      <c r="K59" s="274" t="s">
        <v>86</v>
      </c>
      <c r="L59" s="274" t="s">
        <v>201</v>
      </c>
      <c r="M59" s="274" t="s">
        <v>261</v>
      </c>
      <c r="O59" s="290"/>
    </row>
    <row r="60" spans="1:15" s="285" customFormat="1" ht="12" x14ac:dyDescent="0.2">
      <c r="A60" s="333"/>
      <c r="B60" s="240">
        <f ca="1">IF(OFFSET(OFFSET(INDEX('Paiements échelonnés'!H:H,MATCH($C$2,'Paiements échelonnés'!B:B,0)),ROW()-51,0),0,2)&lt;&gt;"",OFFSET(INDEX('Paiements échelonnés'!H:H,MATCH($C$2,'Paiements échelonnés'!B:B,0)),ROW()-51,0),"")</f>
        <v>0</v>
      </c>
      <c r="C60" s="299">
        <f ca="1">IF(OFFSET(OFFSET(INDEX('Paiements échelonnés'!I:I,MATCH($C$2,'Paiements échelonnés'!B:B,0)),ROW()-51,0),0,1)&lt;&gt;"",OFFSET(INDEX('Paiements échelonnés'!I:I,MATCH($C$2,'Paiements échelonnés'!B:B,0)),ROW()-51,0),"")</f>
        <v>0</v>
      </c>
      <c r="D60" s="300"/>
      <c r="E60" s="243">
        <f ca="1">SUMIFS('Paiements échelonnés'!J:J,'Paiements échelonnés'!H:H,B60,'Paiements échelonnés'!A:A,$C$2,'Paiements échelonnés'!K:K,"non")</f>
        <v>0</v>
      </c>
      <c r="F60" s="243">
        <f ca="1">SUMIFS('Paiements échelonnés'!J:J,'Paiements échelonnés'!H:H,B60,'Paiements échelonnés'!A:A,$C$2,'Paiements échelonnés'!K:K,"oui")</f>
        <v>0</v>
      </c>
      <c r="G60" s="243"/>
      <c r="H60" s="243">
        <f t="shared" ca="1" si="1"/>
        <v>0</v>
      </c>
      <c r="J60" s="274" t="s">
        <v>31</v>
      </c>
      <c r="K60" s="274" t="s">
        <v>86</v>
      </c>
      <c r="L60" s="274" t="s">
        <v>201</v>
      </c>
      <c r="M60" s="274" t="s">
        <v>261</v>
      </c>
      <c r="O60" s="290"/>
    </row>
    <row r="61" spans="1:15" s="285" customFormat="1" ht="12" x14ac:dyDescent="0.2">
      <c r="A61" s="333"/>
      <c r="B61" s="240">
        <f ca="1">IF(OFFSET(OFFSET(INDEX('Paiements échelonnés'!H:H,MATCH($C$2,'Paiements échelonnés'!B:B,0)),ROW()-51,0),0,2)&lt;&gt;"",OFFSET(INDEX('Paiements échelonnés'!H:H,MATCH($C$2,'Paiements échelonnés'!B:B,0)),ROW()-51,0),"")</f>
        <v>0</v>
      </c>
      <c r="C61" s="299">
        <f ca="1">IF(OFFSET(OFFSET(INDEX('Paiements échelonnés'!I:I,MATCH($C$2,'Paiements échelonnés'!B:B,0)),ROW()-51,0),0,1)&lt;&gt;"",OFFSET(INDEX('Paiements échelonnés'!I:I,MATCH($C$2,'Paiements échelonnés'!B:B,0)),ROW()-51,0),"")</f>
        <v>0</v>
      </c>
      <c r="D61" s="300"/>
      <c r="E61" s="243">
        <f ca="1">SUMIFS('Paiements échelonnés'!J:J,'Paiements échelonnés'!H:H,B61,'Paiements échelonnés'!A:A,$C$2,'Paiements échelonnés'!K:K,"non")</f>
        <v>0</v>
      </c>
      <c r="F61" s="243">
        <f ca="1">SUMIFS('Paiements échelonnés'!J:J,'Paiements échelonnés'!H:H,B61,'Paiements échelonnés'!A:A,$C$2,'Paiements échelonnés'!K:K,"oui")</f>
        <v>0</v>
      </c>
      <c r="G61" s="243"/>
      <c r="H61" s="243">
        <f t="shared" ca="1" si="1"/>
        <v>0</v>
      </c>
      <c r="J61" s="274" t="s">
        <v>31</v>
      </c>
      <c r="K61" s="274" t="s">
        <v>86</v>
      </c>
      <c r="L61" s="274" t="s">
        <v>201</v>
      </c>
      <c r="M61" s="274" t="s">
        <v>261</v>
      </c>
      <c r="O61" s="290"/>
    </row>
    <row r="62" spans="1:15" s="285" customFormat="1" ht="12" x14ac:dyDescent="0.2">
      <c r="A62" s="333"/>
      <c r="B62" s="240">
        <f ca="1">IF(OFFSET(OFFSET(INDEX('Paiements échelonnés'!H:H,MATCH($C$2,'Paiements échelonnés'!B:B,0)),ROW()-51,0),0,2)&lt;&gt;"",OFFSET(INDEX('Paiements échelonnés'!H:H,MATCH($C$2,'Paiements échelonnés'!B:B,0)),ROW()-51,0),"")</f>
        <v>0</v>
      </c>
      <c r="C62" s="299">
        <f ca="1">IF(OFFSET(OFFSET(INDEX('Paiements échelonnés'!I:I,MATCH($C$2,'Paiements échelonnés'!B:B,0)),ROW()-51,0),0,1)&lt;&gt;"",OFFSET(INDEX('Paiements échelonnés'!I:I,MATCH($C$2,'Paiements échelonnés'!B:B,0)),ROW()-51,0),"")</f>
        <v>0</v>
      </c>
      <c r="D62" s="300"/>
      <c r="E62" s="243">
        <f ca="1">SUMIFS('Paiements échelonnés'!J:J,'Paiements échelonnés'!H:H,B62,'Paiements échelonnés'!A:A,$C$2,'Paiements échelonnés'!K:K,"non")</f>
        <v>0</v>
      </c>
      <c r="F62" s="243">
        <f ca="1">SUMIFS('Paiements échelonnés'!J:J,'Paiements échelonnés'!H:H,B62,'Paiements échelonnés'!A:A,$C$2,'Paiements échelonnés'!K:K,"oui")</f>
        <v>0</v>
      </c>
      <c r="G62" s="243"/>
      <c r="H62" s="243">
        <f t="shared" ca="1" si="1"/>
        <v>0</v>
      </c>
      <c r="J62" s="274" t="s">
        <v>31</v>
      </c>
      <c r="K62" s="274" t="s">
        <v>86</v>
      </c>
      <c r="L62" s="274" t="s">
        <v>201</v>
      </c>
      <c r="M62" s="274" t="s">
        <v>261</v>
      </c>
      <c r="O62" s="290"/>
    </row>
    <row r="63" spans="1:15" s="285" customFormat="1" ht="12" x14ac:dyDescent="0.2">
      <c r="A63" s="333"/>
      <c r="B63" s="240">
        <f ca="1">IF(OFFSET(OFFSET(INDEX('Paiements échelonnés'!H:H,MATCH($C$2,'Paiements échelonnés'!B:B,0)),ROW()-51,0),0,2)&lt;&gt;"",OFFSET(INDEX('Paiements échelonnés'!H:H,MATCH($C$2,'Paiements échelonnés'!B:B,0)),ROW()-51,0),"")</f>
        <v>0</v>
      </c>
      <c r="C63" s="299">
        <f ca="1">IF(OFFSET(OFFSET(INDEX('Paiements échelonnés'!I:I,MATCH($C$2,'Paiements échelonnés'!B:B,0)),ROW()-51,0),0,1)&lt;&gt;"",OFFSET(INDEX('Paiements échelonnés'!I:I,MATCH($C$2,'Paiements échelonnés'!B:B,0)),ROW()-51,0),"")</f>
        <v>0</v>
      </c>
      <c r="D63" s="300"/>
      <c r="E63" s="243">
        <f ca="1">SUMIFS('Paiements échelonnés'!J:J,'Paiements échelonnés'!H:H,B63,'Paiements échelonnés'!A:A,$C$2,'Paiements échelonnés'!K:K,"non")</f>
        <v>0</v>
      </c>
      <c r="F63" s="243">
        <f ca="1">SUMIFS('Paiements échelonnés'!J:J,'Paiements échelonnés'!H:H,B63,'Paiements échelonnés'!A:A,$C$2,'Paiements échelonnés'!K:K,"oui")</f>
        <v>0</v>
      </c>
      <c r="G63" s="243"/>
      <c r="H63" s="243">
        <f t="shared" ca="1" si="1"/>
        <v>0</v>
      </c>
      <c r="J63" s="274" t="s">
        <v>31</v>
      </c>
      <c r="K63" s="274" t="s">
        <v>86</v>
      </c>
      <c r="L63" s="274" t="s">
        <v>201</v>
      </c>
      <c r="M63" s="274" t="s">
        <v>261</v>
      </c>
      <c r="O63" s="290"/>
    </row>
    <row r="64" spans="1:15" s="285" customFormat="1" ht="12" x14ac:dyDescent="0.2">
      <c r="A64" s="333"/>
      <c r="B64" s="240">
        <f ca="1">IF(OFFSET(OFFSET(INDEX('Paiements échelonnés'!H:H,MATCH($C$2,'Paiements échelonnés'!B:B,0)),ROW()-51,0),0,2)&lt;&gt;"",OFFSET(INDEX('Paiements échelonnés'!H:H,MATCH($C$2,'Paiements échelonnés'!B:B,0)),ROW()-51,0),"")</f>
        <v>0</v>
      </c>
      <c r="C64" s="299">
        <f ca="1">IF(OFFSET(OFFSET(INDEX('Paiements échelonnés'!I:I,MATCH($C$2,'Paiements échelonnés'!B:B,0)),ROW()-51,0),0,1)&lt;&gt;"",OFFSET(INDEX('Paiements échelonnés'!I:I,MATCH($C$2,'Paiements échelonnés'!B:B,0)),ROW()-51,0),"")</f>
        <v>0</v>
      </c>
      <c r="D64" s="300"/>
      <c r="E64" s="243">
        <f ca="1">SUMIFS('Paiements échelonnés'!J:J,'Paiements échelonnés'!H:H,B64,'Paiements échelonnés'!A:A,$C$2,'Paiements échelonnés'!K:K,"non")</f>
        <v>0</v>
      </c>
      <c r="F64" s="243">
        <f ca="1">SUMIFS('Paiements échelonnés'!J:J,'Paiements échelonnés'!H:H,B64,'Paiements échelonnés'!A:A,$C$2,'Paiements échelonnés'!K:K,"oui")</f>
        <v>0</v>
      </c>
      <c r="G64" s="243"/>
      <c r="H64" s="243">
        <f t="shared" ca="1" si="1"/>
        <v>0</v>
      </c>
      <c r="J64" s="274" t="s">
        <v>31</v>
      </c>
      <c r="K64" s="274" t="s">
        <v>86</v>
      </c>
      <c r="L64" s="274" t="s">
        <v>201</v>
      </c>
      <c r="M64" s="274" t="s">
        <v>261</v>
      </c>
      <c r="O64" s="290"/>
    </row>
    <row r="65" spans="1:15" s="285" customFormat="1" ht="12" x14ac:dyDescent="0.2">
      <c r="A65" s="333"/>
      <c r="B65" s="240"/>
      <c r="C65" s="301"/>
      <c r="D65" s="302"/>
      <c r="E65" s="303"/>
      <c r="F65" s="303"/>
      <c r="G65" s="303"/>
      <c r="H65" s="303"/>
      <c r="J65" s="384" t="s">
        <v>31</v>
      </c>
      <c r="K65" s="384" t="s">
        <v>86</v>
      </c>
      <c r="L65" s="384"/>
      <c r="M65" s="384">
        <v>2027</v>
      </c>
      <c r="O65" s="290"/>
    </row>
    <row r="66" spans="1:15" s="285" customFormat="1" ht="12" x14ac:dyDescent="0.2">
      <c r="A66" s="333"/>
      <c r="B66" s="240"/>
      <c r="C66" s="301"/>
      <c r="D66" s="302"/>
      <c r="E66" s="303"/>
      <c r="F66" s="303"/>
      <c r="G66" s="303"/>
      <c r="H66" s="303"/>
      <c r="J66" s="384" t="s">
        <v>31</v>
      </c>
      <c r="K66" s="384" t="s">
        <v>86</v>
      </c>
      <c r="L66" s="384"/>
      <c r="M66" s="384">
        <v>2027</v>
      </c>
      <c r="O66" s="290"/>
    </row>
    <row r="67" spans="1:15" s="285" customFormat="1" ht="12" x14ac:dyDescent="0.2">
      <c r="A67" s="333"/>
      <c r="B67" s="240"/>
      <c r="C67" s="301"/>
      <c r="D67" s="302"/>
      <c r="E67" s="303"/>
      <c r="F67" s="303"/>
      <c r="G67" s="303"/>
      <c r="H67" s="303"/>
      <c r="J67" s="384" t="s">
        <v>31</v>
      </c>
      <c r="K67" s="384" t="s">
        <v>86</v>
      </c>
      <c r="L67" s="384"/>
      <c r="M67" s="384">
        <v>2027</v>
      </c>
      <c r="O67" s="290"/>
    </row>
    <row r="68" spans="1:15" s="285" customFormat="1" ht="12" x14ac:dyDescent="0.2">
      <c r="A68" s="333"/>
      <c r="B68" s="240"/>
      <c r="C68" s="301"/>
      <c r="D68" s="302"/>
      <c r="E68" s="303"/>
      <c r="F68" s="303"/>
      <c r="G68" s="303"/>
      <c r="H68" s="303"/>
      <c r="J68" s="384" t="s">
        <v>31</v>
      </c>
      <c r="K68" s="384" t="s">
        <v>86</v>
      </c>
      <c r="L68" s="384"/>
      <c r="M68" s="384">
        <v>2027</v>
      </c>
      <c r="O68" s="290"/>
    </row>
    <row r="69" spans="1:15" s="285" customFormat="1" ht="12" x14ac:dyDescent="0.2">
      <c r="A69" s="333"/>
      <c r="B69" s="240"/>
      <c r="C69" s="301"/>
      <c r="D69" s="302"/>
      <c r="E69" s="303"/>
      <c r="F69" s="303"/>
      <c r="G69" s="303"/>
      <c r="H69" s="303"/>
      <c r="J69" s="384" t="s">
        <v>31</v>
      </c>
      <c r="K69" s="384" t="s">
        <v>86</v>
      </c>
      <c r="L69" s="384"/>
      <c r="M69" s="384">
        <v>2027</v>
      </c>
      <c r="O69" s="290"/>
    </row>
    <row r="70" spans="1:15" s="285" customFormat="1" ht="12" x14ac:dyDescent="0.2">
      <c r="A70" s="333"/>
      <c r="B70" s="304" t="s">
        <v>238</v>
      </c>
      <c r="C70" s="305"/>
      <c r="D70" s="306"/>
      <c r="E70" s="303"/>
      <c r="F70" s="303">
        <f ca="1">IF(G72-SUM(F36:F69)&lt;=0,0,G72-SUM(F36:F69))</f>
        <v>883.3</v>
      </c>
      <c r="G70" s="303"/>
      <c r="H70" s="303"/>
      <c r="J70" s="274" t="s">
        <v>31</v>
      </c>
      <c r="K70" s="274" t="s">
        <v>86</v>
      </c>
      <c r="L70" s="274"/>
      <c r="M70" s="274"/>
      <c r="O70" s="290"/>
    </row>
    <row r="71" spans="1:15" s="285" customFormat="1" ht="12" x14ac:dyDescent="0.2">
      <c r="A71" s="333"/>
      <c r="B71" s="292" t="s">
        <v>53</v>
      </c>
      <c r="C71" s="290"/>
      <c r="D71" s="291"/>
      <c r="E71" s="297"/>
      <c r="F71" s="297"/>
      <c r="G71" s="297"/>
      <c r="H71" s="297"/>
      <c r="J71" s="274" t="s">
        <v>31</v>
      </c>
      <c r="K71" s="274" t="s">
        <v>86</v>
      </c>
      <c r="L71" s="274"/>
      <c r="M71" s="274"/>
      <c r="O71" s="290"/>
    </row>
    <row r="72" spans="1:15" s="202" customFormat="1" ht="12.75" x14ac:dyDescent="0.2">
      <c r="A72" s="334"/>
      <c r="B72" s="269" t="s">
        <v>52</v>
      </c>
      <c r="C72" s="270"/>
      <c r="D72" s="271"/>
      <c r="E72" s="275">
        <f ca="1">SUM(E34:E71)</f>
        <v>81.5</v>
      </c>
      <c r="F72" s="275">
        <f ca="1">SUM(F34:F71)</f>
        <v>1045</v>
      </c>
      <c r="G72" s="275">
        <f ca="1">SUM(G34:G71)</f>
        <v>1045</v>
      </c>
      <c r="H72" s="275">
        <f ca="1">SUM(H34:H71)</f>
        <v>-55</v>
      </c>
      <c r="J72" s="224"/>
      <c r="K72" s="224"/>
      <c r="L72" s="224"/>
      <c r="M72" s="224"/>
      <c r="O72" s="296"/>
    </row>
    <row r="73" spans="1:15" s="203" customFormat="1" ht="12.75" x14ac:dyDescent="0.2">
      <c r="A73" s="334"/>
      <c r="B73" s="277" t="s">
        <v>38</v>
      </c>
      <c r="C73" s="294"/>
      <c r="D73" s="279"/>
      <c r="E73" s="280"/>
      <c r="F73" s="280"/>
      <c r="G73" s="280"/>
      <c r="H73" s="281"/>
      <c r="J73" s="224"/>
      <c r="K73" s="224"/>
      <c r="L73" s="224"/>
      <c r="M73" s="224"/>
    </row>
    <row r="74" spans="1:15" s="285" customFormat="1" ht="12" x14ac:dyDescent="0.2">
      <c r="A74" s="333"/>
      <c r="B74" s="292" t="s">
        <v>51</v>
      </c>
      <c r="C74" s="290"/>
      <c r="D74" s="291"/>
      <c r="E74" s="293"/>
      <c r="F74" s="297">
        <f>SUMIFS('Frais de logement'!F:F,'Frais de logement'!A:A,C2,'Frais de logement'!B:B,B74)</f>
        <v>2400</v>
      </c>
      <c r="G74" s="297">
        <f ca="1">SUMIFS('Frais de logement'!G:G,'Frais de logement'!A:A,C2,'Frais de logement'!B:B,B74)</f>
        <v>725</v>
      </c>
      <c r="H74" s="297"/>
      <c r="J74" s="274" t="s">
        <v>39</v>
      </c>
      <c r="K74" s="274" t="s">
        <v>82</v>
      </c>
      <c r="L74" s="274">
        <v>4010</v>
      </c>
      <c r="M74" s="274">
        <v>2027</v>
      </c>
    </row>
    <row r="75" spans="1:15" s="285" customFormat="1" ht="12" x14ac:dyDescent="0.2">
      <c r="A75" s="333"/>
      <c r="B75" s="292" t="s">
        <v>43</v>
      </c>
      <c r="C75" s="290"/>
      <c r="D75" s="291"/>
      <c r="E75" s="293">
        <f>SUMIFS('Frais de logement'!E:E,'Frais de logement'!A:A,C2,'Frais de logement'!B:B,B75)</f>
        <v>0</v>
      </c>
      <c r="F75" s="297">
        <f>SUMIFS('Frais de logement'!F:F,'Frais de logement'!A:A,C2,'Frais de logement'!B:B,B75)</f>
        <v>270</v>
      </c>
      <c r="G75" s="297">
        <f>SUMIFS('Frais de logement'!G:G,'Frais de logement'!A:A,C2,'Frais de logement'!B:B,B75)</f>
        <v>270</v>
      </c>
      <c r="H75" s="297">
        <f>IF(F75+E75&lt;G75,0,F75-G75)</f>
        <v>0</v>
      </c>
      <c r="J75" s="274" t="s">
        <v>39</v>
      </c>
      <c r="K75" s="274" t="s">
        <v>83</v>
      </c>
      <c r="L75" s="274">
        <v>4010</v>
      </c>
      <c r="M75" s="274">
        <v>2027</v>
      </c>
      <c r="N75" s="285">
        <f>IF(C2='Caisse maladie'!A:A,"SI(D49=''Caisse maladie'!:C)",0)</f>
        <v>0</v>
      </c>
    </row>
    <row r="76" spans="1:15" s="202" customFormat="1" ht="12.75" x14ac:dyDescent="0.2">
      <c r="A76" s="335"/>
      <c r="B76" s="269" t="s">
        <v>44</v>
      </c>
      <c r="C76" s="270"/>
      <c r="D76" s="271"/>
      <c r="E76" s="275">
        <f>SUM(E74:E75)</f>
        <v>0</v>
      </c>
      <c r="F76" s="275">
        <f>SUM(F74:F75)</f>
        <v>2670</v>
      </c>
      <c r="G76" s="275">
        <f ca="1">SUM(G74:G75)</f>
        <v>995</v>
      </c>
      <c r="H76" s="276">
        <f>SUM(H74:H75)</f>
        <v>0</v>
      </c>
      <c r="J76" s="224"/>
      <c r="K76" s="224"/>
      <c r="L76" s="224"/>
      <c r="M76" s="224"/>
    </row>
    <row r="77" spans="1:15" s="203" customFormat="1" ht="65.25" x14ac:dyDescent="0.2">
      <c r="A77" s="336" t="s">
        <v>34</v>
      </c>
      <c r="B77" s="277" t="s">
        <v>34</v>
      </c>
      <c r="C77" s="278" t="s">
        <v>55</v>
      </c>
      <c r="D77" s="294"/>
      <c r="E77" s="295"/>
      <c r="F77" s="295"/>
      <c r="G77" s="295"/>
      <c r="H77" s="281"/>
      <c r="J77" s="224"/>
      <c r="K77" s="224"/>
      <c r="L77" s="224"/>
      <c r="M77" s="224"/>
    </row>
    <row r="78" spans="1:15" s="285" customFormat="1" ht="12" x14ac:dyDescent="0.2">
      <c r="A78" s="337"/>
      <c r="B78" s="240" t="str">
        <f t="array" ref="B78">INDEX('Caisse maladie'!$C$2:$C$49,MATCH(1,('Caisse maladie'!$A$2:$A$49=C2)*('Caisse maladie'!$B$2:$B$49="LAMAL"),0))</f>
        <v>CSS</v>
      </c>
      <c r="C78" s="290"/>
      <c r="D78" s="291" t="s">
        <v>45</v>
      </c>
      <c r="E78" s="283">
        <f>SUMIFS('Caisse maladie'!D:D,'Caisse maladie'!A:A,C2,'Caisse maladie'!B:B,D78,'Caisse maladie'!E:E,"non")</f>
        <v>0</v>
      </c>
      <c r="F78" s="283">
        <f>SUMIFS('Caisse maladie'!D:D,'Caisse maladie'!A:A,C2,'Caisse maladie'!B:B,D78,'Caisse maladie'!E:E,"oui")</f>
        <v>352.8</v>
      </c>
      <c r="G78" s="283">
        <f>F78+E78</f>
        <v>352.8</v>
      </c>
      <c r="H78" s="243">
        <f>G78-F78-E78</f>
        <v>0</v>
      </c>
      <c r="J78" s="274" t="s">
        <v>35</v>
      </c>
      <c r="K78" s="286" t="s">
        <v>41</v>
      </c>
      <c r="L78" s="286">
        <v>4024</v>
      </c>
      <c r="M78" s="274">
        <v>2027</v>
      </c>
    </row>
    <row r="79" spans="1:15" s="285" customFormat="1" ht="12" x14ac:dyDescent="0.2">
      <c r="A79" s="337"/>
      <c r="B79" s="292" t="s">
        <v>89</v>
      </c>
      <c r="C79" s="290"/>
      <c r="D79" s="291" t="s">
        <v>45</v>
      </c>
      <c r="E79" s="283">
        <f>-SUMIFS('Caisse maladie'!F:F,'Caisse maladie'!A:A,C2,'Caisse maladie'!B:B,D79,'Caisse maladie'!E:E,"non")</f>
        <v>0</v>
      </c>
      <c r="F79" s="283">
        <f>-SUMIFS('Caisse maladie'!F:F,'Caisse maladie'!A:A,C2,'Caisse maladie'!B:B,D79,'Caisse maladie'!E:E,"oui")</f>
        <v>-12.8</v>
      </c>
      <c r="G79" s="283">
        <f t="shared" ref="G79:G87" si="2">F79+E79</f>
        <v>-12.8</v>
      </c>
      <c r="H79" s="243">
        <f t="shared" ref="H79:H87" si="3">G79-F79-E79</f>
        <v>0</v>
      </c>
      <c r="J79" s="274" t="s">
        <v>35</v>
      </c>
      <c r="K79" s="286" t="s">
        <v>41</v>
      </c>
      <c r="L79" s="286">
        <v>4024</v>
      </c>
      <c r="M79" s="274">
        <v>2027</v>
      </c>
    </row>
    <row r="80" spans="1:15" s="285" customFormat="1" ht="12" x14ac:dyDescent="0.2">
      <c r="A80" s="337"/>
      <c r="B80" s="240" t="str">
        <f>B78</f>
        <v>CSS</v>
      </c>
      <c r="C80" s="290"/>
      <c r="D80" s="291" t="s">
        <v>47</v>
      </c>
      <c r="E80" s="293"/>
      <c r="F80" s="293"/>
      <c r="G80" s="283">
        <f t="shared" si="2"/>
        <v>0</v>
      </c>
      <c r="H80" s="243">
        <f t="shared" si="3"/>
        <v>0</v>
      </c>
      <c r="J80" s="274" t="s">
        <v>35</v>
      </c>
      <c r="K80" s="286" t="s">
        <v>273</v>
      </c>
      <c r="L80" s="286">
        <v>4023</v>
      </c>
      <c r="M80" s="274">
        <v>2027</v>
      </c>
    </row>
    <row r="81" spans="1:20" s="285" customFormat="1" ht="12" x14ac:dyDescent="0.2">
      <c r="A81" s="337"/>
      <c r="B81" s="240" t="str">
        <f>B78</f>
        <v>CSS</v>
      </c>
      <c r="C81" s="290"/>
      <c r="D81" s="291" t="s">
        <v>47</v>
      </c>
      <c r="E81" s="293"/>
      <c r="F81" s="293"/>
      <c r="G81" s="283">
        <f t="shared" si="2"/>
        <v>0</v>
      </c>
      <c r="H81" s="243">
        <f t="shared" si="3"/>
        <v>0</v>
      </c>
      <c r="J81" s="274" t="s">
        <v>35</v>
      </c>
      <c r="K81" s="286" t="s">
        <v>273</v>
      </c>
      <c r="L81" s="286">
        <v>4023</v>
      </c>
      <c r="M81" s="274">
        <v>2027</v>
      </c>
    </row>
    <row r="82" spans="1:20" s="285" customFormat="1" ht="12" x14ac:dyDescent="0.2">
      <c r="A82" s="337"/>
      <c r="B82" s="240" t="str">
        <f>B78</f>
        <v>CSS</v>
      </c>
      <c r="C82" s="290"/>
      <c r="D82" s="291" t="s">
        <v>47</v>
      </c>
      <c r="E82" s="293"/>
      <c r="F82" s="293">
        <v>26.8</v>
      </c>
      <c r="G82" s="283">
        <f t="shared" si="2"/>
        <v>26.8</v>
      </c>
      <c r="H82" s="243">
        <f t="shared" si="3"/>
        <v>0</v>
      </c>
      <c r="J82" s="274" t="s">
        <v>35</v>
      </c>
      <c r="K82" s="286" t="s">
        <v>273</v>
      </c>
      <c r="L82" s="286">
        <v>4023</v>
      </c>
      <c r="M82" s="274">
        <v>2027</v>
      </c>
    </row>
    <row r="83" spans="1:20" s="285" customFormat="1" ht="12" x14ac:dyDescent="0.2">
      <c r="A83" s="337"/>
      <c r="B83" s="240" t="str">
        <f>B78</f>
        <v>CSS</v>
      </c>
      <c r="C83" s="290"/>
      <c r="D83" s="291" t="s">
        <v>47</v>
      </c>
      <c r="E83" s="293"/>
      <c r="F83" s="293"/>
      <c r="G83" s="283">
        <f t="shared" si="2"/>
        <v>0</v>
      </c>
      <c r="H83" s="243">
        <f t="shared" si="3"/>
        <v>0</v>
      </c>
      <c r="J83" s="274" t="s">
        <v>35</v>
      </c>
      <c r="K83" s="286" t="s">
        <v>273</v>
      </c>
      <c r="L83" s="286">
        <v>4023</v>
      </c>
      <c r="M83" s="274">
        <v>2027</v>
      </c>
    </row>
    <row r="84" spans="1:20" s="285" customFormat="1" ht="12" x14ac:dyDescent="0.2">
      <c r="A84" s="337"/>
      <c r="B84" s="240" t="str">
        <f>B78</f>
        <v>CSS</v>
      </c>
      <c r="C84" s="290"/>
      <c r="D84" s="291" t="s">
        <v>47</v>
      </c>
      <c r="E84" s="293"/>
      <c r="F84" s="293"/>
      <c r="G84" s="283">
        <f t="shared" si="2"/>
        <v>0</v>
      </c>
      <c r="H84" s="243">
        <f t="shared" si="3"/>
        <v>0</v>
      </c>
      <c r="J84" s="274" t="s">
        <v>35</v>
      </c>
      <c r="K84" s="286" t="s">
        <v>273</v>
      </c>
      <c r="L84" s="286">
        <v>4023</v>
      </c>
      <c r="M84" s="274">
        <v>2027</v>
      </c>
    </row>
    <row r="85" spans="1:20" s="285" customFormat="1" ht="12" x14ac:dyDescent="0.2">
      <c r="A85" s="337"/>
      <c r="B85" s="240" t="s">
        <v>212</v>
      </c>
      <c r="C85" s="290"/>
      <c r="D85" s="291" t="s">
        <v>211</v>
      </c>
      <c r="E85" s="293"/>
      <c r="F85" s="293"/>
      <c r="G85" s="283">
        <f t="shared" si="2"/>
        <v>0</v>
      </c>
      <c r="H85" s="243">
        <f t="shared" si="3"/>
        <v>0</v>
      </c>
      <c r="J85" s="274" t="s">
        <v>35</v>
      </c>
      <c r="K85" s="286" t="s">
        <v>273</v>
      </c>
      <c r="L85" s="286">
        <v>4023</v>
      </c>
      <c r="M85" s="274">
        <v>2027</v>
      </c>
    </row>
    <row r="86" spans="1:20" s="285" customFormat="1" ht="12" x14ac:dyDescent="0.2">
      <c r="A86" s="337"/>
      <c r="B86" s="240"/>
      <c r="C86" s="290"/>
      <c r="D86" s="291" t="s">
        <v>175</v>
      </c>
      <c r="E86" s="293"/>
      <c r="F86" s="293"/>
      <c r="G86" s="283">
        <f t="shared" si="2"/>
        <v>0</v>
      </c>
      <c r="H86" s="243">
        <f t="shared" si="3"/>
        <v>0</v>
      </c>
      <c r="J86" s="274" t="s">
        <v>35</v>
      </c>
      <c r="K86" s="286" t="s">
        <v>273</v>
      </c>
      <c r="L86" s="286">
        <v>4023</v>
      </c>
      <c r="M86" s="274">
        <v>2027</v>
      </c>
    </row>
    <row r="87" spans="1:20" s="285" customFormat="1" ht="12" x14ac:dyDescent="0.2">
      <c r="A87" s="337"/>
      <c r="B87" s="240"/>
      <c r="C87" s="290"/>
      <c r="D87" s="282" t="s">
        <v>181</v>
      </c>
      <c r="E87" s="293"/>
      <c r="F87" s="293"/>
      <c r="G87" s="283">
        <f t="shared" si="2"/>
        <v>0</v>
      </c>
      <c r="H87" s="243">
        <f t="shared" si="3"/>
        <v>0</v>
      </c>
      <c r="J87" s="274" t="s">
        <v>35</v>
      </c>
      <c r="K87" s="286" t="s">
        <v>273</v>
      </c>
      <c r="L87" s="286">
        <v>4023</v>
      </c>
      <c r="M87" s="274">
        <v>2027</v>
      </c>
    </row>
    <row r="88" spans="1:20" s="202" customFormat="1" ht="12.75" x14ac:dyDescent="0.2">
      <c r="A88" s="338"/>
      <c r="B88" s="269" t="s">
        <v>48</v>
      </c>
      <c r="C88" s="270"/>
      <c r="D88" s="271"/>
      <c r="E88" s="275">
        <f>SUM(E78:E87)</f>
        <v>0</v>
      </c>
      <c r="F88" s="275">
        <f>SUM(F78:F87)</f>
        <v>366.8</v>
      </c>
      <c r="G88" s="275">
        <f>SUM(G78:G87)</f>
        <v>366.8</v>
      </c>
      <c r="H88" s="276">
        <f>SUM(H78:H87)</f>
        <v>0</v>
      </c>
      <c r="J88" s="224"/>
      <c r="K88" s="224"/>
      <c r="L88" s="224"/>
      <c r="M88" s="224"/>
    </row>
    <row r="89" spans="1:20" s="203" customFormat="1" ht="33" x14ac:dyDescent="0.2">
      <c r="A89" s="339" t="s">
        <v>85</v>
      </c>
      <c r="B89" s="277" t="s">
        <v>36</v>
      </c>
      <c r="C89" s="278"/>
      <c r="D89" s="279"/>
      <c r="E89" s="280"/>
      <c r="F89" s="280"/>
      <c r="G89" s="280"/>
      <c r="H89" s="281"/>
      <c r="J89" s="224"/>
      <c r="K89" s="225"/>
      <c r="L89" s="225"/>
      <c r="M89" s="225"/>
    </row>
    <row r="90" spans="1:20" s="285" customFormat="1" ht="12" x14ac:dyDescent="0.2">
      <c r="A90" s="340"/>
      <c r="B90" s="240" t="s">
        <v>213</v>
      </c>
      <c r="C90" s="241"/>
      <c r="D90" s="282"/>
      <c r="E90" s="283"/>
      <c r="F90" s="283"/>
      <c r="G90" s="284">
        <f>SUMIFS('Frais de transport'!G:G,'Frais de transport'!A:A,C2)</f>
        <v>12.6</v>
      </c>
      <c r="H90" s="243"/>
      <c r="J90" s="274" t="s">
        <v>37</v>
      </c>
      <c r="K90" s="286" t="s">
        <v>274</v>
      </c>
      <c r="L90" s="286">
        <v>4010</v>
      </c>
      <c r="M90" s="286">
        <v>2027</v>
      </c>
      <c r="O90" s="287" t="s">
        <v>241</v>
      </c>
      <c r="P90" s="288"/>
      <c r="Q90" s="288"/>
      <c r="R90" s="288"/>
      <c r="S90" s="288"/>
      <c r="T90" s="288"/>
    </row>
    <row r="91" spans="1:20" s="285" customFormat="1" ht="12" x14ac:dyDescent="0.2">
      <c r="A91" s="340"/>
      <c r="B91" s="240" t="s">
        <v>214</v>
      </c>
      <c r="C91" s="241"/>
      <c r="D91" s="282">
        <v>12</v>
      </c>
      <c r="E91" s="283"/>
      <c r="F91" s="283"/>
      <c r="G91" s="283">
        <f>IF(D91*10&gt;200,200,D91*10)</f>
        <v>120</v>
      </c>
      <c r="H91" s="243"/>
      <c r="J91" s="274" t="s">
        <v>37</v>
      </c>
      <c r="K91" s="286" t="s">
        <v>274</v>
      </c>
      <c r="L91" s="286">
        <v>4010</v>
      </c>
      <c r="M91" s="286">
        <v>2027</v>
      </c>
    </row>
    <row r="92" spans="1:20" s="285" customFormat="1" ht="12" x14ac:dyDescent="0.2">
      <c r="A92" s="340"/>
      <c r="B92" s="240"/>
      <c r="C92" s="241"/>
      <c r="D92" s="282"/>
      <c r="E92" s="283"/>
      <c r="F92" s="283"/>
      <c r="G92" s="283">
        <f>E92+F92</f>
        <v>0</v>
      </c>
      <c r="H92" s="243"/>
      <c r="J92" s="384" t="s">
        <v>37</v>
      </c>
      <c r="K92" s="385" t="s">
        <v>274</v>
      </c>
      <c r="L92" s="385">
        <v>4010</v>
      </c>
      <c r="M92" s="385">
        <v>2027</v>
      </c>
    </row>
    <row r="93" spans="1:20" s="285" customFormat="1" ht="12" x14ac:dyDescent="0.2">
      <c r="A93" s="340"/>
      <c r="B93" s="240"/>
      <c r="C93" s="241"/>
      <c r="D93" s="282"/>
      <c r="E93" s="283"/>
      <c r="F93" s="283"/>
      <c r="G93" s="283">
        <f>E93+F93</f>
        <v>0</v>
      </c>
      <c r="H93" s="243"/>
      <c r="J93" s="384" t="s">
        <v>37</v>
      </c>
      <c r="K93" s="385" t="s">
        <v>274</v>
      </c>
      <c r="L93" s="385">
        <v>4010</v>
      </c>
      <c r="M93" s="385">
        <v>2027</v>
      </c>
    </row>
    <row r="94" spans="1:20" s="285" customFormat="1" ht="12" x14ac:dyDescent="0.2">
      <c r="A94" s="340"/>
      <c r="B94" s="240"/>
      <c r="C94" s="289"/>
      <c r="D94" s="282"/>
      <c r="E94" s="283"/>
      <c r="F94" s="283"/>
      <c r="G94" s="283">
        <f>E94+F94</f>
        <v>0</v>
      </c>
      <c r="H94" s="243"/>
      <c r="J94" s="384"/>
      <c r="K94" s="385"/>
      <c r="L94" s="385">
        <v>4010</v>
      </c>
      <c r="M94" s="385">
        <v>2027</v>
      </c>
    </row>
    <row r="95" spans="1:20" s="285" customFormat="1" ht="12" x14ac:dyDescent="0.2">
      <c r="A95" s="340"/>
      <c r="B95" s="240"/>
      <c r="C95" s="241"/>
      <c r="D95" s="282"/>
      <c r="E95" s="283"/>
      <c r="F95" s="283"/>
      <c r="G95" s="283">
        <f>E95+F95</f>
        <v>0</v>
      </c>
      <c r="H95" s="243"/>
      <c r="J95" s="384"/>
      <c r="K95" s="385"/>
      <c r="L95" s="385">
        <v>4010</v>
      </c>
      <c r="M95" s="385">
        <v>2027</v>
      </c>
    </row>
    <row r="96" spans="1:20" s="202" customFormat="1" ht="12.75" x14ac:dyDescent="0.2">
      <c r="A96" s="341"/>
      <c r="B96" s="269" t="s">
        <v>141</v>
      </c>
      <c r="C96" s="270"/>
      <c r="D96" s="271"/>
      <c r="E96" s="275">
        <f>SUM(E90:E95)</f>
        <v>0</v>
      </c>
      <c r="F96" s="275">
        <f>SUM(F90:F95)</f>
        <v>0</v>
      </c>
      <c r="G96" s="275">
        <f>SUM(G90:G95)</f>
        <v>132.6</v>
      </c>
      <c r="H96" s="275">
        <f>SUM(H90:H95)</f>
        <v>0</v>
      </c>
      <c r="J96" s="224" t="s">
        <v>37</v>
      </c>
      <c r="K96" s="224" t="s">
        <v>274</v>
      </c>
      <c r="L96" s="224"/>
      <c r="M96" s="224"/>
    </row>
    <row r="97" spans="1:19" s="1" customFormat="1" x14ac:dyDescent="0.25">
      <c r="A97" s="231"/>
      <c r="B97" s="343"/>
      <c r="C97" s="344"/>
      <c r="D97" s="344"/>
      <c r="E97" s="345"/>
      <c r="F97" s="346"/>
      <c r="G97" s="346"/>
      <c r="H97" s="347"/>
      <c r="I97" s="17"/>
    </row>
    <row r="98" spans="1:19" s="203" customFormat="1" ht="12.75" x14ac:dyDescent="0.2">
      <c r="A98" s="257"/>
      <c r="B98" s="258" t="s">
        <v>22</v>
      </c>
      <c r="C98" s="259"/>
      <c r="D98" s="260"/>
      <c r="E98" s="261">
        <f>E28</f>
        <v>0</v>
      </c>
      <c r="F98" s="261">
        <f>F28</f>
        <v>0</v>
      </c>
      <c r="G98" s="261">
        <f>G28</f>
        <v>0</v>
      </c>
      <c r="H98" s="261">
        <f>H28</f>
        <v>0</v>
      </c>
      <c r="I98" s="226"/>
    </row>
    <row r="99" spans="1:19" s="203" customFormat="1" ht="12.75" x14ac:dyDescent="0.2">
      <c r="A99" s="262"/>
      <c r="B99" s="263" t="s">
        <v>239</v>
      </c>
      <c r="C99" s="264"/>
      <c r="D99" s="265"/>
      <c r="E99" s="266">
        <f ca="1">E33+E72+E76+E88+E96</f>
        <v>81.5</v>
      </c>
      <c r="F99" s="266">
        <f ca="1">F33+F72+F76+F88+F96</f>
        <v>4081.8</v>
      </c>
      <c r="G99" s="266">
        <f ca="1">G33+G72+G76+G88+G96</f>
        <v>2539.4</v>
      </c>
      <c r="H99" s="266">
        <f ca="1">H33+H72+H76+H88+H96</f>
        <v>-55</v>
      </c>
      <c r="N99" s="204"/>
      <c r="O99" s="204"/>
    </row>
    <row r="100" spans="1:19" s="203" customFormat="1" ht="12.75" x14ac:dyDescent="0.2">
      <c r="A100" s="267"/>
      <c r="B100" s="263"/>
      <c r="C100" s="264"/>
      <c r="D100" s="265"/>
      <c r="E100" s="266"/>
      <c r="F100" s="266"/>
      <c r="G100" s="266"/>
      <c r="H100" s="268"/>
      <c r="J100" s="202"/>
      <c r="K100" s="202"/>
      <c r="L100" s="202"/>
      <c r="M100" s="202"/>
    </row>
    <row r="101" spans="1:19" s="203" customFormat="1" ht="13.5" thickBot="1" x14ac:dyDescent="0.25">
      <c r="A101" s="262"/>
      <c r="B101" s="269" t="s">
        <v>277</v>
      </c>
      <c r="C101" s="270"/>
      <c r="D101" s="271"/>
      <c r="E101" s="272">
        <f ca="1">E98-E99</f>
        <v>-81.5</v>
      </c>
      <c r="F101" s="272">
        <f ca="1">F98-F99</f>
        <v>-4081.8</v>
      </c>
      <c r="G101" s="272">
        <f ca="1">G98-G99</f>
        <v>-2539.4</v>
      </c>
      <c r="H101" s="273">
        <f ca="1">H98-H99</f>
        <v>55</v>
      </c>
      <c r="N101" s="204"/>
      <c r="O101" s="204"/>
    </row>
    <row r="102" spans="1:19" s="38" customFormat="1" ht="15.75" thickTop="1" x14ac:dyDescent="0.25">
      <c r="A102" s="232"/>
      <c r="B102" s="197"/>
      <c r="C102" s="97"/>
      <c r="D102" s="97"/>
      <c r="E102" s="84"/>
      <c r="F102" s="84"/>
      <c r="G102" s="84"/>
      <c r="H102" s="98"/>
      <c r="J102" s="127"/>
      <c r="K102" s="127"/>
      <c r="L102" s="127"/>
      <c r="M102" s="127"/>
      <c r="N102" s="78"/>
    </row>
    <row r="103" spans="1:19" s="244" customFormat="1" ht="12" x14ac:dyDescent="0.2">
      <c r="A103" s="246"/>
      <c r="B103" s="240" t="s">
        <v>256</v>
      </c>
      <c r="C103" s="241"/>
      <c r="D103" s="241"/>
      <c r="E103" s="242"/>
      <c r="F103" s="242"/>
      <c r="G103" s="242">
        <f ca="1">G101-F101</f>
        <v>1542.4</v>
      </c>
      <c r="H103" s="243"/>
      <c r="J103" s="247"/>
      <c r="K103" s="247"/>
      <c r="L103" s="247"/>
      <c r="M103" s="247"/>
      <c r="N103" s="245"/>
    </row>
    <row r="104" spans="1:19" s="244" customFormat="1" ht="12" x14ac:dyDescent="0.2">
      <c r="A104" s="246"/>
      <c r="B104" s="240" t="s">
        <v>183</v>
      </c>
      <c r="C104" s="241"/>
      <c r="D104" s="241"/>
      <c r="E104" s="242"/>
      <c r="F104" s="242"/>
      <c r="G104" s="242"/>
      <c r="H104" s="243"/>
      <c r="J104" s="247"/>
      <c r="K104" s="247"/>
      <c r="L104" s="247"/>
      <c r="M104" s="247"/>
    </row>
    <row r="105" spans="1:19" s="244" customFormat="1" ht="12" x14ac:dyDescent="0.2">
      <c r="A105" s="246"/>
      <c r="B105" s="240" t="s">
        <v>184</v>
      </c>
      <c r="C105" s="241"/>
      <c r="D105" s="241"/>
      <c r="E105" s="242"/>
      <c r="F105" s="242"/>
      <c r="G105" s="242">
        <v>28</v>
      </c>
      <c r="H105" s="243"/>
      <c r="J105" s="248" t="s">
        <v>240</v>
      </c>
      <c r="K105" s="248"/>
      <c r="L105" s="248"/>
      <c r="M105" s="248"/>
      <c r="N105" s="248"/>
      <c r="O105" s="248"/>
      <c r="P105" s="248"/>
      <c r="Q105" s="247"/>
      <c r="R105" s="247"/>
      <c r="S105" s="247"/>
    </row>
    <row r="106" spans="1:19" s="244" customFormat="1" ht="12" x14ac:dyDescent="0.2">
      <c r="A106" s="246"/>
      <c r="B106" s="240" t="s">
        <v>242</v>
      </c>
      <c r="C106" s="241"/>
      <c r="D106" s="241"/>
      <c r="E106" s="242"/>
      <c r="F106" s="249"/>
      <c r="G106" s="242">
        <v>15</v>
      </c>
      <c r="H106" s="243"/>
      <c r="J106" s="248" t="s">
        <v>303</v>
      </c>
      <c r="K106" s="248"/>
      <c r="L106" s="248"/>
      <c r="M106" s="248"/>
      <c r="N106" s="248"/>
      <c r="O106" s="248"/>
      <c r="P106" s="248"/>
      <c r="Q106" s="247"/>
      <c r="R106" s="247"/>
      <c r="S106" s="247"/>
    </row>
    <row r="107" spans="1:19" s="244" customFormat="1" ht="12" x14ac:dyDescent="0.2">
      <c r="A107" s="246"/>
      <c r="B107" s="240" t="s">
        <v>246</v>
      </c>
      <c r="C107" s="241"/>
      <c r="D107" s="241"/>
      <c r="E107" s="242"/>
      <c r="F107" s="242"/>
      <c r="G107" s="242">
        <f ca="1">G108+G105-G106</f>
        <v>-1529.4</v>
      </c>
      <c r="H107" s="243">
        <f ca="1">G107</f>
        <v>-1529.4</v>
      </c>
      <c r="J107" s="247"/>
      <c r="K107" s="247"/>
      <c r="L107" s="247"/>
      <c r="M107" s="247"/>
    </row>
    <row r="108" spans="1:19" s="221" customFormat="1" ht="13.5" thickBot="1" x14ac:dyDescent="0.25">
      <c r="A108" s="250"/>
      <c r="B108" s="251" t="s">
        <v>228</v>
      </c>
      <c r="C108" s="252"/>
      <c r="D108" s="252"/>
      <c r="E108" s="253"/>
      <c r="F108" s="253"/>
      <c r="G108" s="254">
        <f ca="1">-G103</f>
        <v>-1542.4</v>
      </c>
      <c r="H108" s="255">
        <f ca="1">SUM(H101:H107)</f>
        <v>-1474.4</v>
      </c>
    </row>
    <row r="109" spans="1:19" s="151" customFormat="1" ht="13.5" thickTop="1" x14ac:dyDescent="0.2">
      <c r="A109" s="250"/>
      <c r="B109" s="198"/>
      <c r="C109" s="131"/>
      <c r="D109" s="131"/>
      <c r="E109" s="149"/>
      <c r="F109" s="149"/>
      <c r="G109" s="149"/>
      <c r="H109" s="227"/>
      <c r="J109" s="221"/>
      <c r="K109" s="221"/>
      <c r="L109" s="221"/>
      <c r="M109" s="221"/>
    </row>
    <row r="110" spans="1:19" s="151" customFormat="1" ht="12.75" x14ac:dyDescent="0.2">
      <c r="A110" s="250"/>
      <c r="B110" s="251" t="s">
        <v>185</v>
      </c>
      <c r="C110" s="131"/>
      <c r="D110" s="131"/>
      <c r="E110" s="149"/>
      <c r="F110" s="149"/>
      <c r="G110" s="149"/>
      <c r="H110" s="150"/>
      <c r="J110" s="221"/>
      <c r="K110" s="221"/>
      <c r="L110" s="221"/>
      <c r="M110" s="221"/>
      <c r="N110" s="187"/>
    </row>
    <row r="111" spans="1:19" s="244" customFormat="1" ht="12" x14ac:dyDescent="0.2">
      <c r="A111" s="239"/>
      <c r="B111" s="240" t="s">
        <v>8</v>
      </c>
      <c r="C111" s="241"/>
      <c r="D111" s="241"/>
      <c r="E111" s="242"/>
      <c r="F111" s="242" t="s">
        <v>174</v>
      </c>
      <c r="G111" s="242"/>
      <c r="H111" s="243">
        <f>'Les normes-données de base'!B6</f>
        <v>-402.85</v>
      </c>
    </row>
    <row r="112" spans="1:19" s="244" customFormat="1" ht="12" x14ac:dyDescent="0.2">
      <c r="A112" s="239"/>
      <c r="B112" s="240" t="s">
        <v>8</v>
      </c>
      <c r="C112" s="241"/>
      <c r="D112" s="241"/>
      <c r="E112" s="242"/>
      <c r="F112" s="242" t="str">
        <f>C2</f>
        <v>mars</v>
      </c>
      <c r="G112" s="242"/>
      <c r="H112" s="243">
        <f ca="1">H111+G101</f>
        <v>-2942.25</v>
      </c>
      <c r="N112" s="245"/>
      <c r="O112" s="245"/>
    </row>
    <row r="113" spans="1:14" s="244" customFormat="1" ht="12" x14ac:dyDescent="0.2">
      <c r="A113" s="239"/>
      <c r="B113" s="240"/>
      <c r="C113" s="241"/>
      <c r="D113" s="241"/>
      <c r="E113" s="242"/>
      <c r="F113" s="242"/>
      <c r="G113" s="242"/>
      <c r="H113" s="243"/>
    </row>
    <row r="114" spans="1:14" s="244" customFormat="1" ht="12" x14ac:dyDescent="0.2">
      <c r="A114" s="239"/>
      <c r="B114" s="240" t="s">
        <v>9</v>
      </c>
      <c r="C114" s="241"/>
      <c r="D114" s="241"/>
      <c r="E114" s="242"/>
      <c r="F114" s="242" t="s">
        <v>174</v>
      </c>
      <c r="G114" s="242"/>
      <c r="H114" s="243">
        <f>'Les normes-données de base'!B7</f>
        <v>-11213.4</v>
      </c>
      <c r="N114" s="245"/>
    </row>
    <row r="115" spans="1:14" s="244" customFormat="1" ht="12" x14ac:dyDescent="0.2">
      <c r="A115" s="239"/>
      <c r="B115" s="240" t="s">
        <v>9</v>
      </c>
      <c r="C115" s="241"/>
      <c r="D115" s="241"/>
      <c r="E115" s="242"/>
      <c r="F115" s="242" t="str">
        <f>C2</f>
        <v>mars</v>
      </c>
      <c r="G115" s="242"/>
      <c r="H115" s="243">
        <f ca="1">H114+H108</f>
        <v>-12687.8</v>
      </c>
    </row>
    <row r="116" spans="1:14" s="38" customFormat="1" x14ac:dyDescent="0.25">
      <c r="A116" s="233"/>
      <c r="B116" s="197"/>
      <c r="C116" s="97"/>
      <c r="D116" s="97"/>
      <c r="E116" s="84"/>
      <c r="F116" s="84"/>
      <c r="G116" s="84"/>
      <c r="H116" s="98">
        <f>SUM(F116:G116)</f>
        <v>0</v>
      </c>
    </row>
    <row r="117" spans="1:14" s="221" customFormat="1" ht="13.5" thickBot="1" x14ac:dyDescent="0.25">
      <c r="A117" s="250"/>
      <c r="B117" s="251" t="s">
        <v>186</v>
      </c>
      <c r="C117" s="253" t="str">
        <f>F115</f>
        <v>mars</v>
      </c>
      <c r="D117" s="131" t="s">
        <v>187</v>
      </c>
      <c r="E117" s="253"/>
      <c r="F117" s="253"/>
      <c r="G117" s="253"/>
      <c r="H117" s="255">
        <f ca="1">H112+H115</f>
        <v>-15630.05</v>
      </c>
      <c r="N117" s="256"/>
    </row>
    <row r="118" spans="1:14" s="38" customFormat="1" ht="15.75" thickTop="1" x14ac:dyDescent="0.25">
      <c r="A118" s="234"/>
      <c r="B118" s="199"/>
      <c r="C118" s="128"/>
      <c r="D118" s="128"/>
      <c r="E118" s="129"/>
      <c r="F118" s="129"/>
      <c r="G118" s="129"/>
      <c r="H118" s="130"/>
      <c r="I118" s="123"/>
      <c r="J118" s="97"/>
    </row>
    <row r="119" spans="1:14" ht="21" x14ac:dyDescent="0.25">
      <c r="A119" s="229"/>
      <c r="B119" s="351" t="str">
        <f>D3</f>
        <v>Nicole Villet</v>
      </c>
      <c r="C119" s="352"/>
      <c r="D119" s="351">
        <f>H3</f>
        <v>977</v>
      </c>
      <c r="E119" s="370" t="s">
        <v>27</v>
      </c>
      <c r="F119" s="371"/>
      <c r="G119" s="371"/>
      <c r="H119" s="371"/>
      <c r="I119" s="8"/>
    </row>
    <row r="120" spans="1:14" ht="21" x14ac:dyDescent="0.25">
      <c r="A120" s="235"/>
      <c r="B120" s="358" t="str">
        <f>C2</f>
        <v>mars</v>
      </c>
      <c r="C120" s="369"/>
      <c r="D120" s="369"/>
      <c r="E120" s="358">
        <f>E2</f>
        <v>2015</v>
      </c>
      <c r="F120" s="369"/>
      <c r="G120" s="369"/>
      <c r="H120" s="369"/>
      <c r="J120" s="1"/>
      <c r="K120" s="1"/>
      <c r="L120" s="1"/>
      <c r="M120" s="1"/>
    </row>
    <row r="121" spans="1:14" s="1" customFormat="1" x14ac:dyDescent="0.25">
      <c r="A121" s="235"/>
      <c r="B121" s="313" t="s">
        <v>64</v>
      </c>
      <c r="C121" s="314" t="s">
        <v>65</v>
      </c>
      <c r="D121" s="314" t="s">
        <v>28</v>
      </c>
      <c r="E121" s="314" t="s">
        <v>66</v>
      </c>
      <c r="F121" s="314" t="s">
        <v>49</v>
      </c>
      <c r="G121" s="314" t="s">
        <v>49</v>
      </c>
      <c r="H121" s="314" t="s">
        <v>223</v>
      </c>
    </row>
    <row r="122" spans="1:14" s="1" customFormat="1" x14ac:dyDescent="0.25">
      <c r="A122" s="235"/>
      <c r="B122" s="315">
        <f ca="1">TODAY()</f>
        <v>41987</v>
      </c>
      <c r="C122" s="316" t="str">
        <f>B13</f>
        <v>Revenu de M.</v>
      </c>
      <c r="D122" s="317" t="str">
        <f>J13</f>
        <v>A</v>
      </c>
      <c r="E122" s="317" t="str">
        <f>K13</f>
        <v>SAL</v>
      </c>
      <c r="F122" s="317">
        <f>L13</f>
        <v>2027</v>
      </c>
      <c r="G122" s="317"/>
      <c r="H122" s="318">
        <f>F13</f>
        <v>0</v>
      </c>
      <c r="I122" s="202"/>
      <c r="N122" s="188"/>
    </row>
    <row r="123" spans="1:14" s="1" customFormat="1" x14ac:dyDescent="0.25">
      <c r="A123" s="235"/>
      <c r="B123" s="315">
        <f t="shared" ref="B123:B134" ca="1" si="4">TODAY()</f>
        <v>41987</v>
      </c>
      <c r="C123" s="316" t="str">
        <f t="shared" ref="C123:C134" si="5">B14</f>
        <v>Revenu de Mme</v>
      </c>
      <c r="D123" s="317" t="str">
        <f t="shared" ref="D123:F134" si="6">J14</f>
        <v>A</v>
      </c>
      <c r="E123" s="317" t="str">
        <f t="shared" si="6"/>
        <v>SAL</v>
      </c>
      <c r="F123" s="317">
        <f t="shared" si="6"/>
        <v>2027</v>
      </c>
      <c r="G123" s="317"/>
      <c r="H123" s="318">
        <f t="shared" ref="H123:H134" si="7">-F14</f>
        <v>0</v>
      </c>
      <c r="I123" s="202"/>
    </row>
    <row r="124" spans="1:14" s="1" customFormat="1" x14ac:dyDescent="0.25">
      <c r="A124" s="235"/>
      <c r="B124" s="315">
        <f t="shared" ca="1" si="4"/>
        <v>41987</v>
      </c>
      <c r="C124" s="316" t="str">
        <f t="shared" si="5"/>
        <v>Renevu autre membre de la famille</v>
      </c>
      <c r="D124" s="317" t="str">
        <f t="shared" si="6"/>
        <v>A</v>
      </c>
      <c r="E124" s="317" t="str">
        <f t="shared" si="6"/>
        <v>SAL</v>
      </c>
      <c r="F124" s="317">
        <f t="shared" si="6"/>
        <v>2027</v>
      </c>
      <c r="G124" s="317"/>
      <c r="H124" s="318">
        <f t="shared" si="7"/>
        <v>0</v>
      </c>
      <c r="I124" s="202"/>
    </row>
    <row r="125" spans="1:14" s="1" customFormat="1" x14ac:dyDescent="0.25">
      <c r="A125" s="235"/>
      <c r="B125" s="315">
        <f t="shared" ca="1" si="4"/>
        <v>41987</v>
      </c>
      <c r="C125" s="316" t="str">
        <f t="shared" si="5"/>
        <v>Rente AI</v>
      </c>
      <c r="D125" s="317" t="str">
        <f t="shared" si="6"/>
        <v>A</v>
      </c>
      <c r="E125" s="317" t="str">
        <f t="shared" si="6"/>
        <v>AI</v>
      </c>
      <c r="F125" s="317">
        <f t="shared" si="6"/>
        <v>2027</v>
      </c>
      <c r="G125" s="317"/>
      <c r="H125" s="318">
        <f t="shared" si="7"/>
        <v>0</v>
      </c>
      <c r="I125" s="202"/>
    </row>
    <row r="126" spans="1:14" s="1" customFormat="1" x14ac:dyDescent="0.25">
      <c r="A126" s="235"/>
      <c r="B126" s="315">
        <f t="shared" ca="1" si="4"/>
        <v>41987</v>
      </c>
      <c r="C126" s="316" t="str">
        <f t="shared" si="5"/>
        <v>Prestations complémentaires</v>
      </c>
      <c r="D126" s="317" t="str">
        <f t="shared" si="6"/>
        <v>A</v>
      </c>
      <c r="E126" s="317" t="str">
        <f t="shared" si="6"/>
        <v>PC</v>
      </c>
      <c r="F126" s="317">
        <f t="shared" si="6"/>
        <v>2027</v>
      </c>
      <c r="G126" s="317"/>
      <c r="H126" s="318">
        <f t="shared" si="7"/>
        <v>0</v>
      </c>
      <c r="I126" s="202"/>
    </row>
    <row r="127" spans="1:14" s="1" customFormat="1" x14ac:dyDescent="0.25">
      <c r="A127" s="235"/>
      <c r="B127" s="315">
        <f t="shared" ca="1" si="4"/>
        <v>41987</v>
      </c>
      <c r="C127" s="316" t="str">
        <f t="shared" si="5"/>
        <v>Rente AVS</v>
      </c>
      <c r="D127" s="317" t="str">
        <f t="shared" si="6"/>
        <v>A</v>
      </c>
      <c r="E127" s="317" t="str">
        <f t="shared" si="6"/>
        <v>AVS</v>
      </c>
      <c r="F127" s="317">
        <f t="shared" si="6"/>
        <v>2027</v>
      </c>
      <c r="G127" s="317"/>
      <c r="H127" s="318">
        <f t="shared" si="7"/>
        <v>0</v>
      </c>
      <c r="I127" s="202"/>
    </row>
    <row r="128" spans="1:14" s="1" customFormat="1" x14ac:dyDescent="0.25">
      <c r="A128" s="235"/>
      <c r="B128" s="315">
        <f t="shared" ca="1" si="4"/>
        <v>41987</v>
      </c>
      <c r="C128" s="316" t="str">
        <f t="shared" si="5"/>
        <v>Indemnité chômage</v>
      </c>
      <c r="D128" s="317" t="str">
        <f t="shared" si="6"/>
        <v>A</v>
      </c>
      <c r="E128" s="317" t="str">
        <f t="shared" si="6"/>
        <v>IC</v>
      </c>
      <c r="F128" s="317">
        <f t="shared" si="6"/>
        <v>2027</v>
      </c>
      <c r="G128" s="317"/>
      <c r="H128" s="318">
        <f t="shared" si="7"/>
        <v>0</v>
      </c>
      <c r="I128" s="202"/>
    </row>
    <row r="129" spans="1:9" s="1" customFormat="1" x14ac:dyDescent="0.25">
      <c r="A129" s="235"/>
      <c r="B129" s="315">
        <f t="shared" ca="1" si="4"/>
        <v>41987</v>
      </c>
      <c r="C129" s="316" t="str">
        <f t="shared" si="5"/>
        <v>Indemnité journalière mal/acc</v>
      </c>
      <c r="D129" s="317" t="str">
        <f t="shared" si="6"/>
        <v>A</v>
      </c>
      <c r="E129" s="317" t="str">
        <f t="shared" si="6"/>
        <v>IJ</v>
      </c>
      <c r="F129" s="317">
        <f t="shared" si="6"/>
        <v>2027</v>
      </c>
      <c r="G129" s="317"/>
      <c r="H129" s="318">
        <f t="shared" si="7"/>
        <v>0</v>
      </c>
      <c r="I129" s="202"/>
    </row>
    <row r="130" spans="1:9" s="1" customFormat="1" x14ac:dyDescent="0.25">
      <c r="A130" s="235"/>
      <c r="B130" s="315">
        <f t="shared" ca="1" si="4"/>
        <v>41987</v>
      </c>
      <c r="C130" s="316" t="str">
        <f t="shared" si="5"/>
        <v>Allocations familiales</v>
      </c>
      <c r="D130" s="317" t="str">
        <f t="shared" si="6"/>
        <v>A</v>
      </c>
      <c r="E130" s="317" t="str">
        <f t="shared" si="6"/>
        <v>AF</v>
      </c>
      <c r="F130" s="317">
        <f t="shared" si="6"/>
        <v>2027</v>
      </c>
      <c r="G130" s="317"/>
      <c r="H130" s="318">
        <f t="shared" si="7"/>
        <v>0</v>
      </c>
      <c r="I130" s="202"/>
    </row>
    <row r="131" spans="1:9" s="1" customFormat="1" x14ac:dyDescent="0.25">
      <c r="A131" s="235"/>
      <c r="B131" s="315">
        <f t="shared" ca="1" si="4"/>
        <v>41987</v>
      </c>
      <c r="C131" s="316" t="str">
        <f t="shared" si="5"/>
        <v>Treizième salaire de M.</v>
      </c>
      <c r="D131" s="317" t="str">
        <f t="shared" si="6"/>
        <v>A</v>
      </c>
      <c r="E131" s="317" t="str">
        <f t="shared" si="6"/>
        <v>SAL</v>
      </c>
      <c r="F131" s="317">
        <f t="shared" si="6"/>
        <v>2027</v>
      </c>
      <c r="G131" s="317"/>
      <c r="H131" s="318">
        <f t="shared" si="7"/>
        <v>0</v>
      </c>
      <c r="I131" s="202"/>
    </row>
    <row r="132" spans="1:9" s="1" customFormat="1" x14ac:dyDescent="0.25">
      <c r="A132" s="235"/>
      <c r="B132" s="315">
        <f t="shared" ca="1" si="4"/>
        <v>41987</v>
      </c>
      <c r="C132" s="316" t="str">
        <f t="shared" si="5"/>
        <v>Treizième salaire de Mme</v>
      </c>
      <c r="D132" s="317" t="str">
        <f t="shared" si="6"/>
        <v>A</v>
      </c>
      <c r="E132" s="317" t="str">
        <f t="shared" si="6"/>
        <v>SAL</v>
      </c>
      <c r="F132" s="317">
        <f t="shared" si="6"/>
        <v>2027</v>
      </c>
      <c r="G132" s="317"/>
      <c r="H132" s="318">
        <f t="shared" si="7"/>
        <v>0</v>
      </c>
      <c r="I132" s="202"/>
    </row>
    <row r="133" spans="1:9" s="1" customFormat="1" x14ac:dyDescent="0.25">
      <c r="A133" s="235"/>
      <c r="B133" s="315">
        <f t="shared" ca="1" si="4"/>
        <v>41987</v>
      </c>
      <c r="C133" s="316" t="str">
        <f t="shared" si="5"/>
        <v>Bourse (étude ou autres)</v>
      </c>
      <c r="D133" s="317" t="str">
        <f t="shared" si="6"/>
        <v>A</v>
      </c>
      <c r="E133" s="317" t="str">
        <f t="shared" si="6"/>
        <v>BOU</v>
      </c>
      <c r="F133" s="317">
        <f t="shared" si="6"/>
        <v>2027</v>
      </c>
      <c r="G133" s="317"/>
      <c r="H133" s="318">
        <f t="shared" si="7"/>
        <v>0</v>
      </c>
      <c r="I133" s="202"/>
    </row>
    <row r="134" spans="1:9" s="1" customFormat="1" x14ac:dyDescent="0.25">
      <c r="A134" s="235"/>
      <c r="B134" s="315">
        <f t="shared" ca="1" si="4"/>
        <v>41987</v>
      </c>
      <c r="C134" s="316" t="str">
        <f t="shared" si="5"/>
        <v>Autres</v>
      </c>
      <c r="D134" s="317" t="str">
        <f t="shared" si="6"/>
        <v>A</v>
      </c>
      <c r="E134" s="317" t="str">
        <f t="shared" si="6"/>
        <v>DIV</v>
      </c>
      <c r="F134" s="317">
        <f t="shared" si="6"/>
        <v>2027</v>
      </c>
      <c r="G134" s="317"/>
      <c r="H134" s="318">
        <f t="shared" si="7"/>
        <v>0</v>
      </c>
      <c r="I134" s="202"/>
    </row>
    <row r="135" spans="1:9" s="1" customFormat="1" x14ac:dyDescent="0.25">
      <c r="A135" s="235"/>
      <c r="B135" s="315">
        <f ca="1">TODAY()</f>
        <v>41987</v>
      </c>
      <c r="C135" s="319" t="str">
        <f ca="1">B51</f>
        <v>Assurance ménage</v>
      </c>
      <c r="D135" s="317" t="str">
        <f>J51</f>
        <v>E</v>
      </c>
      <c r="E135" s="317" t="str">
        <f>K51</f>
        <v>ENT</v>
      </c>
      <c r="F135" s="317" t="str">
        <f>L51</f>
        <v>SCC</v>
      </c>
      <c r="G135" s="317" t="str">
        <f>M51</f>
        <v>SG</v>
      </c>
      <c r="H135" s="320">
        <f t="shared" ref="H135:H148" ca="1" si="8">-H51</f>
        <v>12</v>
      </c>
      <c r="I135" s="202" t="s">
        <v>258</v>
      </c>
    </row>
    <row r="136" spans="1:9" s="1" customFormat="1" x14ac:dyDescent="0.25">
      <c r="A136" s="235"/>
      <c r="B136" s="315">
        <f t="shared" ref="B136:B160" ca="1" si="9">TODAY()</f>
        <v>41987</v>
      </c>
      <c r="C136" s="319" t="str">
        <f t="shared" ref="C136:C148" ca="1" si="10">B52</f>
        <v>Electricité</v>
      </c>
      <c r="D136" s="317" t="str">
        <f t="shared" ref="D136:G148" si="11">J52</f>
        <v>E</v>
      </c>
      <c r="E136" s="317" t="str">
        <f t="shared" si="11"/>
        <v>ENT</v>
      </c>
      <c r="F136" s="317" t="str">
        <f t="shared" si="11"/>
        <v>SCC</v>
      </c>
      <c r="G136" s="317" t="str">
        <f t="shared" si="11"/>
        <v>SG</v>
      </c>
      <c r="H136" s="320">
        <f t="shared" ca="1" si="8"/>
        <v>0</v>
      </c>
      <c r="I136" s="202" t="s">
        <v>258</v>
      </c>
    </row>
    <row r="137" spans="1:9" s="1" customFormat="1" x14ac:dyDescent="0.25">
      <c r="A137" s="235"/>
      <c r="B137" s="315">
        <f t="shared" ca="1" si="9"/>
        <v>41987</v>
      </c>
      <c r="C137" s="319" t="str">
        <f t="shared" ca="1" si="10"/>
        <v>Impôt véhicule</v>
      </c>
      <c r="D137" s="317" t="str">
        <f t="shared" si="11"/>
        <v>E</v>
      </c>
      <c r="E137" s="317" t="str">
        <f t="shared" si="11"/>
        <v>ENT</v>
      </c>
      <c r="F137" s="317" t="str">
        <f t="shared" si="11"/>
        <v>SCC</v>
      </c>
      <c r="G137" s="317" t="str">
        <f t="shared" si="11"/>
        <v>SG</v>
      </c>
      <c r="H137" s="320">
        <f t="shared" ca="1" si="8"/>
        <v>28</v>
      </c>
      <c r="I137" s="202" t="s">
        <v>258</v>
      </c>
    </row>
    <row r="138" spans="1:9" s="1" customFormat="1" x14ac:dyDescent="0.25">
      <c r="A138" s="235"/>
      <c r="B138" s="315">
        <f t="shared" ca="1" si="9"/>
        <v>41987</v>
      </c>
      <c r="C138" s="319" t="str">
        <f t="shared" ca="1" si="10"/>
        <v>Assurance véhicule</v>
      </c>
      <c r="D138" s="317" t="str">
        <f t="shared" si="11"/>
        <v>E</v>
      </c>
      <c r="E138" s="317" t="str">
        <f t="shared" si="11"/>
        <v>ENT</v>
      </c>
      <c r="F138" s="317" t="str">
        <f t="shared" si="11"/>
        <v>SCC</v>
      </c>
      <c r="G138" s="317" t="str">
        <f t="shared" si="11"/>
        <v>SG</v>
      </c>
      <c r="H138" s="320">
        <f t="shared" ca="1" si="8"/>
        <v>0</v>
      </c>
      <c r="I138" s="202" t="s">
        <v>258</v>
      </c>
    </row>
    <row r="139" spans="1:9" s="1" customFormat="1" x14ac:dyDescent="0.25">
      <c r="A139" s="235"/>
      <c r="B139" s="315">
        <f t="shared" ca="1" si="9"/>
        <v>41987</v>
      </c>
      <c r="C139" s="319" t="str">
        <f t="shared" ca="1" si="10"/>
        <v>Billag</v>
      </c>
      <c r="D139" s="317" t="str">
        <f t="shared" si="11"/>
        <v>E</v>
      </c>
      <c r="E139" s="317" t="str">
        <f t="shared" si="11"/>
        <v>ENT</v>
      </c>
      <c r="F139" s="317" t="str">
        <f t="shared" si="11"/>
        <v>SCC</v>
      </c>
      <c r="G139" s="317" t="str">
        <f t="shared" si="11"/>
        <v>SG</v>
      </c>
      <c r="H139" s="320">
        <f t="shared" ca="1" si="8"/>
        <v>15</v>
      </c>
      <c r="I139" s="202" t="s">
        <v>258</v>
      </c>
    </row>
    <row r="140" spans="1:9" s="1" customFormat="1" x14ac:dyDescent="0.25">
      <c r="A140" s="235"/>
      <c r="B140" s="315">
        <f t="shared" ca="1" si="9"/>
        <v>41987</v>
      </c>
      <c r="C140" s="319" t="str">
        <f t="shared" ca="1" si="10"/>
        <v>kk</v>
      </c>
      <c r="D140" s="317" t="str">
        <f t="shared" si="11"/>
        <v>E</v>
      </c>
      <c r="E140" s="317" t="str">
        <f t="shared" si="11"/>
        <v>ENT</v>
      </c>
      <c r="F140" s="317" t="str">
        <f t="shared" si="11"/>
        <v>SCC</v>
      </c>
      <c r="G140" s="317" t="str">
        <f t="shared" si="11"/>
        <v>SG</v>
      </c>
      <c r="H140" s="320">
        <f t="shared" ca="1" si="8"/>
        <v>0</v>
      </c>
      <c r="I140" s="202" t="s">
        <v>258</v>
      </c>
    </row>
    <row r="141" spans="1:9" s="1" customFormat="1" x14ac:dyDescent="0.25">
      <c r="A141" s="235"/>
      <c r="B141" s="315">
        <f t="shared" ca="1" si="9"/>
        <v>41987</v>
      </c>
      <c r="C141" s="319">
        <f t="shared" ca="1" si="10"/>
        <v>0</v>
      </c>
      <c r="D141" s="317" t="str">
        <f t="shared" si="11"/>
        <v>E</v>
      </c>
      <c r="E141" s="317" t="str">
        <f t="shared" si="11"/>
        <v>ENT</v>
      </c>
      <c r="F141" s="317" t="str">
        <f t="shared" si="11"/>
        <v>SCC</v>
      </c>
      <c r="G141" s="317" t="str">
        <f t="shared" si="11"/>
        <v>SG</v>
      </c>
      <c r="H141" s="320">
        <f t="shared" ca="1" si="8"/>
        <v>0</v>
      </c>
      <c r="I141" s="202" t="s">
        <v>258</v>
      </c>
    </row>
    <row r="142" spans="1:9" s="1" customFormat="1" x14ac:dyDescent="0.25">
      <c r="A142" s="235"/>
      <c r="B142" s="315">
        <f t="shared" ca="1" si="9"/>
        <v>41987</v>
      </c>
      <c r="C142" s="319">
        <f t="shared" ca="1" si="10"/>
        <v>0</v>
      </c>
      <c r="D142" s="317" t="str">
        <f t="shared" si="11"/>
        <v>E</v>
      </c>
      <c r="E142" s="317" t="str">
        <f t="shared" si="11"/>
        <v>ENT</v>
      </c>
      <c r="F142" s="317" t="str">
        <f t="shared" si="11"/>
        <v>SCC</v>
      </c>
      <c r="G142" s="317" t="str">
        <f t="shared" si="11"/>
        <v>SG</v>
      </c>
      <c r="H142" s="320">
        <f t="shared" ca="1" si="8"/>
        <v>0</v>
      </c>
      <c r="I142" s="202" t="s">
        <v>258</v>
      </c>
    </row>
    <row r="143" spans="1:9" s="1" customFormat="1" x14ac:dyDescent="0.25">
      <c r="A143" s="235"/>
      <c r="B143" s="315">
        <f t="shared" ca="1" si="9"/>
        <v>41987</v>
      </c>
      <c r="C143" s="319">
        <f t="shared" ca="1" si="10"/>
        <v>0</v>
      </c>
      <c r="D143" s="317" t="str">
        <f t="shared" si="11"/>
        <v>E</v>
      </c>
      <c r="E143" s="317" t="str">
        <f t="shared" si="11"/>
        <v>ENT</v>
      </c>
      <c r="F143" s="317" t="str">
        <f t="shared" si="11"/>
        <v>SCC</v>
      </c>
      <c r="G143" s="317" t="str">
        <f t="shared" si="11"/>
        <v>SG</v>
      </c>
      <c r="H143" s="320">
        <f t="shared" ca="1" si="8"/>
        <v>0</v>
      </c>
      <c r="I143" s="202" t="s">
        <v>258</v>
      </c>
    </row>
    <row r="144" spans="1:9" s="1" customFormat="1" x14ac:dyDescent="0.25">
      <c r="A144" s="235"/>
      <c r="B144" s="315">
        <f t="shared" ca="1" si="9"/>
        <v>41987</v>
      </c>
      <c r="C144" s="319">
        <f t="shared" ca="1" si="10"/>
        <v>0</v>
      </c>
      <c r="D144" s="317" t="str">
        <f t="shared" si="11"/>
        <v>E</v>
      </c>
      <c r="E144" s="317" t="str">
        <f t="shared" si="11"/>
        <v>ENT</v>
      </c>
      <c r="F144" s="317" t="str">
        <f t="shared" si="11"/>
        <v>SCC</v>
      </c>
      <c r="G144" s="317" t="str">
        <f t="shared" si="11"/>
        <v>SG</v>
      </c>
      <c r="H144" s="320">
        <f t="shared" ca="1" si="8"/>
        <v>0</v>
      </c>
      <c r="I144" s="202" t="s">
        <v>258</v>
      </c>
    </row>
    <row r="145" spans="1:13" s="1" customFormat="1" x14ac:dyDescent="0.25">
      <c r="A145" s="235"/>
      <c r="B145" s="315">
        <f t="shared" ca="1" si="9"/>
        <v>41987</v>
      </c>
      <c r="C145" s="319">
        <f t="shared" ca="1" si="10"/>
        <v>0</v>
      </c>
      <c r="D145" s="317" t="str">
        <f t="shared" si="11"/>
        <v>E</v>
      </c>
      <c r="E145" s="317" t="str">
        <f t="shared" si="11"/>
        <v>ENT</v>
      </c>
      <c r="F145" s="317" t="str">
        <f t="shared" si="11"/>
        <v>SCC</v>
      </c>
      <c r="G145" s="317" t="str">
        <f t="shared" si="11"/>
        <v>SG</v>
      </c>
      <c r="H145" s="320">
        <f t="shared" ca="1" si="8"/>
        <v>0</v>
      </c>
      <c r="I145" s="202" t="s">
        <v>258</v>
      </c>
    </row>
    <row r="146" spans="1:13" s="1" customFormat="1" x14ac:dyDescent="0.25">
      <c r="A146" s="235"/>
      <c r="B146" s="315">
        <f t="shared" ca="1" si="9"/>
        <v>41987</v>
      </c>
      <c r="C146" s="319">
        <f t="shared" ca="1" si="10"/>
        <v>0</v>
      </c>
      <c r="D146" s="317" t="str">
        <f t="shared" si="11"/>
        <v>E</v>
      </c>
      <c r="E146" s="317" t="str">
        <f t="shared" si="11"/>
        <v>ENT</v>
      </c>
      <c r="F146" s="317" t="str">
        <f t="shared" si="11"/>
        <v>SCC</v>
      </c>
      <c r="G146" s="317" t="str">
        <f t="shared" si="11"/>
        <v>SG</v>
      </c>
      <c r="H146" s="320">
        <f t="shared" ca="1" si="8"/>
        <v>0</v>
      </c>
      <c r="I146" s="202" t="s">
        <v>258</v>
      </c>
    </row>
    <row r="147" spans="1:13" s="1" customFormat="1" x14ac:dyDescent="0.25">
      <c r="A147" s="235"/>
      <c r="B147" s="315">
        <f t="shared" ca="1" si="9"/>
        <v>41987</v>
      </c>
      <c r="C147" s="319">
        <f t="shared" ca="1" si="10"/>
        <v>0</v>
      </c>
      <c r="D147" s="317" t="str">
        <f t="shared" si="11"/>
        <v>E</v>
      </c>
      <c r="E147" s="317" t="str">
        <f t="shared" si="11"/>
        <v>ENT</v>
      </c>
      <c r="F147" s="317" t="str">
        <f t="shared" si="11"/>
        <v>SCC</v>
      </c>
      <c r="G147" s="317" t="str">
        <f t="shared" si="11"/>
        <v>SG</v>
      </c>
      <c r="H147" s="320">
        <f t="shared" ca="1" si="8"/>
        <v>0</v>
      </c>
      <c r="I147" s="202" t="s">
        <v>258</v>
      </c>
    </row>
    <row r="148" spans="1:13" s="1" customFormat="1" x14ac:dyDescent="0.25">
      <c r="A148" s="235"/>
      <c r="B148" s="321">
        <f t="shared" ca="1" si="9"/>
        <v>41987</v>
      </c>
      <c r="C148" s="316">
        <f t="shared" ca="1" si="10"/>
        <v>0</v>
      </c>
      <c r="D148" s="317" t="str">
        <f t="shared" si="11"/>
        <v>E</v>
      </c>
      <c r="E148" s="317" t="str">
        <f t="shared" si="11"/>
        <v>ENT</v>
      </c>
      <c r="F148" s="317" t="str">
        <f t="shared" si="11"/>
        <v>SCC</v>
      </c>
      <c r="G148" s="317" t="str">
        <f t="shared" si="11"/>
        <v>SG</v>
      </c>
      <c r="H148" s="320">
        <f t="shared" ca="1" si="8"/>
        <v>0</v>
      </c>
      <c r="I148" s="202" t="s">
        <v>258</v>
      </c>
    </row>
    <row r="149" spans="1:13" s="1" customFormat="1" x14ac:dyDescent="0.25">
      <c r="A149" s="235"/>
      <c r="B149" s="321">
        <f t="shared" ca="1" si="9"/>
        <v>41987</v>
      </c>
      <c r="C149" s="316" t="str">
        <f>B70</f>
        <v>Solde nourriture et boissons</v>
      </c>
      <c r="D149" s="317" t="str">
        <f>J70</f>
        <v>E</v>
      </c>
      <c r="E149" s="317" t="str">
        <f>K70</f>
        <v>ENT</v>
      </c>
      <c r="F149" s="317"/>
      <c r="G149" s="317">
        <f>L70</f>
        <v>0</v>
      </c>
      <c r="H149" s="320">
        <f ca="1">F70</f>
        <v>883.3</v>
      </c>
      <c r="I149" s="202"/>
    </row>
    <row r="150" spans="1:13" s="1" customFormat="1" x14ac:dyDescent="0.25">
      <c r="A150" s="235"/>
      <c r="B150" s="315">
        <f t="shared" ca="1" si="9"/>
        <v>41987</v>
      </c>
      <c r="C150" s="319" t="str">
        <f>B74</f>
        <v>Frais de location ou int. Hyp. Sans amortissement</v>
      </c>
      <c r="D150" s="317" t="str">
        <f t="shared" ref="D150:F151" si="12">J74</f>
        <v>L</v>
      </c>
      <c r="E150" s="317" t="str">
        <f t="shared" si="12"/>
        <v>LOY</v>
      </c>
      <c r="F150" s="317">
        <f t="shared" si="12"/>
        <v>4010</v>
      </c>
      <c r="G150" s="317" t="s">
        <v>261</v>
      </c>
      <c r="H150" s="320">
        <f ca="1">G74-F74</f>
        <v>-1675</v>
      </c>
      <c r="I150" s="202" t="s">
        <v>258</v>
      </c>
    </row>
    <row r="151" spans="1:13" s="1" customFormat="1" x14ac:dyDescent="0.25">
      <c r="A151" s="235"/>
      <c r="B151" s="315">
        <f t="shared" ca="1" si="9"/>
        <v>41987</v>
      </c>
      <c r="C151" s="319" t="str">
        <f>B75</f>
        <v>Charges locatives</v>
      </c>
      <c r="D151" s="317" t="str">
        <f t="shared" si="12"/>
        <v>L</v>
      </c>
      <c r="E151" s="317" t="str">
        <f t="shared" si="12"/>
        <v>CHA</v>
      </c>
      <c r="F151" s="317">
        <f t="shared" si="12"/>
        <v>4010</v>
      </c>
      <c r="G151" s="317" t="s">
        <v>261</v>
      </c>
      <c r="H151" s="320">
        <f>G75-F75</f>
        <v>0</v>
      </c>
      <c r="I151" s="202" t="s">
        <v>258</v>
      </c>
    </row>
    <row r="152" spans="1:13" x14ac:dyDescent="0.25">
      <c r="A152" s="235"/>
      <c r="B152" s="315">
        <f t="shared" ca="1" si="9"/>
        <v>41987</v>
      </c>
      <c r="C152" s="319" t="str">
        <f>B28</f>
        <v>Total des revenus</v>
      </c>
      <c r="D152" s="322" t="s">
        <v>33</v>
      </c>
      <c r="E152" s="322" t="str">
        <f>K28</f>
        <v>DIV</v>
      </c>
      <c r="F152" s="322"/>
      <c r="G152" s="322"/>
      <c r="H152" s="320">
        <f>-G28+F28</f>
        <v>0</v>
      </c>
      <c r="I152" s="202" t="s">
        <v>258</v>
      </c>
      <c r="J152" s="1"/>
      <c r="K152" s="1"/>
      <c r="L152" s="1"/>
      <c r="M152" s="1"/>
    </row>
    <row r="153" spans="1:13" x14ac:dyDescent="0.25">
      <c r="A153" s="235"/>
      <c r="B153" s="315">
        <f t="shared" ca="1" si="9"/>
        <v>41987</v>
      </c>
      <c r="C153" s="319" t="str">
        <f>B33</f>
        <v>Total des suppléments d'intégration</v>
      </c>
      <c r="D153" s="322" t="s">
        <v>33</v>
      </c>
      <c r="E153" s="322" t="str">
        <f>K33</f>
        <v>SUP</v>
      </c>
      <c r="F153" s="322"/>
      <c r="G153" s="322"/>
      <c r="H153" s="320">
        <f>G33-F33</f>
        <v>0</v>
      </c>
      <c r="I153" s="202" t="s">
        <v>258</v>
      </c>
      <c r="J153" s="1"/>
      <c r="K153" s="1"/>
      <c r="L153" s="1"/>
      <c r="M153" s="1"/>
    </row>
    <row r="154" spans="1:13" x14ac:dyDescent="0.25">
      <c r="A154" s="235"/>
      <c r="B154" s="315">
        <f t="shared" ca="1" si="9"/>
        <v>41987</v>
      </c>
      <c r="C154" s="319" t="str">
        <f>B96</f>
        <v>Total des prestations circonstancielles</v>
      </c>
      <c r="D154" s="322" t="s">
        <v>37</v>
      </c>
      <c r="E154" s="322" t="str">
        <f>K96</f>
        <v>CIR</v>
      </c>
      <c r="F154" s="322"/>
      <c r="G154" s="322"/>
      <c r="H154" s="320">
        <f>G96-F96</f>
        <v>132.6</v>
      </c>
      <c r="I154" s="202" t="s">
        <v>258</v>
      </c>
      <c r="J154" s="1"/>
      <c r="K154" s="1"/>
      <c r="L154" s="1"/>
      <c r="M154" s="1"/>
    </row>
    <row r="155" spans="1:13" x14ac:dyDescent="0.25">
      <c r="A155" s="235"/>
      <c r="B155" s="315">
        <f t="shared" ca="1" si="9"/>
        <v>41987</v>
      </c>
      <c r="C155" s="319" t="str">
        <f t="array" aca="1" ref="C155" ca="1">IF(ROW(A20)&gt;COUNTIF(bdlibel4,"&gt;&lt;"),"",INDEX(bdlibel4,SMALL(IF(bdlibel4&lt;&gt;"",ROW(bdlibel4)-51,""),ROW(A20))))</f>
        <v/>
      </c>
      <c r="D155" s="322" t="str">
        <f ca="1">VLOOKUP($C155,bdlibell4,2,0)</f>
        <v/>
      </c>
      <c r="E155" s="322"/>
      <c r="F155" s="322"/>
      <c r="G155" s="322"/>
      <c r="H155" s="320">
        <f ca="1">SUMIFS(F:F,B:B,C155)</f>
        <v>0</v>
      </c>
      <c r="I155" s="202" t="s">
        <v>258</v>
      </c>
      <c r="J155" s="1"/>
      <c r="K155" s="1"/>
      <c r="L155" s="1"/>
      <c r="M155" s="1"/>
    </row>
    <row r="156" spans="1:13" x14ac:dyDescent="0.25">
      <c r="A156" s="235"/>
      <c r="B156" s="315">
        <f t="shared" ca="1" si="9"/>
        <v>41987</v>
      </c>
      <c r="C156" s="319" t="str">
        <f t="array" aca="1" ref="C156" ca="1">IF(ROW(A21)&gt;COUNTIF(bdlibel4,"&gt;&lt;"),"",INDEX(bdlibel4,SMALL(IF(bdlibel4&lt;&gt;"",ROW(bdlibel4)-51,""),ROW(A21))))</f>
        <v/>
      </c>
      <c r="D156" s="322" t="str">
        <f ca="1">VLOOKUP($C156,bdlibell4,2,0)</f>
        <v/>
      </c>
      <c r="E156" s="322"/>
      <c r="F156" s="322"/>
      <c r="G156" s="322"/>
      <c r="H156" s="320">
        <f ca="1">SUMIFS(F:F,B:B,C156)</f>
        <v>0</v>
      </c>
      <c r="I156" s="202" t="s">
        <v>258</v>
      </c>
      <c r="J156" s="1"/>
      <c r="K156" s="1"/>
      <c r="L156" s="1"/>
      <c r="M156" s="1"/>
    </row>
    <row r="157" spans="1:13" x14ac:dyDescent="0.25">
      <c r="A157" s="235"/>
      <c r="B157" s="315">
        <f t="shared" ca="1" si="9"/>
        <v>41987</v>
      </c>
      <c r="C157" s="319" t="str">
        <f t="array" aca="1" ref="C157" ca="1">IF(ROW(A22)&gt;COUNTIF(bdlibel4,"&gt;&lt;"),"",INDEX(bdlibel4,SMALL(IF(bdlibel4&lt;&gt;"",ROW(bdlibel4)-51,""),ROW(A22))))</f>
        <v/>
      </c>
      <c r="D157" s="322" t="str">
        <f ca="1">VLOOKUP($C157,bdlibell4,2,0)</f>
        <v/>
      </c>
      <c r="E157" s="322"/>
      <c r="F157" s="322"/>
      <c r="G157" s="322"/>
      <c r="H157" s="320">
        <f ca="1">SUMIFS(F:F,B:B,C157)</f>
        <v>0</v>
      </c>
      <c r="I157" s="202" t="s">
        <v>258</v>
      </c>
      <c r="J157" s="1"/>
      <c r="K157" s="1"/>
      <c r="L157" s="1"/>
      <c r="M157" s="1"/>
    </row>
    <row r="158" spans="1:13" x14ac:dyDescent="0.25">
      <c r="A158" s="235"/>
      <c r="B158" s="315">
        <f t="shared" ca="1" si="9"/>
        <v>41987</v>
      </c>
      <c r="C158" s="319" t="str">
        <f t="array" aca="1" ref="C158" ca="1">IF(ROW(A23)&gt;COUNTIF(bdlibel4,"&gt;&lt;"),"",INDEX(bdlibel4,SMALL(IF(bdlibel4&lt;&gt;"",ROW(bdlibel4)-51,""),ROW(A23))))</f>
        <v/>
      </c>
      <c r="D158" s="322" t="str">
        <f ca="1">VLOOKUP($C158,bdlibell4,2,0)</f>
        <v/>
      </c>
      <c r="E158" s="322"/>
      <c r="F158" s="322"/>
      <c r="G158" s="322"/>
      <c r="H158" s="320">
        <f ca="1">SUMIFS(F:F,B:B,C158)</f>
        <v>0</v>
      </c>
      <c r="I158" s="203"/>
      <c r="J158" s="1"/>
      <c r="K158" s="1"/>
      <c r="L158" s="1"/>
      <c r="M158" s="1"/>
    </row>
    <row r="159" spans="1:13" x14ac:dyDescent="0.25">
      <c r="A159" s="235"/>
      <c r="B159" s="315">
        <f t="shared" ca="1" si="9"/>
        <v>41987</v>
      </c>
      <c r="C159" s="319" t="str">
        <f>B107</f>
        <v>Versé/Prélevé en compte de gestion</v>
      </c>
      <c r="D159" s="317"/>
      <c r="E159" s="317"/>
      <c r="F159" s="317" t="s">
        <v>276</v>
      </c>
      <c r="G159" s="317" t="s">
        <v>275</v>
      </c>
      <c r="H159" s="320">
        <f ca="1">H107</f>
        <v>-1529.4</v>
      </c>
      <c r="I159" s="202"/>
      <c r="J159" s="1"/>
      <c r="K159" s="1"/>
      <c r="L159" s="1"/>
      <c r="M159" s="1"/>
    </row>
    <row r="160" spans="1:13" x14ac:dyDescent="0.25">
      <c r="A160" s="235"/>
      <c r="B160" s="315">
        <f t="shared" ca="1" si="9"/>
        <v>41987</v>
      </c>
      <c r="C160" s="319" t="s">
        <v>242</v>
      </c>
      <c r="D160" s="319"/>
      <c r="E160" s="319"/>
      <c r="F160" s="319">
        <v>1000</v>
      </c>
      <c r="G160" s="316">
        <v>4010</v>
      </c>
      <c r="H160" s="320">
        <f>G106</f>
        <v>15</v>
      </c>
      <c r="I160" s="203"/>
      <c r="J160" s="1"/>
      <c r="K160" s="1"/>
      <c r="L160" s="1"/>
      <c r="M160" s="1"/>
    </row>
    <row r="161" spans="1:14" x14ac:dyDescent="0.25">
      <c r="A161" s="235"/>
      <c r="B161" s="200"/>
      <c r="C161" s="203"/>
      <c r="D161" s="203"/>
      <c r="E161" s="203"/>
      <c r="F161" s="203"/>
      <c r="G161" s="203"/>
      <c r="H161" s="204"/>
      <c r="I161" s="203"/>
      <c r="J161" s="1"/>
      <c r="K161" s="1"/>
      <c r="L161" s="1"/>
      <c r="M161" s="1"/>
      <c r="N161" s="25"/>
    </row>
    <row r="162" spans="1:14" ht="15.75" thickBot="1" x14ac:dyDescent="0.3">
      <c r="A162" s="235"/>
      <c r="B162" s="200"/>
      <c r="C162" s="202" t="s">
        <v>245</v>
      </c>
      <c r="D162" s="202" t="str">
        <f>C2</f>
        <v>mars</v>
      </c>
      <c r="E162" s="202"/>
      <c r="F162" s="202"/>
      <c r="G162" s="202"/>
      <c r="H162" s="206">
        <f ca="1">SUM(H122:H161)</f>
        <v>-2118.5</v>
      </c>
      <c r="I162" s="203"/>
      <c r="J162" s="1"/>
      <c r="K162" s="1"/>
      <c r="L162" s="1"/>
      <c r="M162" s="1"/>
      <c r="N162" s="25"/>
    </row>
    <row r="163" spans="1:14" ht="15.75" thickTop="1" x14ac:dyDescent="0.25">
      <c r="A163" s="235"/>
      <c r="B163" s="200"/>
      <c r="C163" s="202"/>
      <c r="D163" s="202"/>
      <c r="E163" s="202"/>
      <c r="F163" s="202"/>
      <c r="G163" s="202"/>
      <c r="H163" s="325"/>
      <c r="I163" s="203"/>
      <c r="J163" s="1"/>
      <c r="K163" s="1"/>
      <c r="L163" s="1"/>
      <c r="M163" s="1"/>
      <c r="N163" s="25"/>
    </row>
    <row r="164" spans="1:14" ht="21" x14ac:dyDescent="0.25">
      <c r="A164" s="235"/>
      <c r="B164" s="358" t="str">
        <f>B119</f>
        <v>Nicole Villet</v>
      </c>
      <c r="C164" s="369"/>
      <c r="D164" s="348">
        <f>D119</f>
        <v>977</v>
      </c>
      <c r="E164" s="358" t="s">
        <v>67</v>
      </c>
      <c r="F164" s="369"/>
      <c r="G164" s="369"/>
      <c r="H164" s="369"/>
      <c r="J164" s="1"/>
      <c r="K164" s="1"/>
      <c r="L164" s="1"/>
      <c r="M164" s="1"/>
    </row>
    <row r="165" spans="1:14" ht="21" x14ac:dyDescent="0.25">
      <c r="A165" s="235"/>
      <c r="B165" s="357" t="str">
        <f>C2</f>
        <v>mars</v>
      </c>
      <c r="C165" s="357"/>
      <c r="D165" s="357"/>
      <c r="E165" s="357">
        <f>E2</f>
        <v>2015</v>
      </c>
      <c r="F165" s="357"/>
      <c r="G165" s="357"/>
      <c r="H165" s="357"/>
      <c r="J165" s="1"/>
      <c r="K165" s="1"/>
      <c r="L165" s="1"/>
      <c r="M165" s="1"/>
    </row>
    <row r="166" spans="1:14" s="1" customFormat="1" x14ac:dyDescent="0.25">
      <c r="A166" s="235"/>
      <c r="B166" s="313" t="s">
        <v>64</v>
      </c>
      <c r="C166" s="314" t="s">
        <v>65</v>
      </c>
      <c r="D166" s="314" t="s">
        <v>28</v>
      </c>
      <c r="E166" s="314" t="s">
        <v>66</v>
      </c>
      <c r="F166" s="314" t="s">
        <v>49</v>
      </c>
      <c r="G166" s="314" t="s">
        <v>49</v>
      </c>
      <c r="H166" s="314" t="s">
        <v>223</v>
      </c>
    </row>
    <row r="167" spans="1:14" s="203" customFormat="1" ht="12.75" x14ac:dyDescent="0.2">
      <c r="A167" s="235"/>
      <c r="B167" s="321">
        <f t="shared" ref="B167:B205" ca="1" si="13">TODAY()</f>
        <v>41987</v>
      </c>
      <c r="C167" s="316" t="str">
        <f>B36</f>
        <v>CSS</v>
      </c>
      <c r="D167" s="317" t="str">
        <f>J36</f>
        <v>E</v>
      </c>
      <c r="E167" s="317" t="str">
        <f>K36</f>
        <v>LCA</v>
      </c>
      <c r="F167" s="317"/>
      <c r="G167" s="317">
        <f>L36</f>
        <v>0</v>
      </c>
      <c r="H167" s="318">
        <f>F36</f>
        <v>12.4</v>
      </c>
      <c r="J167" s="202"/>
      <c r="K167" s="202"/>
      <c r="L167" s="202"/>
      <c r="M167" s="202"/>
    </row>
    <row r="168" spans="1:14" s="203" customFormat="1" ht="12.75" x14ac:dyDescent="0.2">
      <c r="A168" s="235"/>
      <c r="B168" s="321">
        <f t="shared" ca="1" si="13"/>
        <v>41987</v>
      </c>
      <c r="C168" s="316" t="str">
        <f t="shared" ref="C168:C181" ca="1" si="14">B37</f>
        <v>Impôts communaux</v>
      </c>
      <c r="D168" s="317" t="str">
        <f t="shared" ref="D168:E181" si="15">J37</f>
        <v>E</v>
      </c>
      <c r="E168" s="317" t="str">
        <f t="shared" si="15"/>
        <v>ENT</v>
      </c>
      <c r="F168" s="317"/>
      <c r="G168" s="317">
        <f t="shared" ref="G168:G181" si="16">L37</f>
        <v>0</v>
      </c>
      <c r="H168" s="318">
        <f t="shared" ref="H168:H181" ca="1" si="17">F37</f>
        <v>0</v>
      </c>
      <c r="J168" s="202"/>
      <c r="K168" s="202"/>
      <c r="L168" s="202"/>
      <c r="M168" s="202"/>
    </row>
    <row r="169" spans="1:14" s="203" customFormat="1" ht="12.75" x14ac:dyDescent="0.2">
      <c r="A169" s="235"/>
      <c r="B169" s="321">
        <f t="shared" ca="1" si="13"/>
        <v>41987</v>
      </c>
      <c r="C169" s="316" t="str">
        <f t="shared" ca="1" si="14"/>
        <v>Impôts cantonaux</v>
      </c>
      <c r="D169" s="317" t="str">
        <f t="shared" si="15"/>
        <v>E</v>
      </c>
      <c r="E169" s="317" t="str">
        <f t="shared" si="15"/>
        <v>ENT</v>
      </c>
      <c r="F169" s="317"/>
      <c r="G169" s="317">
        <f t="shared" si="16"/>
        <v>0</v>
      </c>
      <c r="H169" s="318">
        <f t="shared" ca="1" si="17"/>
        <v>82.3</v>
      </c>
      <c r="J169" s="202"/>
      <c r="K169" s="202"/>
      <c r="L169" s="202"/>
      <c r="M169" s="202"/>
    </row>
    <row r="170" spans="1:14" s="203" customFormat="1" ht="12.75" x14ac:dyDescent="0.2">
      <c r="A170" s="235"/>
      <c r="B170" s="321">
        <f t="shared" ca="1" si="13"/>
        <v>41987</v>
      </c>
      <c r="C170" s="316" t="str">
        <f t="shared" ca="1" si="14"/>
        <v>Téléphone</v>
      </c>
      <c r="D170" s="317" t="str">
        <f t="shared" si="15"/>
        <v>E</v>
      </c>
      <c r="E170" s="317" t="str">
        <f t="shared" si="15"/>
        <v>ENT</v>
      </c>
      <c r="F170" s="317"/>
      <c r="G170" s="317">
        <f t="shared" si="16"/>
        <v>0</v>
      </c>
      <c r="H170" s="318">
        <f t="shared" ca="1" si="17"/>
        <v>0</v>
      </c>
      <c r="J170" s="202"/>
      <c r="K170" s="202"/>
      <c r="L170" s="202"/>
      <c r="M170" s="202"/>
    </row>
    <row r="171" spans="1:14" s="203" customFormat="1" ht="12.75" x14ac:dyDescent="0.2">
      <c r="A171" s="235"/>
      <c r="B171" s="321">
        <f t="shared" ca="1" si="13"/>
        <v>41987</v>
      </c>
      <c r="C171" s="316">
        <f t="shared" ca="1" si="14"/>
        <v>0</v>
      </c>
      <c r="D171" s="317" t="str">
        <f t="shared" si="15"/>
        <v>E</v>
      </c>
      <c r="E171" s="317" t="str">
        <f t="shared" si="15"/>
        <v>ENT</v>
      </c>
      <c r="F171" s="317"/>
      <c r="G171" s="317">
        <f t="shared" si="16"/>
        <v>0</v>
      </c>
      <c r="H171" s="318">
        <f t="shared" ca="1" si="17"/>
        <v>0</v>
      </c>
      <c r="J171" s="202"/>
      <c r="K171" s="202"/>
      <c r="L171" s="202"/>
      <c r="M171" s="202"/>
    </row>
    <row r="172" spans="1:14" s="203" customFormat="1" ht="12.75" x14ac:dyDescent="0.2">
      <c r="A172" s="235"/>
      <c r="B172" s="321">
        <f t="shared" ca="1" si="13"/>
        <v>41987</v>
      </c>
      <c r="C172" s="316">
        <f t="shared" ca="1" si="14"/>
        <v>0</v>
      </c>
      <c r="D172" s="317" t="str">
        <f t="shared" si="15"/>
        <v>E</v>
      </c>
      <c r="E172" s="317" t="str">
        <f t="shared" si="15"/>
        <v>ENT</v>
      </c>
      <c r="F172" s="317"/>
      <c r="G172" s="317">
        <f t="shared" si="16"/>
        <v>0</v>
      </c>
      <c r="H172" s="318">
        <f t="shared" ca="1" si="17"/>
        <v>0</v>
      </c>
      <c r="J172" s="202"/>
      <c r="K172" s="202"/>
      <c r="L172" s="202"/>
      <c r="M172" s="202"/>
    </row>
    <row r="173" spans="1:14" s="203" customFormat="1" ht="12.75" x14ac:dyDescent="0.2">
      <c r="A173" s="235"/>
      <c r="B173" s="321">
        <f t="shared" ca="1" si="13"/>
        <v>41987</v>
      </c>
      <c r="C173" s="316">
        <f t="shared" ca="1" si="14"/>
        <v>0</v>
      </c>
      <c r="D173" s="317" t="str">
        <f t="shared" si="15"/>
        <v>E</v>
      </c>
      <c r="E173" s="317" t="str">
        <f t="shared" si="15"/>
        <v>ENT</v>
      </c>
      <c r="F173" s="317"/>
      <c r="G173" s="317">
        <f t="shared" si="16"/>
        <v>0</v>
      </c>
      <c r="H173" s="318">
        <f t="shared" ca="1" si="17"/>
        <v>0</v>
      </c>
      <c r="J173" s="202"/>
      <c r="K173" s="202"/>
      <c r="L173" s="202"/>
      <c r="M173" s="202"/>
    </row>
    <row r="174" spans="1:14" s="203" customFormat="1" ht="12.75" x14ac:dyDescent="0.2">
      <c r="A174" s="235"/>
      <c r="B174" s="321">
        <f t="shared" ca="1" si="13"/>
        <v>41987</v>
      </c>
      <c r="C174" s="316" t="str">
        <f t="shared" ca="1" si="14"/>
        <v>tutu</v>
      </c>
      <c r="D174" s="317" t="str">
        <f t="shared" si="15"/>
        <v>E</v>
      </c>
      <c r="E174" s="317" t="str">
        <f t="shared" si="15"/>
        <v>ENT</v>
      </c>
      <c r="F174" s="317"/>
      <c r="G174" s="317">
        <f t="shared" si="16"/>
        <v>0</v>
      </c>
      <c r="H174" s="318">
        <f t="shared" ca="1" si="17"/>
        <v>12</v>
      </c>
      <c r="J174" s="202"/>
      <c r="K174" s="202"/>
      <c r="L174" s="202"/>
      <c r="M174" s="202"/>
    </row>
    <row r="175" spans="1:14" s="203" customFormat="1" ht="12.75" x14ac:dyDescent="0.2">
      <c r="A175" s="235"/>
      <c r="B175" s="321">
        <f t="shared" ca="1" si="13"/>
        <v>41987</v>
      </c>
      <c r="C175" s="316">
        <f t="shared" ca="1" si="14"/>
        <v>0</v>
      </c>
      <c r="D175" s="317" t="str">
        <f t="shared" si="15"/>
        <v>E</v>
      </c>
      <c r="E175" s="317" t="str">
        <f t="shared" si="15"/>
        <v>ENT</v>
      </c>
      <c r="F175" s="317"/>
      <c r="G175" s="317">
        <f t="shared" si="16"/>
        <v>0</v>
      </c>
      <c r="H175" s="318">
        <f t="shared" ca="1" si="17"/>
        <v>0</v>
      </c>
      <c r="J175" s="202"/>
      <c r="K175" s="202"/>
      <c r="L175" s="202"/>
      <c r="M175" s="202"/>
    </row>
    <row r="176" spans="1:14" s="203" customFormat="1" ht="12.75" x14ac:dyDescent="0.2">
      <c r="A176" s="235"/>
      <c r="B176" s="321">
        <f t="shared" ca="1" si="13"/>
        <v>41987</v>
      </c>
      <c r="C176" s="316">
        <f t="shared" ca="1" si="14"/>
        <v>0</v>
      </c>
      <c r="D176" s="317" t="str">
        <f t="shared" si="15"/>
        <v>E</v>
      </c>
      <c r="E176" s="317" t="str">
        <f t="shared" si="15"/>
        <v>ENT</v>
      </c>
      <c r="F176" s="317"/>
      <c r="G176" s="317">
        <f t="shared" si="16"/>
        <v>0</v>
      </c>
      <c r="H176" s="318">
        <f t="shared" ca="1" si="17"/>
        <v>0</v>
      </c>
      <c r="J176" s="202"/>
      <c r="K176" s="202"/>
      <c r="L176" s="202"/>
      <c r="M176" s="202"/>
    </row>
    <row r="177" spans="1:13" s="203" customFormat="1" ht="12.75" x14ac:dyDescent="0.2">
      <c r="A177" s="235"/>
      <c r="B177" s="321">
        <f t="shared" ca="1" si="13"/>
        <v>41987</v>
      </c>
      <c r="C177" s="316">
        <f t="shared" ca="1" si="14"/>
        <v>0</v>
      </c>
      <c r="D177" s="317" t="str">
        <f t="shared" si="15"/>
        <v>E</v>
      </c>
      <c r="E177" s="317" t="str">
        <f t="shared" si="15"/>
        <v>ENT</v>
      </c>
      <c r="F177" s="317"/>
      <c r="G177" s="317">
        <f t="shared" si="16"/>
        <v>0</v>
      </c>
      <c r="H177" s="318">
        <f t="shared" ca="1" si="17"/>
        <v>0</v>
      </c>
      <c r="J177" s="202"/>
      <c r="K177" s="202"/>
      <c r="L177" s="202"/>
      <c r="M177" s="202"/>
    </row>
    <row r="178" spans="1:13" s="203" customFormat="1" ht="12.75" x14ac:dyDescent="0.2">
      <c r="A178" s="235"/>
      <c r="B178" s="321">
        <f t="shared" ca="1" si="13"/>
        <v>41987</v>
      </c>
      <c r="C178" s="316">
        <f t="shared" ca="1" si="14"/>
        <v>0</v>
      </c>
      <c r="D178" s="317" t="str">
        <f t="shared" si="15"/>
        <v>E</v>
      </c>
      <c r="E178" s="317" t="str">
        <f t="shared" si="15"/>
        <v>ENT</v>
      </c>
      <c r="F178" s="317"/>
      <c r="G178" s="317">
        <f t="shared" si="16"/>
        <v>0</v>
      </c>
      <c r="H178" s="318">
        <f t="shared" ca="1" si="17"/>
        <v>0</v>
      </c>
      <c r="J178" s="202"/>
      <c r="K178" s="202"/>
      <c r="L178" s="202"/>
      <c r="M178" s="202"/>
    </row>
    <row r="179" spans="1:13" s="203" customFormat="1" ht="12.75" x14ac:dyDescent="0.2">
      <c r="A179" s="235"/>
      <c r="B179" s="321">
        <f t="shared" ca="1" si="13"/>
        <v>41987</v>
      </c>
      <c r="C179" s="316">
        <f t="shared" ca="1" si="14"/>
        <v>0</v>
      </c>
      <c r="D179" s="317" t="str">
        <f t="shared" si="15"/>
        <v>E</v>
      </c>
      <c r="E179" s="317" t="str">
        <f t="shared" si="15"/>
        <v>ENT</v>
      </c>
      <c r="F179" s="317"/>
      <c r="G179" s="317">
        <f t="shared" si="16"/>
        <v>0</v>
      </c>
      <c r="H179" s="318">
        <f t="shared" ca="1" si="17"/>
        <v>0</v>
      </c>
      <c r="J179" s="202"/>
      <c r="K179" s="202"/>
      <c r="L179" s="202"/>
      <c r="M179" s="202"/>
    </row>
    <row r="180" spans="1:13" s="203" customFormat="1" ht="12.75" x14ac:dyDescent="0.2">
      <c r="A180" s="235"/>
      <c r="B180" s="321">
        <f t="shared" ca="1" si="13"/>
        <v>41987</v>
      </c>
      <c r="C180" s="316">
        <f t="shared" ca="1" si="14"/>
        <v>0</v>
      </c>
      <c r="D180" s="317" t="str">
        <f t="shared" si="15"/>
        <v>E</v>
      </c>
      <c r="E180" s="317" t="str">
        <f t="shared" si="15"/>
        <v>ENT</v>
      </c>
      <c r="F180" s="317"/>
      <c r="G180" s="317">
        <f t="shared" si="16"/>
        <v>0</v>
      </c>
      <c r="H180" s="318">
        <f t="shared" ca="1" si="17"/>
        <v>0</v>
      </c>
      <c r="J180" s="202"/>
      <c r="K180" s="202"/>
      <c r="L180" s="202"/>
      <c r="M180" s="202"/>
    </row>
    <row r="181" spans="1:13" s="203" customFormat="1" ht="12.75" x14ac:dyDescent="0.2">
      <c r="A181" s="235"/>
      <c r="B181" s="321">
        <f t="shared" ca="1" si="13"/>
        <v>41987</v>
      </c>
      <c r="C181" s="316">
        <f t="shared" ca="1" si="14"/>
        <v>0</v>
      </c>
      <c r="D181" s="317" t="str">
        <f t="shared" si="15"/>
        <v>E</v>
      </c>
      <c r="E181" s="317" t="str">
        <f t="shared" si="15"/>
        <v>ENT</v>
      </c>
      <c r="F181" s="317"/>
      <c r="G181" s="317">
        <f t="shared" si="16"/>
        <v>0</v>
      </c>
      <c r="H181" s="318">
        <f t="shared" ca="1" si="17"/>
        <v>0</v>
      </c>
      <c r="J181" s="202"/>
      <c r="K181" s="202"/>
      <c r="L181" s="202"/>
      <c r="M181" s="202"/>
    </row>
    <row r="182" spans="1:13" s="203" customFormat="1" ht="12.75" x14ac:dyDescent="0.2">
      <c r="A182" s="235"/>
      <c r="B182" s="321">
        <f t="shared" ca="1" si="13"/>
        <v>41987</v>
      </c>
      <c r="C182" s="316">
        <f>B65</f>
        <v>0</v>
      </c>
      <c r="D182" s="317" t="str">
        <f t="shared" ref="D182:E186" si="18">J65</f>
        <v>E</v>
      </c>
      <c r="E182" s="317" t="str">
        <f t="shared" si="18"/>
        <v>ENT</v>
      </c>
      <c r="F182" s="317"/>
      <c r="G182" s="317">
        <f>L65</f>
        <v>0</v>
      </c>
      <c r="H182" s="318">
        <f>F65</f>
        <v>0</v>
      </c>
      <c r="J182" s="202"/>
      <c r="K182" s="202"/>
      <c r="L182" s="202"/>
      <c r="M182" s="202"/>
    </row>
    <row r="183" spans="1:13" s="203" customFormat="1" ht="12.75" x14ac:dyDescent="0.2">
      <c r="A183" s="235"/>
      <c r="B183" s="321">
        <f t="shared" ca="1" si="13"/>
        <v>41987</v>
      </c>
      <c r="C183" s="316">
        <f>B66</f>
        <v>0</v>
      </c>
      <c r="D183" s="317" t="str">
        <f t="shared" si="18"/>
        <v>E</v>
      </c>
      <c r="E183" s="317" t="str">
        <f t="shared" si="18"/>
        <v>ENT</v>
      </c>
      <c r="F183" s="317"/>
      <c r="G183" s="317">
        <f>L66</f>
        <v>0</v>
      </c>
      <c r="H183" s="318">
        <f>F66</f>
        <v>0</v>
      </c>
      <c r="J183" s="202"/>
      <c r="K183" s="202"/>
      <c r="L183" s="202"/>
      <c r="M183" s="202"/>
    </row>
    <row r="184" spans="1:13" s="203" customFormat="1" ht="12.75" x14ac:dyDescent="0.2">
      <c r="A184" s="235"/>
      <c r="B184" s="321">
        <f t="shared" ca="1" si="13"/>
        <v>41987</v>
      </c>
      <c r="C184" s="316">
        <f>B67</f>
        <v>0</v>
      </c>
      <c r="D184" s="317" t="str">
        <f t="shared" si="18"/>
        <v>E</v>
      </c>
      <c r="E184" s="317" t="str">
        <f t="shared" si="18"/>
        <v>ENT</v>
      </c>
      <c r="F184" s="317"/>
      <c r="G184" s="317">
        <f>L67</f>
        <v>0</v>
      </c>
      <c r="H184" s="318">
        <f>F67</f>
        <v>0</v>
      </c>
      <c r="J184" s="202"/>
      <c r="K184" s="202"/>
      <c r="L184" s="202"/>
      <c r="M184" s="202"/>
    </row>
    <row r="185" spans="1:13" s="203" customFormat="1" ht="12.75" x14ac:dyDescent="0.2">
      <c r="A185" s="235"/>
      <c r="B185" s="321">
        <f t="shared" ca="1" si="13"/>
        <v>41987</v>
      </c>
      <c r="C185" s="316">
        <f>B68</f>
        <v>0</v>
      </c>
      <c r="D185" s="317" t="str">
        <f t="shared" si="18"/>
        <v>E</v>
      </c>
      <c r="E185" s="317" t="str">
        <f t="shared" si="18"/>
        <v>ENT</v>
      </c>
      <c r="F185" s="317"/>
      <c r="G185" s="317">
        <f>L68</f>
        <v>0</v>
      </c>
      <c r="H185" s="318">
        <f>F68</f>
        <v>0</v>
      </c>
      <c r="J185" s="202"/>
      <c r="K185" s="202"/>
      <c r="L185" s="202"/>
      <c r="M185" s="202"/>
    </row>
    <row r="186" spans="1:13" s="203" customFormat="1" ht="12.75" x14ac:dyDescent="0.2">
      <c r="A186" s="235"/>
      <c r="B186" s="321">
        <f t="shared" ca="1" si="13"/>
        <v>41987</v>
      </c>
      <c r="C186" s="316">
        <f>B69</f>
        <v>0</v>
      </c>
      <c r="D186" s="317" t="str">
        <f t="shared" si="18"/>
        <v>E</v>
      </c>
      <c r="E186" s="317" t="str">
        <f t="shared" si="18"/>
        <v>ENT</v>
      </c>
      <c r="F186" s="317"/>
      <c r="G186" s="317">
        <f>L69</f>
        <v>0</v>
      </c>
      <c r="H186" s="318">
        <f>F69</f>
        <v>0</v>
      </c>
      <c r="J186" s="202"/>
      <c r="K186" s="202"/>
      <c r="L186" s="202"/>
      <c r="M186" s="202"/>
    </row>
    <row r="187" spans="1:13" s="203" customFormat="1" ht="12.75" x14ac:dyDescent="0.2">
      <c r="A187" s="235"/>
      <c r="B187" s="321">
        <f t="shared" ca="1" si="13"/>
        <v>41987</v>
      </c>
      <c r="C187" s="316" t="str">
        <f>B74</f>
        <v>Frais de location ou int. Hyp. Sans amortissement</v>
      </c>
      <c r="D187" s="317" t="str">
        <f t="shared" ref="D187:G188" si="19">J74</f>
        <v>L</v>
      </c>
      <c r="E187" s="317" t="str">
        <f t="shared" si="19"/>
        <v>LOY</v>
      </c>
      <c r="F187" s="317">
        <f t="shared" si="19"/>
        <v>4010</v>
      </c>
      <c r="G187" s="317">
        <f t="shared" si="19"/>
        <v>2027</v>
      </c>
      <c r="H187" s="318">
        <f>F74</f>
        <v>2400</v>
      </c>
      <c r="J187" s="202"/>
      <c r="K187" s="202"/>
      <c r="L187" s="202"/>
      <c r="M187" s="202"/>
    </row>
    <row r="188" spans="1:13" s="203" customFormat="1" ht="12.75" x14ac:dyDescent="0.2">
      <c r="A188" s="235"/>
      <c r="B188" s="321">
        <f t="shared" ca="1" si="13"/>
        <v>41987</v>
      </c>
      <c r="C188" s="316" t="str">
        <f>B75</f>
        <v>Charges locatives</v>
      </c>
      <c r="D188" s="317" t="str">
        <f t="shared" si="19"/>
        <v>L</v>
      </c>
      <c r="E188" s="317" t="str">
        <f t="shared" si="19"/>
        <v>CHA</v>
      </c>
      <c r="F188" s="317">
        <f t="shared" si="19"/>
        <v>4010</v>
      </c>
      <c r="G188" s="317">
        <f t="shared" si="19"/>
        <v>2027</v>
      </c>
      <c r="H188" s="318">
        <f>F75</f>
        <v>270</v>
      </c>
      <c r="J188" s="202"/>
      <c r="K188" s="202"/>
      <c r="L188" s="202"/>
      <c r="M188" s="202"/>
    </row>
    <row r="189" spans="1:13" s="203" customFormat="1" ht="12.75" x14ac:dyDescent="0.2">
      <c r="A189" s="235"/>
      <c r="B189" s="321">
        <f t="shared" ca="1" si="13"/>
        <v>41987</v>
      </c>
      <c r="C189" s="316" t="str">
        <f>B78</f>
        <v>CSS</v>
      </c>
      <c r="D189" s="317" t="str">
        <f t="shared" ref="D189:G198" si="20">J78</f>
        <v>M</v>
      </c>
      <c r="E189" s="317" t="str">
        <f t="shared" si="20"/>
        <v>PM</v>
      </c>
      <c r="F189" s="317">
        <f t="shared" si="20"/>
        <v>4024</v>
      </c>
      <c r="G189" s="317">
        <f t="shared" si="20"/>
        <v>2027</v>
      </c>
      <c r="H189" s="318">
        <f>F78</f>
        <v>352.8</v>
      </c>
      <c r="J189" s="202"/>
      <c r="K189" s="202"/>
      <c r="L189" s="202"/>
      <c r="M189" s="202"/>
    </row>
    <row r="190" spans="1:13" s="203" customFormat="1" ht="12.75" x14ac:dyDescent="0.2">
      <c r="A190" s="235"/>
      <c r="B190" s="321">
        <f t="shared" ca="1" si="13"/>
        <v>41987</v>
      </c>
      <c r="C190" s="316" t="str">
        <f t="shared" ref="C190:C198" si="21">B79</f>
        <v>Subvention</v>
      </c>
      <c r="D190" s="317" t="str">
        <f t="shared" si="20"/>
        <v>M</v>
      </c>
      <c r="E190" s="317" t="str">
        <f t="shared" si="20"/>
        <v>PM</v>
      </c>
      <c r="F190" s="317">
        <f t="shared" si="20"/>
        <v>4024</v>
      </c>
      <c r="G190" s="317">
        <f t="shared" si="20"/>
        <v>2027</v>
      </c>
      <c r="H190" s="318">
        <f t="shared" ref="H190:H198" si="22">F79</f>
        <v>-12.8</v>
      </c>
      <c r="J190" s="202"/>
      <c r="K190" s="202"/>
      <c r="L190" s="202"/>
      <c r="M190" s="202"/>
    </row>
    <row r="191" spans="1:13" s="203" customFormat="1" ht="12.75" x14ac:dyDescent="0.2">
      <c r="A191" s="235"/>
      <c r="B191" s="321">
        <f t="shared" ca="1" si="13"/>
        <v>41987</v>
      </c>
      <c r="C191" s="316" t="str">
        <f t="shared" si="21"/>
        <v>CSS</v>
      </c>
      <c r="D191" s="317" t="str">
        <f t="shared" si="20"/>
        <v>M</v>
      </c>
      <c r="E191" s="317" t="str">
        <f t="shared" si="20"/>
        <v>MED</v>
      </c>
      <c r="F191" s="317">
        <f t="shared" si="20"/>
        <v>4023</v>
      </c>
      <c r="G191" s="317">
        <f t="shared" si="20"/>
        <v>2027</v>
      </c>
      <c r="H191" s="318">
        <f t="shared" si="22"/>
        <v>0</v>
      </c>
      <c r="J191" s="202"/>
      <c r="K191" s="202"/>
      <c r="L191" s="202"/>
      <c r="M191" s="202"/>
    </row>
    <row r="192" spans="1:13" s="203" customFormat="1" ht="12.75" x14ac:dyDescent="0.2">
      <c r="A192" s="235"/>
      <c r="B192" s="321">
        <f t="shared" ca="1" si="13"/>
        <v>41987</v>
      </c>
      <c r="C192" s="316" t="str">
        <f t="shared" si="21"/>
        <v>CSS</v>
      </c>
      <c r="D192" s="317" t="str">
        <f t="shared" si="20"/>
        <v>M</v>
      </c>
      <c r="E192" s="317" t="str">
        <f t="shared" si="20"/>
        <v>MED</v>
      </c>
      <c r="F192" s="317">
        <f t="shared" si="20"/>
        <v>4023</v>
      </c>
      <c r="G192" s="317">
        <f t="shared" si="20"/>
        <v>2027</v>
      </c>
      <c r="H192" s="318">
        <f t="shared" si="22"/>
        <v>0</v>
      </c>
      <c r="J192" s="202"/>
      <c r="K192" s="202"/>
      <c r="L192" s="202"/>
      <c r="M192" s="202"/>
    </row>
    <row r="193" spans="1:14" s="203" customFormat="1" ht="12.75" x14ac:dyDescent="0.2">
      <c r="A193" s="235"/>
      <c r="B193" s="321">
        <f t="shared" ca="1" si="13"/>
        <v>41987</v>
      </c>
      <c r="C193" s="316" t="str">
        <f t="shared" si="21"/>
        <v>CSS</v>
      </c>
      <c r="D193" s="317" t="str">
        <f t="shared" si="20"/>
        <v>M</v>
      </c>
      <c r="E193" s="317" t="str">
        <f t="shared" si="20"/>
        <v>MED</v>
      </c>
      <c r="F193" s="317">
        <f t="shared" si="20"/>
        <v>4023</v>
      </c>
      <c r="G193" s="317">
        <f t="shared" si="20"/>
        <v>2027</v>
      </c>
      <c r="H193" s="318">
        <f t="shared" si="22"/>
        <v>26.8</v>
      </c>
      <c r="J193" s="202"/>
      <c r="K193" s="202"/>
      <c r="L193" s="202"/>
      <c r="M193" s="202"/>
    </row>
    <row r="194" spans="1:14" s="203" customFormat="1" ht="12.75" x14ac:dyDescent="0.2">
      <c r="A194" s="235"/>
      <c r="B194" s="321">
        <f t="shared" ca="1" si="13"/>
        <v>41987</v>
      </c>
      <c r="C194" s="316" t="str">
        <f t="shared" si="21"/>
        <v>CSS</v>
      </c>
      <c r="D194" s="317" t="str">
        <f t="shared" si="20"/>
        <v>M</v>
      </c>
      <c r="E194" s="317" t="str">
        <f t="shared" si="20"/>
        <v>MED</v>
      </c>
      <c r="F194" s="317">
        <f t="shared" si="20"/>
        <v>4023</v>
      </c>
      <c r="G194" s="317">
        <f t="shared" si="20"/>
        <v>2027</v>
      </c>
      <c r="H194" s="318">
        <f t="shared" si="22"/>
        <v>0</v>
      </c>
      <c r="J194" s="202"/>
      <c r="K194" s="202"/>
      <c r="L194" s="202"/>
      <c r="M194" s="202"/>
    </row>
    <row r="195" spans="1:14" s="203" customFormat="1" ht="12.75" x14ac:dyDescent="0.2">
      <c r="A195" s="235"/>
      <c r="B195" s="321">
        <f t="shared" ca="1" si="13"/>
        <v>41987</v>
      </c>
      <c r="C195" s="316" t="str">
        <f t="shared" si="21"/>
        <v>CSS</v>
      </c>
      <c r="D195" s="317" t="str">
        <f t="shared" si="20"/>
        <v>M</v>
      </c>
      <c r="E195" s="317" t="str">
        <f t="shared" si="20"/>
        <v>MED</v>
      </c>
      <c r="F195" s="317">
        <f t="shared" si="20"/>
        <v>4023</v>
      </c>
      <c r="G195" s="317">
        <f t="shared" si="20"/>
        <v>2027</v>
      </c>
      <c r="H195" s="318">
        <f t="shared" si="22"/>
        <v>0</v>
      </c>
      <c r="J195" s="202"/>
      <c r="K195" s="202"/>
      <c r="L195" s="202"/>
      <c r="M195" s="202"/>
    </row>
    <row r="196" spans="1:14" s="203" customFormat="1" ht="12.75" x14ac:dyDescent="0.2">
      <c r="A196" s="235"/>
      <c r="B196" s="321">
        <f t="shared" ca="1" si="13"/>
        <v>41987</v>
      </c>
      <c r="C196" s="316" t="str">
        <f t="shared" si="21"/>
        <v>Caisse compensation</v>
      </c>
      <c r="D196" s="317" t="str">
        <f t="shared" si="20"/>
        <v>M</v>
      </c>
      <c r="E196" s="317" t="str">
        <f t="shared" si="20"/>
        <v>MED</v>
      </c>
      <c r="F196" s="317">
        <f t="shared" si="20"/>
        <v>4023</v>
      </c>
      <c r="G196" s="317">
        <f t="shared" si="20"/>
        <v>2027</v>
      </c>
      <c r="H196" s="318">
        <f t="shared" si="22"/>
        <v>0</v>
      </c>
      <c r="J196" s="202"/>
      <c r="K196" s="202"/>
      <c r="L196" s="202"/>
      <c r="M196" s="202"/>
    </row>
    <row r="197" spans="1:14" s="203" customFormat="1" ht="12.75" x14ac:dyDescent="0.2">
      <c r="A197" s="235"/>
      <c r="B197" s="321">
        <f t="shared" ca="1" si="13"/>
        <v>41987</v>
      </c>
      <c r="C197" s="316">
        <f t="shared" si="21"/>
        <v>0</v>
      </c>
      <c r="D197" s="317" t="str">
        <f t="shared" si="20"/>
        <v>M</v>
      </c>
      <c r="E197" s="317" t="str">
        <f t="shared" si="20"/>
        <v>MED</v>
      </c>
      <c r="F197" s="317">
        <f t="shared" si="20"/>
        <v>4023</v>
      </c>
      <c r="G197" s="317">
        <f t="shared" si="20"/>
        <v>2027</v>
      </c>
      <c r="H197" s="318">
        <f t="shared" si="22"/>
        <v>0</v>
      </c>
      <c r="J197" s="202"/>
      <c r="K197" s="202"/>
      <c r="L197" s="202"/>
      <c r="M197" s="202"/>
    </row>
    <row r="198" spans="1:14" s="203" customFormat="1" ht="12.75" x14ac:dyDescent="0.2">
      <c r="A198" s="235"/>
      <c r="B198" s="321">
        <f t="shared" ca="1" si="13"/>
        <v>41987</v>
      </c>
      <c r="C198" s="316">
        <f t="shared" si="21"/>
        <v>0</v>
      </c>
      <c r="D198" s="317" t="str">
        <f t="shared" si="20"/>
        <v>M</v>
      </c>
      <c r="E198" s="317" t="str">
        <f t="shared" si="20"/>
        <v>MED</v>
      </c>
      <c r="F198" s="317">
        <f t="shared" si="20"/>
        <v>4023</v>
      </c>
      <c r="G198" s="317">
        <f t="shared" si="20"/>
        <v>2027</v>
      </c>
      <c r="H198" s="318">
        <f t="shared" si="22"/>
        <v>0</v>
      </c>
      <c r="J198" s="202"/>
      <c r="K198" s="202"/>
      <c r="L198" s="202"/>
      <c r="M198" s="202"/>
    </row>
    <row r="199" spans="1:14" s="203" customFormat="1" ht="12.75" x14ac:dyDescent="0.2">
      <c r="A199" s="235"/>
      <c r="B199" s="321">
        <f t="shared" ca="1" si="13"/>
        <v>41987</v>
      </c>
      <c r="C199" s="316" t="str">
        <f t="shared" ref="C199:C204" si="23">B90</f>
        <v>Frais de transports</v>
      </c>
      <c r="D199" s="317" t="str">
        <f>J90</f>
        <v>C</v>
      </c>
      <c r="E199" s="317" t="str">
        <f>K90</f>
        <v>CIR</v>
      </c>
      <c r="F199" s="317">
        <f>L90</f>
        <v>4010</v>
      </c>
      <c r="G199" s="317">
        <f t="shared" ref="G199:G204" si="24">M90</f>
        <v>2027</v>
      </c>
      <c r="H199" s="318">
        <f t="shared" ref="H199:H204" si="25">F90</f>
        <v>0</v>
      </c>
      <c r="J199" s="202"/>
      <c r="K199" s="202"/>
      <c r="L199" s="202"/>
      <c r="M199" s="202"/>
    </row>
    <row r="200" spans="1:14" s="203" customFormat="1" ht="12.75" x14ac:dyDescent="0.2">
      <c r="A200" s="235"/>
      <c r="B200" s="321">
        <f t="shared" ca="1" si="13"/>
        <v>41987</v>
      </c>
      <c r="C200" s="316" t="str">
        <f t="shared" si="23"/>
        <v>Repas pris hors du domicile</v>
      </c>
      <c r="D200" s="317" t="str">
        <f t="shared" ref="D200:F204" si="26">J91</f>
        <v>C</v>
      </c>
      <c r="E200" s="317" t="str">
        <f t="shared" si="26"/>
        <v>CIR</v>
      </c>
      <c r="F200" s="317">
        <f t="shared" si="26"/>
        <v>4010</v>
      </c>
      <c r="G200" s="317">
        <f t="shared" si="24"/>
        <v>2027</v>
      </c>
      <c r="H200" s="318">
        <f t="shared" si="25"/>
        <v>0</v>
      </c>
      <c r="J200" s="202"/>
      <c r="K200" s="202"/>
      <c r="L200" s="202"/>
      <c r="M200" s="202"/>
    </row>
    <row r="201" spans="1:14" s="203" customFormat="1" ht="12.75" x14ac:dyDescent="0.2">
      <c r="A201" s="235"/>
      <c r="B201" s="321">
        <f t="shared" ca="1" si="13"/>
        <v>41987</v>
      </c>
      <c r="C201" s="316">
        <f t="shared" si="23"/>
        <v>0</v>
      </c>
      <c r="D201" s="317" t="str">
        <f t="shared" si="26"/>
        <v>C</v>
      </c>
      <c r="E201" s="317" t="str">
        <f t="shared" si="26"/>
        <v>CIR</v>
      </c>
      <c r="F201" s="317">
        <f t="shared" si="26"/>
        <v>4010</v>
      </c>
      <c r="G201" s="317">
        <f t="shared" si="24"/>
        <v>2027</v>
      </c>
      <c r="H201" s="318">
        <f t="shared" si="25"/>
        <v>0</v>
      </c>
      <c r="J201" s="202"/>
      <c r="K201" s="202"/>
      <c r="L201" s="202"/>
      <c r="M201" s="202"/>
    </row>
    <row r="202" spans="1:14" s="203" customFormat="1" ht="12.75" x14ac:dyDescent="0.2">
      <c r="A202" s="235"/>
      <c r="B202" s="321">
        <f t="shared" ca="1" si="13"/>
        <v>41987</v>
      </c>
      <c r="C202" s="316">
        <f t="shared" si="23"/>
        <v>0</v>
      </c>
      <c r="D202" s="317" t="str">
        <f t="shared" si="26"/>
        <v>C</v>
      </c>
      <c r="E202" s="317" t="str">
        <f t="shared" si="26"/>
        <v>CIR</v>
      </c>
      <c r="F202" s="317">
        <f t="shared" si="26"/>
        <v>4010</v>
      </c>
      <c r="G202" s="317">
        <f t="shared" si="24"/>
        <v>2027</v>
      </c>
      <c r="H202" s="318">
        <f t="shared" si="25"/>
        <v>0</v>
      </c>
      <c r="J202" s="202"/>
      <c r="K202" s="202"/>
      <c r="L202" s="202"/>
      <c r="M202" s="202"/>
    </row>
    <row r="203" spans="1:14" s="203" customFormat="1" ht="12.75" x14ac:dyDescent="0.2">
      <c r="A203" s="235"/>
      <c r="B203" s="321">
        <f t="shared" ca="1" si="13"/>
        <v>41987</v>
      </c>
      <c r="C203" s="316">
        <f t="shared" si="23"/>
        <v>0</v>
      </c>
      <c r="D203" s="317">
        <f t="shared" si="26"/>
        <v>0</v>
      </c>
      <c r="E203" s="317">
        <f t="shared" si="26"/>
        <v>0</v>
      </c>
      <c r="F203" s="317">
        <f t="shared" si="26"/>
        <v>4010</v>
      </c>
      <c r="G203" s="317">
        <f t="shared" si="24"/>
        <v>2027</v>
      </c>
      <c r="H203" s="318">
        <f t="shared" si="25"/>
        <v>0</v>
      </c>
      <c r="J203" s="202"/>
      <c r="K203" s="202"/>
      <c r="L203" s="202"/>
      <c r="M203" s="202"/>
    </row>
    <row r="204" spans="1:14" s="203" customFormat="1" ht="12.75" x14ac:dyDescent="0.2">
      <c r="A204" s="235"/>
      <c r="B204" s="321">
        <f t="shared" ca="1" si="13"/>
        <v>41987</v>
      </c>
      <c r="C204" s="316">
        <f t="shared" si="23"/>
        <v>0</v>
      </c>
      <c r="D204" s="317">
        <f t="shared" si="26"/>
        <v>0</v>
      </c>
      <c r="E204" s="317">
        <f t="shared" si="26"/>
        <v>0</v>
      </c>
      <c r="F204" s="317">
        <f t="shared" si="26"/>
        <v>4010</v>
      </c>
      <c r="G204" s="317">
        <f t="shared" si="24"/>
        <v>2027</v>
      </c>
      <c r="H204" s="318">
        <f t="shared" si="25"/>
        <v>0</v>
      </c>
      <c r="J204" s="202"/>
      <c r="K204" s="202"/>
      <c r="L204" s="202"/>
      <c r="M204" s="202"/>
    </row>
    <row r="205" spans="1:14" s="203" customFormat="1" ht="12.75" x14ac:dyDescent="0.2">
      <c r="A205" s="235"/>
      <c r="B205" s="321">
        <f t="shared" ca="1" si="13"/>
        <v>41987</v>
      </c>
      <c r="C205" s="316" t="s">
        <v>259</v>
      </c>
      <c r="D205" s="317"/>
      <c r="E205" s="317"/>
      <c r="F205" s="317">
        <v>4010</v>
      </c>
      <c r="G205" s="317">
        <v>2027</v>
      </c>
      <c r="H205" s="318">
        <f>G105</f>
        <v>28</v>
      </c>
      <c r="J205" s="202"/>
      <c r="K205" s="202"/>
      <c r="L205" s="202"/>
      <c r="M205" s="202"/>
    </row>
    <row r="206" spans="1:14" s="203" customFormat="1" ht="12.75" x14ac:dyDescent="0.2">
      <c r="A206" s="235"/>
      <c r="B206" s="205"/>
      <c r="C206" s="151"/>
      <c r="D206" s="201"/>
      <c r="E206" s="201"/>
      <c r="F206" s="201"/>
      <c r="G206" s="201"/>
      <c r="H206" s="187"/>
      <c r="J206" s="202"/>
      <c r="K206" s="202"/>
      <c r="L206" s="202"/>
      <c r="M206" s="202"/>
    </row>
    <row r="207" spans="1:14" s="203" customFormat="1" ht="13.5" thickBot="1" x14ac:dyDescent="0.25">
      <c r="A207" s="229"/>
      <c r="B207" s="207"/>
      <c r="C207" s="202" t="s">
        <v>244</v>
      </c>
      <c r="D207" s="202" t="str">
        <f>C2</f>
        <v>mars</v>
      </c>
      <c r="E207" s="202"/>
      <c r="F207" s="202"/>
      <c r="G207" s="202"/>
      <c r="H207" s="206">
        <f ca="1">SUM(H167:H206)</f>
        <v>3171.5</v>
      </c>
      <c r="N207" s="204"/>
    </row>
    <row r="208" spans="1:14" s="203" customFormat="1" ht="13.5" thickTop="1" x14ac:dyDescent="0.2">
      <c r="A208" s="235"/>
      <c r="B208" s="207"/>
      <c r="J208" s="202"/>
      <c r="K208" s="202"/>
      <c r="L208" s="202"/>
      <c r="M208" s="202"/>
      <c r="N208" s="204"/>
    </row>
    <row r="209" spans="1:14" s="203" customFormat="1" ht="13.5" thickBot="1" x14ac:dyDescent="0.25">
      <c r="A209" s="229"/>
      <c r="B209" s="207"/>
      <c r="C209" s="202" t="s">
        <v>247</v>
      </c>
      <c r="D209" s="202"/>
      <c r="E209" s="202"/>
      <c r="F209" s="202"/>
      <c r="G209" s="202"/>
      <c r="H209" s="208" t="str">
        <f ca="1">IF(H162+H207+G103-H205-H205=-G101,"c'est tout bon!!","t'as fait tout faux !!!")</f>
        <v>c'est tout bon!!</v>
      </c>
      <c r="N209" s="204"/>
    </row>
    <row r="210" spans="1:14" s="203" customFormat="1" ht="14.25" thickTop="1" thickBot="1" x14ac:dyDescent="0.25">
      <c r="A210" s="235"/>
      <c r="B210" s="207"/>
      <c r="J210" s="202"/>
      <c r="K210" s="202"/>
      <c r="L210" s="202"/>
      <c r="M210" s="202"/>
    </row>
    <row r="211" spans="1:14" s="203" customFormat="1" ht="13.5" thickTop="1" x14ac:dyDescent="0.2">
      <c r="A211" s="235"/>
      <c r="B211" s="207"/>
      <c r="E211" s="209" t="s">
        <v>262</v>
      </c>
      <c r="F211" s="210"/>
      <c r="G211" s="211" t="s">
        <v>261</v>
      </c>
      <c r="H211" s="212" t="s">
        <v>260</v>
      </c>
      <c r="J211" s="202"/>
      <c r="K211" s="202"/>
      <c r="L211" s="202"/>
      <c r="M211" s="202"/>
    </row>
    <row r="212" spans="1:14" s="203" customFormat="1" ht="12.75" x14ac:dyDescent="0.2">
      <c r="A212" s="235"/>
      <c r="B212" s="207"/>
      <c r="E212" s="213" t="s">
        <v>33</v>
      </c>
      <c r="F212" s="214"/>
      <c r="G212" s="215"/>
      <c r="H212" s="216">
        <f ca="1">SUMIFS(H122:H205,D122:D205,E212)</f>
        <v>0</v>
      </c>
      <c r="J212" s="202"/>
      <c r="K212" s="202"/>
      <c r="L212" s="202"/>
      <c r="M212" s="202"/>
    </row>
    <row r="213" spans="1:14" s="203" customFormat="1" ht="12.75" x14ac:dyDescent="0.2">
      <c r="A213" s="235"/>
      <c r="B213" s="207"/>
      <c r="E213" s="213" t="s">
        <v>31</v>
      </c>
      <c r="F213" s="214"/>
      <c r="G213" s="215"/>
      <c r="H213" s="216">
        <f ca="1">SUMIFS(H123:H206,D123:D206,E213)</f>
        <v>1045</v>
      </c>
      <c r="J213" s="202"/>
      <c r="K213" s="202"/>
      <c r="L213" s="202"/>
      <c r="M213" s="202"/>
    </row>
    <row r="214" spans="1:14" s="203" customFormat="1" ht="12.75" x14ac:dyDescent="0.2">
      <c r="A214" s="235"/>
      <c r="B214" s="207"/>
      <c r="E214" s="213" t="s">
        <v>39</v>
      </c>
      <c r="F214" s="214"/>
      <c r="G214" s="215"/>
      <c r="H214" s="216">
        <f ca="1">SUMIFS(H122:H205,D122:D205,E214)</f>
        <v>995</v>
      </c>
      <c r="J214" s="202"/>
      <c r="K214" s="202"/>
      <c r="L214" s="202"/>
      <c r="M214" s="202"/>
    </row>
    <row r="215" spans="1:14" s="203" customFormat="1" ht="12.75" x14ac:dyDescent="0.2">
      <c r="A215" s="235"/>
      <c r="B215" s="207"/>
      <c r="E215" s="213" t="s">
        <v>37</v>
      </c>
      <c r="F215" s="214"/>
      <c r="G215" s="215"/>
      <c r="H215" s="216">
        <f ca="1">SUMIFS(H122:H205,D122:D205,E215)</f>
        <v>132.6</v>
      </c>
      <c r="J215" s="202"/>
      <c r="K215" s="202"/>
      <c r="L215" s="202"/>
      <c r="M215" s="202"/>
    </row>
    <row r="216" spans="1:14" s="203" customFormat="1" ht="12.75" x14ac:dyDescent="0.2">
      <c r="A216" s="235"/>
      <c r="B216" s="207"/>
      <c r="E216" s="213" t="s">
        <v>35</v>
      </c>
      <c r="F216" s="214"/>
      <c r="G216" s="215"/>
      <c r="H216" s="216">
        <f ca="1">SUMIFS(H122:H205,D122:D205,E216)</f>
        <v>366.8</v>
      </c>
      <c r="J216" s="202"/>
      <c r="K216" s="202"/>
      <c r="L216" s="202"/>
      <c r="M216" s="202"/>
    </row>
    <row r="217" spans="1:14" s="203" customFormat="1" ht="13.5" thickBot="1" x14ac:dyDescent="0.25">
      <c r="A217" s="235"/>
      <c r="B217" s="207"/>
      <c r="E217" s="213" t="s">
        <v>258</v>
      </c>
      <c r="F217" s="214"/>
      <c r="G217" s="217">
        <f ca="1">SUMIFS(H122:H160,I122:I160,E217)</f>
        <v>-1487.4</v>
      </c>
      <c r="H217" s="218"/>
      <c r="J217" s="202"/>
      <c r="K217" s="202"/>
      <c r="L217" s="202">
        <f>SUMIFS(H122:H161,I122:I161,I159)</f>
        <v>0</v>
      </c>
      <c r="M217" s="202"/>
    </row>
    <row r="218" spans="1:14" s="203" customFormat="1" ht="14.25" thickTop="1" thickBot="1" x14ac:dyDescent="0.25">
      <c r="A218" s="235"/>
      <c r="B218" s="207"/>
      <c r="E218" s="219"/>
      <c r="F218" s="220"/>
      <c r="G218" s="217">
        <f ca="1">SUM(G212:G217)</f>
        <v>-1487.4</v>
      </c>
      <c r="H218" s="218">
        <f ca="1">SUM(H212:H217)</f>
        <v>2539.4</v>
      </c>
      <c r="J218" s="202"/>
      <c r="K218" s="202"/>
      <c r="L218" s="202"/>
      <c r="M218" s="202"/>
    </row>
    <row r="219" spans="1:14" ht="15.75" thickTop="1" x14ac:dyDescent="0.25">
      <c r="A219" s="235"/>
      <c r="B219" s="35"/>
      <c r="G219" s="25"/>
      <c r="J219" s="1"/>
      <c r="K219" s="1"/>
      <c r="L219" s="1"/>
      <c r="M219" s="1"/>
    </row>
    <row r="220" spans="1:14" x14ac:dyDescent="0.25">
      <c r="A220" s="235"/>
      <c r="B220" s="35"/>
      <c r="G220" s="25"/>
      <c r="J220" s="1"/>
      <c r="K220" s="1"/>
      <c r="L220" s="1"/>
      <c r="M220" s="1"/>
    </row>
    <row r="221" spans="1:14" x14ac:dyDescent="0.25">
      <c r="A221" s="235"/>
      <c r="B221" s="35"/>
      <c r="J221" s="1"/>
      <c r="K221" s="1"/>
      <c r="L221" s="1"/>
      <c r="M221" s="1"/>
    </row>
    <row r="222" spans="1:14" x14ac:dyDescent="0.25">
      <c r="A222" s="235"/>
      <c r="B222" s="35"/>
      <c r="J222" s="1"/>
      <c r="K222" s="1"/>
      <c r="L222" s="1"/>
      <c r="M222" s="1"/>
    </row>
    <row r="223" spans="1:14" x14ac:dyDescent="0.25">
      <c r="A223" s="235"/>
      <c r="B223" s="35"/>
      <c r="J223" s="1"/>
      <c r="K223" s="1"/>
      <c r="L223" s="1"/>
      <c r="M223" s="1"/>
    </row>
    <row r="224" spans="1:14" x14ac:dyDescent="0.25">
      <c r="A224" s="235"/>
      <c r="B224" s="35"/>
      <c r="J224" s="1"/>
      <c r="K224" s="1"/>
      <c r="L224" s="1"/>
      <c r="M224" s="1"/>
    </row>
  </sheetData>
  <sheetProtection sheet="1" formatCells="0" formatColumns="0" formatRows="0" insertColumns="0" insertRows="0" insertHyperlinks="0" deleteColumns="0" deleteRows="0" sort="0" autoFilter="0" pivotTables="0"/>
  <protectedRanges>
    <protectedRange sqref="N31:N32" name="Plage1_3"/>
    <protectedRange sqref="B65:F69" name="Plage2_3"/>
    <protectedRange sqref="B92:F95" name="Plage3_3"/>
    <protectedRange sqref="G105:G106" name="Plage4_3"/>
  </protectedRanges>
  <mergeCells count="13">
    <mergeCell ref="E119:H119"/>
    <mergeCell ref="B120:D120"/>
    <mergeCell ref="E120:H120"/>
    <mergeCell ref="B164:C164"/>
    <mergeCell ref="E164:H164"/>
    <mergeCell ref="B165:D165"/>
    <mergeCell ref="E165:H165"/>
    <mergeCell ref="B1:H1"/>
    <mergeCell ref="B27:D27"/>
    <mergeCell ref="B30:D30"/>
    <mergeCell ref="B31:D31"/>
    <mergeCell ref="B32:D32"/>
    <mergeCell ref="B35:H35"/>
  </mergeCells>
  <dataValidations count="2">
    <dataValidation type="list" allowBlank="1" showInputMessage="1" showErrorMessage="1" sqref="B27:B28">
      <formula1>Ressources</formula1>
    </dataValidation>
    <dataValidation allowBlank="1" showInputMessage="1" showErrorMessage="1" promptTitle="renevus" sqref="B13:B21"/>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8433" r:id="rId3" name="Button 1">
              <controlPr defaultSize="0" print="0" autoFill="0" autoPict="0" macro="[0]!ImpressionSélective">
                <anchor moveWithCells="1">
                  <from>
                    <xdr:col>9</xdr:col>
                    <xdr:colOff>0</xdr:colOff>
                    <xdr:row>0</xdr:row>
                    <xdr:rowOff>152400</xdr:rowOff>
                  </from>
                  <to>
                    <xdr:col>17</xdr:col>
                    <xdr:colOff>142875</xdr:colOff>
                    <xdr:row>1</xdr:row>
                    <xdr:rowOff>123825</xdr:rowOff>
                  </to>
                </anchor>
              </controlPr>
            </control>
          </mc:Choice>
        </mc:AlternateContent>
        <mc:AlternateContent xmlns:mc="http://schemas.openxmlformats.org/markup-compatibility/2006">
          <mc:Choice Requires="x14">
            <control shapeId="18434" r:id="rId4" name="Button 2">
              <controlPr defaultSize="0" print="0" autoFill="0" autoPict="0" macro="[0]!ImpresSélect">
                <anchor moveWithCells="1">
                  <from>
                    <xdr:col>9</xdr:col>
                    <xdr:colOff>19050</xdr:colOff>
                    <xdr:row>3</xdr:row>
                    <xdr:rowOff>9525</xdr:rowOff>
                  </from>
                  <to>
                    <xdr:col>17</xdr:col>
                    <xdr:colOff>85725</xdr:colOff>
                    <xdr:row>4</xdr:row>
                    <xdr:rowOff>123825</xdr:rowOff>
                  </to>
                </anchor>
              </controlPr>
            </control>
          </mc:Choice>
        </mc:AlternateContent>
        <mc:AlternateContent xmlns:mc="http://schemas.openxmlformats.org/markup-compatibility/2006">
          <mc:Choice Requires="x14">
            <control shapeId="18435" r:id="rId5" name="Button 3">
              <controlPr defaultSize="0" print="0" autoFill="0" autoPict="0" macro="[0]!ImpresSélect">
                <anchor moveWithCells="1">
                  <from>
                    <xdr:col>9</xdr:col>
                    <xdr:colOff>19050</xdr:colOff>
                    <xdr:row>3</xdr:row>
                    <xdr:rowOff>9525</xdr:rowOff>
                  </from>
                  <to>
                    <xdr:col>17</xdr:col>
                    <xdr:colOff>133350</xdr:colOff>
                    <xdr:row>4</xdr:row>
                    <xdr:rowOff>123825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87"/>
  <sheetViews>
    <sheetView tabSelected="1" topLeftCell="A21" workbookViewId="0">
      <selection activeCell="F31" sqref="F31"/>
    </sheetView>
  </sheetViews>
  <sheetFormatPr baseColWidth="10" defaultRowHeight="15" x14ac:dyDescent="0.25"/>
  <cols>
    <col min="1" max="1" width="37.42578125" customWidth="1"/>
    <col min="3" max="3" width="12.28515625" customWidth="1"/>
    <col min="8" max="8" width="12.28515625" customWidth="1"/>
  </cols>
  <sheetData>
    <row r="1" spans="1:13" ht="18.75" x14ac:dyDescent="0.3">
      <c r="A1" t="s">
        <v>6</v>
      </c>
      <c r="B1" s="34">
        <v>2015</v>
      </c>
      <c r="H1" s="36"/>
      <c r="I1" s="36"/>
    </row>
    <row r="2" spans="1:13" s="58" customFormat="1" ht="30" x14ac:dyDescent="0.25">
      <c r="B2" s="16" t="s">
        <v>143</v>
      </c>
      <c r="C2" s="16"/>
      <c r="D2" s="16" t="s">
        <v>149</v>
      </c>
      <c r="E2" s="16" t="s">
        <v>144</v>
      </c>
      <c r="F2" s="16" t="s">
        <v>145</v>
      </c>
      <c r="G2" s="16" t="s">
        <v>146</v>
      </c>
      <c r="H2" s="49" t="s">
        <v>147</v>
      </c>
      <c r="I2" s="49" t="s">
        <v>148</v>
      </c>
      <c r="J2" s="16" t="s">
        <v>162</v>
      </c>
      <c r="K2" s="16" t="s">
        <v>163</v>
      </c>
      <c r="L2" s="16" t="s">
        <v>164</v>
      </c>
      <c r="M2" s="16" t="s">
        <v>165</v>
      </c>
    </row>
    <row r="3" spans="1:13" ht="18.75" x14ac:dyDescent="0.3">
      <c r="A3" t="s">
        <v>10</v>
      </c>
      <c r="B3" s="34" t="s">
        <v>142</v>
      </c>
      <c r="D3" s="34"/>
      <c r="E3" s="34" t="s">
        <v>161</v>
      </c>
      <c r="F3" s="34" t="s">
        <v>150</v>
      </c>
      <c r="G3" s="34"/>
      <c r="H3" s="39"/>
      <c r="I3" s="101"/>
      <c r="J3" s="34" t="s">
        <v>282</v>
      </c>
      <c r="K3" s="34"/>
      <c r="L3" s="34"/>
      <c r="M3" s="34"/>
    </row>
    <row r="4" spans="1:13" ht="18.75" x14ac:dyDescent="0.3">
      <c r="A4" t="s">
        <v>11</v>
      </c>
      <c r="B4" s="41">
        <v>977</v>
      </c>
      <c r="D4" s="34"/>
      <c r="E4" s="34"/>
      <c r="F4" s="34"/>
      <c r="G4" s="34"/>
      <c r="H4" s="39"/>
      <c r="I4" s="101"/>
      <c r="J4" s="34"/>
      <c r="K4" s="34"/>
      <c r="L4" s="34"/>
      <c r="M4" s="34"/>
    </row>
    <row r="5" spans="1:13" ht="18.75" x14ac:dyDescent="0.3">
      <c r="A5" t="s">
        <v>24</v>
      </c>
      <c r="B5" s="34" t="s">
        <v>96</v>
      </c>
      <c r="D5" s="34"/>
      <c r="E5" s="34"/>
      <c r="F5" s="34"/>
      <c r="G5" s="34"/>
      <c r="H5" s="39"/>
      <c r="I5" s="101"/>
      <c r="J5" s="34"/>
      <c r="K5" s="34"/>
      <c r="L5" s="34"/>
      <c r="M5" s="34"/>
    </row>
    <row r="6" spans="1:13" ht="18.75" x14ac:dyDescent="0.3">
      <c r="A6" t="s">
        <v>12</v>
      </c>
      <c r="B6" s="40">
        <v>-402.85</v>
      </c>
      <c r="D6" s="34"/>
      <c r="E6" s="34"/>
      <c r="F6" s="34"/>
      <c r="G6" s="34"/>
      <c r="H6" s="39"/>
      <c r="I6" s="101"/>
      <c r="J6" s="34"/>
      <c r="K6" s="34"/>
      <c r="L6" s="34"/>
      <c r="M6" s="34"/>
    </row>
    <row r="7" spans="1:13" ht="18.75" x14ac:dyDescent="0.3">
      <c r="A7" t="s">
        <v>13</v>
      </c>
      <c r="B7" s="40">
        <v>-11213.4</v>
      </c>
      <c r="D7" s="34"/>
      <c r="E7" s="34"/>
      <c r="F7" s="34"/>
      <c r="G7" s="34"/>
      <c r="H7" s="39"/>
      <c r="I7" s="101"/>
      <c r="J7" s="34"/>
      <c r="K7" s="34"/>
      <c r="L7" s="34"/>
      <c r="M7" s="34"/>
    </row>
    <row r="8" spans="1:13" ht="18.75" x14ac:dyDescent="0.3">
      <c r="A8" t="s">
        <v>16</v>
      </c>
      <c r="B8" s="37">
        <v>24682</v>
      </c>
      <c r="D8" s="34">
        <v>0</v>
      </c>
      <c r="E8" s="37">
        <v>35071</v>
      </c>
      <c r="F8" s="37">
        <v>35628</v>
      </c>
      <c r="G8" s="34"/>
      <c r="H8" s="39"/>
      <c r="I8" s="101"/>
      <c r="J8" s="37">
        <v>20200</v>
      </c>
      <c r="K8" s="34"/>
      <c r="L8" s="34"/>
      <c r="M8" s="34"/>
    </row>
    <row r="9" spans="1:13" ht="18.75" x14ac:dyDescent="0.3">
      <c r="A9" t="s">
        <v>19</v>
      </c>
      <c r="B9" s="34" t="s">
        <v>97</v>
      </c>
      <c r="D9" s="34"/>
      <c r="E9" s="34"/>
      <c r="F9" s="104"/>
      <c r="G9" s="34"/>
      <c r="H9" s="39"/>
      <c r="I9" s="101"/>
      <c r="J9" s="34"/>
      <c r="K9" s="34"/>
      <c r="L9" s="34"/>
      <c r="M9" s="34"/>
    </row>
    <row r="10" spans="1:13" ht="18.75" x14ac:dyDescent="0.3">
      <c r="A10" t="s">
        <v>20</v>
      </c>
      <c r="B10" s="34" t="s">
        <v>98</v>
      </c>
      <c r="D10" s="34"/>
      <c r="E10" s="34"/>
      <c r="F10" s="34"/>
      <c r="G10" s="34"/>
      <c r="H10" s="39"/>
      <c r="I10" s="101"/>
      <c r="J10" s="34"/>
      <c r="K10" s="34"/>
      <c r="L10" s="34"/>
      <c r="M10" s="34"/>
    </row>
    <row r="11" spans="1:13" ht="18.75" x14ac:dyDescent="0.3">
      <c r="A11" t="s">
        <v>21</v>
      </c>
      <c r="B11" s="34" t="s">
        <v>99</v>
      </c>
      <c r="D11" s="34"/>
      <c r="E11" s="34"/>
      <c r="F11" s="34"/>
      <c r="G11" s="34"/>
      <c r="H11" s="39"/>
      <c r="I11" s="101"/>
      <c r="J11" s="34"/>
      <c r="K11" s="34"/>
      <c r="L11" s="34"/>
      <c r="M11" s="34"/>
    </row>
    <row r="12" spans="1:13" ht="18.75" x14ac:dyDescent="0.3">
      <c r="A12" t="s">
        <v>25</v>
      </c>
      <c r="B12" s="34">
        <v>2231</v>
      </c>
      <c r="D12" s="34"/>
      <c r="E12" s="34"/>
      <c r="F12" s="34"/>
      <c r="G12" s="34"/>
      <c r="H12" s="39"/>
      <c r="I12" s="101"/>
      <c r="J12" s="34"/>
      <c r="K12" s="34"/>
      <c r="L12" s="34"/>
      <c r="M12" s="34"/>
    </row>
    <row r="13" spans="1:13" x14ac:dyDescent="0.25">
      <c r="A13" t="s">
        <v>26</v>
      </c>
      <c r="B13" s="34">
        <v>2231</v>
      </c>
      <c r="D13" s="34"/>
      <c r="E13" s="34"/>
      <c r="F13" s="34"/>
      <c r="G13" s="34"/>
      <c r="H13" s="34"/>
      <c r="I13" s="34"/>
      <c r="J13" s="34"/>
      <c r="K13" s="34"/>
      <c r="L13" s="34"/>
      <c r="M13" s="34"/>
    </row>
    <row r="14" spans="1:13" x14ac:dyDescent="0.25">
      <c r="A14" t="s">
        <v>14</v>
      </c>
      <c r="B14" s="34" t="s">
        <v>104</v>
      </c>
      <c r="C14" s="34"/>
      <c r="D14" s="34" t="s">
        <v>105</v>
      </c>
      <c r="E14" s="100"/>
    </row>
    <row r="15" spans="1:13" x14ac:dyDescent="0.25">
      <c r="A15" t="s">
        <v>18</v>
      </c>
      <c r="B15" s="34" t="s">
        <v>108</v>
      </c>
      <c r="E15" s="100"/>
    </row>
    <row r="16" spans="1:13" ht="19.5" thickBot="1" x14ac:dyDescent="0.35">
      <c r="A16" t="s">
        <v>17</v>
      </c>
      <c r="B16" s="34">
        <v>2014</v>
      </c>
      <c r="H16" s="8"/>
      <c r="I16" s="36"/>
    </row>
    <row r="17" spans="1:14" s="58" customFormat="1" ht="36.75" thickTop="1" x14ac:dyDescent="0.25">
      <c r="A17" s="109" t="s">
        <v>103</v>
      </c>
      <c r="B17" s="110" t="s">
        <v>176</v>
      </c>
      <c r="C17" s="110" t="s">
        <v>178</v>
      </c>
      <c r="D17" s="114" t="s">
        <v>177</v>
      </c>
      <c r="E17" s="111"/>
      <c r="F17" s="112"/>
      <c r="G17" s="112"/>
      <c r="H17" s="112"/>
      <c r="I17" s="112"/>
      <c r="J17" s="112"/>
      <c r="K17" s="112"/>
      <c r="L17" s="112"/>
      <c r="M17" s="112"/>
      <c r="N17" s="113"/>
    </row>
    <row r="18" spans="1:14" x14ac:dyDescent="0.25">
      <c r="A18" s="115" t="s">
        <v>133</v>
      </c>
      <c r="B18" s="39" t="s">
        <v>100</v>
      </c>
      <c r="C18" s="39">
        <v>4</v>
      </c>
      <c r="D18" s="116">
        <v>2</v>
      </c>
      <c r="E18" s="8"/>
      <c r="F18" s="8"/>
      <c r="G18" s="8"/>
      <c r="H18" s="8"/>
      <c r="I18" s="8"/>
      <c r="J18" s="8"/>
      <c r="K18" s="8"/>
      <c r="L18" s="8"/>
      <c r="M18" s="8"/>
      <c r="N18" s="8"/>
    </row>
    <row r="19" spans="1:14" x14ac:dyDescent="0.25">
      <c r="A19" s="115" t="s">
        <v>135</v>
      </c>
      <c r="B19" s="97" t="str">
        <f>B18</f>
        <v>veuve</v>
      </c>
      <c r="C19" s="8">
        <f>C18</f>
        <v>4</v>
      </c>
      <c r="D19" s="29">
        <f>D18</f>
        <v>2</v>
      </c>
      <c r="E19" s="8"/>
      <c r="F19" s="8"/>
      <c r="G19" s="8"/>
      <c r="H19" s="8"/>
      <c r="I19" s="8"/>
      <c r="J19" s="8"/>
      <c r="K19" s="8"/>
      <c r="L19" s="8"/>
      <c r="M19" s="8"/>
    </row>
    <row r="20" spans="1:14" x14ac:dyDescent="0.25">
      <c r="A20" s="115" t="s">
        <v>166</v>
      </c>
      <c r="B20" s="97" t="str">
        <f t="shared" ref="B20:B29" si="0">B19</f>
        <v>veuve</v>
      </c>
      <c r="C20" s="8">
        <f t="shared" ref="C20:C29" si="1">C19</f>
        <v>4</v>
      </c>
      <c r="D20" s="29">
        <f t="shared" ref="D20:D29" si="2">D19</f>
        <v>2</v>
      </c>
      <c r="E20" s="8"/>
      <c r="F20" s="8"/>
      <c r="G20" s="8"/>
      <c r="H20" s="8"/>
      <c r="I20" s="8"/>
      <c r="J20" s="8"/>
      <c r="K20" s="8"/>
      <c r="L20" s="8"/>
      <c r="M20" s="8"/>
    </row>
    <row r="21" spans="1:14" x14ac:dyDescent="0.25">
      <c r="A21" s="4" t="s">
        <v>167</v>
      </c>
      <c r="B21" s="97" t="str">
        <f t="shared" si="0"/>
        <v>veuve</v>
      </c>
      <c r="C21" s="8">
        <f t="shared" si="1"/>
        <v>4</v>
      </c>
      <c r="D21" s="29">
        <f t="shared" si="2"/>
        <v>2</v>
      </c>
      <c r="E21" s="8"/>
      <c r="F21" s="8"/>
      <c r="G21" s="8"/>
      <c r="H21" s="8"/>
      <c r="I21" s="8"/>
      <c r="J21" s="8"/>
      <c r="K21" s="8"/>
      <c r="L21" s="8"/>
      <c r="M21" s="8"/>
    </row>
    <row r="22" spans="1:14" x14ac:dyDescent="0.25">
      <c r="A22" s="4" t="s">
        <v>134</v>
      </c>
      <c r="B22" s="97" t="s">
        <v>243</v>
      </c>
      <c r="C22" s="8">
        <f t="shared" si="1"/>
        <v>4</v>
      </c>
      <c r="D22" s="29">
        <f t="shared" si="2"/>
        <v>2</v>
      </c>
      <c r="E22" s="8"/>
      <c r="F22" s="8"/>
      <c r="G22" s="8"/>
      <c r="H22" s="8"/>
      <c r="I22" s="8"/>
      <c r="J22" s="8"/>
      <c r="K22" s="8"/>
      <c r="L22" s="8"/>
      <c r="M22" s="8"/>
    </row>
    <row r="23" spans="1:14" x14ac:dyDescent="0.25">
      <c r="A23" s="4" t="s">
        <v>168</v>
      </c>
      <c r="B23" s="97" t="str">
        <f t="shared" si="0"/>
        <v>marié</v>
      </c>
      <c r="C23" s="8">
        <f t="shared" si="1"/>
        <v>4</v>
      </c>
      <c r="D23" s="29">
        <f t="shared" si="2"/>
        <v>2</v>
      </c>
      <c r="E23" s="8"/>
      <c r="F23" s="8"/>
      <c r="G23" s="8"/>
      <c r="H23" s="8"/>
      <c r="I23" s="8"/>
      <c r="J23" s="8"/>
      <c r="K23" s="8"/>
      <c r="L23" s="8"/>
      <c r="M23" s="8"/>
    </row>
    <row r="24" spans="1:14" x14ac:dyDescent="0.25">
      <c r="A24" s="4" t="s">
        <v>169</v>
      </c>
      <c r="B24" s="97" t="str">
        <f t="shared" si="0"/>
        <v>marié</v>
      </c>
      <c r="C24" s="8">
        <f t="shared" si="1"/>
        <v>4</v>
      </c>
      <c r="D24" s="29">
        <f t="shared" si="2"/>
        <v>2</v>
      </c>
      <c r="E24" s="8"/>
      <c r="F24" s="8"/>
      <c r="G24" s="8"/>
      <c r="H24" s="8"/>
      <c r="I24" s="8"/>
      <c r="J24" s="8"/>
      <c r="K24" s="8"/>
      <c r="L24" s="8"/>
      <c r="M24" s="8"/>
    </row>
    <row r="25" spans="1:14" x14ac:dyDescent="0.25">
      <c r="A25" s="4" t="s">
        <v>170</v>
      </c>
      <c r="B25" s="97" t="str">
        <f t="shared" si="0"/>
        <v>marié</v>
      </c>
      <c r="C25" s="8">
        <f t="shared" si="1"/>
        <v>4</v>
      </c>
      <c r="D25" s="29">
        <f t="shared" si="2"/>
        <v>2</v>
      </c>
      <c r="E25" s="8"/>
      <c r="F25" s="8"/>
      <c r="G25" s="8"/>
      <c r="H25" s="8"/>
      <c r="I25" s="8"/>
      <c r="J25" s="8"/>
      <c r="K25" s="8"/>
      <c r="L25" s="8"/>
      <c r="M25" s="8"/>
    </row>
    <row r="26" spans="1:14" x14ac:dyDescent="0.25">
      <c r="A26" s="4" t="s">
        <v>171</v>
      </c>
      <c r="B26" s="97" t="str">
        <f t="shared" si="0"/>
        <v>marié</v>
      </c>
      <c r="C26" s="8">
        <f t="shared" si="1"/>
        <v>4</v>
      </c>
      <c r="D26" s="29">
        <f t="shared" si="2"/>
        <v>2</v>
      </c>
      <c r="E26" s="8"/>
      <c r="F26" s="8"/>
      <c r="G26" s="8"/>
      <c r="H26" s="8"/>
      <c r="I26" s="8"/>
      <c r="J26" s="8"/>
      <c r="K26" s="8"/>
      <c r="L26" s="8"/>
      <c r="M26" s="8"/>
    </row>
    <row r="27" spans="1:14" x14ac:dyDescent="0.25">
      <c r="A27" s="4" t="s">
        <v>172</v>
      </c>
      <c r="B27" s="97" t="str">
        <f t="shared" si="0"/>
        <v>marié</v>
      </c>
      <c r="C27" s="8">
        <f t="shared" si="1"/>
        <v>4</v>
      </c>
      <c r="D27" s="29">
        <f t="shared" si="2"/>
        <v>2</v>
      </c>
      <c r="E27" s="8"/>
      <c r="F27" s="8"/>
      <c r="G27" s="8"/>
      <c r="H27" s="8"/>
      <c r="I27" s="8"/>
      <c r="J27" s="8"/>
      <c r="K27" s="8"/>
      <c r="L27" s="8"/>
      <c r="M27" s="8"/>
    </row>
    <row r="28" spans="1:14" x14ac:dyDescent="0.25">
      <c r="A28" s="4" t="s">
        <v>173</v>
      </c>
      <c r="B28" s="97" t="str">
        <f t="shared" si="0"/>
        <v>marié</v>
      </c>
      <c r="C28" s="8">
        <f t="shared" si="1"/>
        <v>4</v>
      </c>
      <c r="D28" s="29">
        <f t="shared" si="2"/>
        <v>2</v>
      </c>
      <c r="E28" s="8"/>
      <c r="F28" s="8"/>
      <c r="G28" s="8"/>
      <c r="H28" s="8"/>
      <c r="I28" s="8"/>
      <c r="J28" s="8"/>
      <c r="K28" s="8"/>
      <c r="L28" s="8"/>
      <c r="M28" s="8"/>
    </row>
    <row r="29" spans="1:14" ht="15.75" thickBot="1" x14ac:dyDescent="0.3">
      <c r="A29" s="6" t="s">
        <v>174</v>
      </c>
      <c r="B29" s="117" t="str">
        <f t="shared" si="0"/>
        <v>marié</v>
      </c>
      <c r="C29" s="30">
        <f t="shared" si="1"/>
        <v>4</v>
      </c>
      <c r="D29" s="31">
        <f t="shared" si="2"/>
        <v>2</v>
      </c>
      <c r="E29" s="8"/>
      <c r="F29" s="8"/>
      <c r="G29" s="8"/>
      <c r="H29" s="8"/>
      <c r="I29" s="8"/>
      <c r="J29" s="8"/>
      <c r="K29" s="8"/>
      <c r="L29" s="8"/>
      <c r="M29" s="8"/>
    </row>
    <row r="30" spans="1:14" ht="15.75" thickTop="1" x14ac:dyDescent="0.25">
      <c r="A30" s="8"/>
      <c r="B30" s="97"/>
      <c r="C30" s="8"/>
      <c r="D30" s="8"/>
      <c r="E30" s="8"/>
      <c r="F30" s="8"/>
      <c r="G30" s="8"/>
      <c r="H30" s="8"/>
      <c r="I30" s="8"/>
      <c r="J30" s="8"/>
      <c r="K30" s="8"/>
      <c r="L30" s="8"/>
      <c r="M30" s="8"/>
    </row>
    <row r="31" spans="1:14" ht="19.5" thickBot="1" x14ac:dyDescent="0.35">
      <c r="B31" s="38"/>
      <c r="H31" s="8"/>
      <c r="I31" s="36"/>
    </row>
    <row r="32" spans="1:14" ht="19.5" thickTop="1" x14ac:dyDescent="0.3">
      <c r="A32" s="2" t="s">
        <v>124</v>
      </c>
      <c r="B32" s="89" t="s">
        <v>125</v>
      </c>
      <c r="C32" s="3"/>
      <c r="H32" s="8"/>
      <c r="I32" s="36"/>
    </row>
    <row r="33" spans="1:9" ht="39" thickBot="1" x14ac:dyDescent="0.35">
      <c r="A33" s="80" t="s">
        <v>127</v>
      </c>
      <c r="B33" s="81" t="s">
        <v>128</v>
      </c>
      <c r="C33" s="82" t="s">
        <v>129</v>
      </c>
      <c r="E33" s="8"/>
      <c r="F33" s="8"/>
      <c r="H33" s="8"/>
      <c r="I33" s="36"/>
    </row>
    <row r="34" spans="1:9" ht="19.5" thickTop="1" x14ac:dyDescent="0.3">
      <c r="A34" s="83">
        <v>1</v>
      </c>
      <c r="B34" s="84">
        <v>977</v>
      </c>
      <c r="C34" s="85">
        <f>B34/A34</f>
        <v>977</v>
      </c>
      <c r="E34" s="8"/>
      <c r="F34" s="8"/>
      <c r="H34" s="2" t="s">
        <v>29</v>
      </c>
      <c r="I34" s="3"/>
    </row>
    <row r="35" spans="1:9" ht="18.75" x14ac:dyDescent="0.3">
      <c r="A35" s="83">
        <v>2</v>
      </c>
      <c r="B35" s="84">
        <v>1495</v>
      </c>
      <c r="C35" s="85">
        <f t="shared" ref="C35:C41" si="3">B35/A35</f>
        <v>747.5</v>
      </c>
      <c r="H35" s="4" t="s">
        <v>30</v>
      </c>
      <c r="I35" s="5" t="s">
        <v>31</v>
      </c>
    </row>
    <row r="36" spans="1:9" ht="18.75" x14ac:dyDescent="0.3">
      <c r="A36" s="83">
        <v>3</v>
      </c>
      <c r="B36" s="84">
        <v>1818</v>
      </c>
      <c r="C36" s="85">
        <f t="shared" si="3"/>
        <v>606</v>
      </c>
      <c r="H36" s="4" t="s">
        <v>32</v>
      </c>
      <c r="I36" s="5" t="s">
        <v>33</v>
      </c>
    </row>
    <row r="37" spans="1:9" ht="18.75" x14ac:dyDescent="0.3">
      <c r="A37" s="83">
        <v>4</v>
      </c>
      <c r="B37" s="84">
        <v>2090</v>
      </c>
      <c r="C37" s="85">
        <f t="shared" si="3"/>
        <v>522.5</v>
      </c>
      <c r="H37" s="4" t="s">
        <v>40</v>
      </c>
      <c r="I37" s="5" t="s">
        <v>35</v>
      </c>
    </row>
    <row r="38" spans="1:9" ht="18.75" x14ac:dyDescent="0.3">
      <c r="A38" s="83">
        <v>5</v>
      </c>
      <c r="B38" s="84">
        <v>2364</v>
      </c>
      <c r="C38" s="85">
        <f t="shared" si="3"/>
        <v>472.8</v>
      </c>
      <c r="H38" s="4" t="s">
        <v>42</v>
      </c>
      <c r="I38" s="5" t="s">
        <v>35</v>
      </c>
    </row>
    <row r="39" spans="1:9" ht="18.75" x14ac:dyDescent="0.3">
      <c r="A39" s="83">
        <v>6</v>
      </c>
      <c r="B39" s="84">
        <v>2638</v>
      </c>
      <c r="C39" s="85">
        <f t="shared" si="3"/>
        <v>439.66666666666669</v>
      </c>
      <c r="H39" s="4" t="s">
        <v>36</v>
      </c>
      <c r="I39" s="5" t="s">
        <v>37</v>
      </c>
    </row>
    <row r="40" spans="1:9" ht="19.5" thickBot="1" x14ac:dyDescent="0.35">
      <c r="A40" s="83">
        <v>7</v>
      </c>
      <c r="B40" s="84">
        <v>2912</v>
      </c>
      <c r="C40" s="85">
        <f t="shared" si="3"/>
        <v>416</v>
      </c>
      <c r="H40" s="6" t="s">
        <v>38</v>
      </c>
      <c r="I40" s="7" t="s">
        <v>39</v>
      </c>
    </row>
    <row r="41" spans="1:9" ht="20.25" thickTop="1" thickBot="1" x14ac:dyDescent="0.35">
      <c r="A41" s="86">
        <v>8</v>
      </c>
      <c r="B41" s="87">
        <v>274</v>
      </c>
      <c r="C41" s="88">
        <f t="shared" si="3"/>
        <v>34.25</v>
      </c>
      <c r="H41" s="8"/>
      <c r="I41" s="36"/>
    </row>
    <row r="42" spans="1:9" ht="20.25" thickTop="1" thickBot="1" x14ac:dyDescent="0.35">
      <c r="B42" s="38"/>
      <c r="H42" s="8"/>
      <c r="I42" s="36"/>
    </row>
    <row r="43" spans="1:9" ht="19.5" thickTop="1" x14ac:dyDescent="0.3">
      <c r="A43" s="2" t="s">
        <v>130</v>
      </c>
      <c r="B43" s="89" t="s">
        <v>125</v>
      </c>
      <c r="C43" s="3"/>
      <c r="H43" s="8"/>
      <c r="I43" s="36"/>
    </row>
    <row r="44" spans="1:9" ht="25.5" x14ac:dyDescent="0.3">
      <c r="A44" s="80" t="s">
        <v>127</v>
      </c>
      <c r="B44" s="81" t="s">
        <v>131</v>
      </c>
      <c r="C44" s="82"/>
      <c r="H44" s="8"/>
      <c r="I44" s="36"/>
    </row>
    <row r="45" spans="1:9" ht="18.75" x14ac:dyDescent="0.3">
      <c r="A45" s="83">
        <v>1</v>
      </c>
      <c r="B45" s="84">
        <v>900</v>
      </c>
      <c r="C45" s="85"/>
      <c r="H45" s="8"/>
      <c r="I45" s="36"/>
    </row>
    <row r="46" spans="1:9" ht="18.75" x14ac:dyDescent="0.3">
      <c r="A46" s="83">
        <v>2</v>
      </c>
      <c r="B46" s="84">
        <v>1150</v>
      </c>
      <c r="C46" s="85"/>
      <c r="H46" s="8"/>
      <c r="I46" s="36"/>
    </row>
    <row r="47" spans="1:9" ht="18.75" x14ac:dyDescent="0.3">
      <c r="A47" s="83">
        <v>3</v>
      </c>
      <c r="B47" s="84">
        <v>1350</v>
      </c>
      <c r="C47" s="85"/>
      <c r="H47" s="8"/>
      <c r="I47" s="36"/>
    </row>
    <row r="48" spans="1:9" ht="18.75" x14ac:dyDescent="0.3">
      <c r="A48" s="83">
        <v>4</v>
      </c>
      <c r="B48" s="84">
        <v>1450</v>
      </c>
      <c r="C48" s="85"/>
      <c r="H48" s="8"/>
      <c r="I48" s="36"/>
    </row>
    <row r="49" spans="1:14" ht="18.75" x14ac:dyDescent="0.3">
      <c r="A49" s="83">
        <v>5</v>
      </c>
      <c r="B49" s="84">
        <v>1650</v>
      </c>
      <c r="C49" s="85"/>
      <c r="H49" s="8"/>
      <c r="I49" s="36"/>
    </row>
    <row r="50" spans="1:14" ht="18.75" x14ac:dyDescent="0.3">
      <c r="A50" s="83">
        <v>6</v>
      </c>
      <c r="B50" s="84">
        <v>1750</v>
      </c>
      <c r="C50" s="85"/>
      <c r="H50" s="8"/>
      <c r="I50" s="36"/>
    </row>
    <row r="51" spans="1:14" ht="18.75" x14ac:dyDescent="0.3">
      <c r="A51" s="83">
        <v>7</v>
      </c>
      <c r="B51" s="84">
        <v>1850</v>
      </c>
      <c r="C51" s="85"/>
      <c r="H51" s="8"/>
      <c r="I51" s="36"/>
    </row>
    <row r="52" spans="1:14" ht="19.5" thickBot="1" x14ac:dyDescent="0.35">
      <c r="A52" s="86">
        <v>8</v>
      </c>
      <c r="B52" s="87">
        <v>1950</v>
      </c>
      <c r="C52" s="88"/>
      <c r="H52" s="8"/>
      <c r="I52" s="36"/>
    </row>
    <row r="53" spans="1:14" ht="15.75" thickTop="1" x14ac:dyDescent="0.25"/>
    <row r="55" spans="1:14" x14ac:dyDescent="0.25">
      <c r="A55" t="s">
        <v>213</v>
      </c>
    </row>
    <row r="56" spans="1:14" ht="24" x14ac:dyDescent="0.25">
      <c r="B56" s="185" t="s">
        <v>231</v>
      </c>
      <c r="C56" s="103">
        <v>1570</v>
      </c>
      <c r="D56" s="103">
        <f t="shared" ref="D56:D61" si="4">C56/12</f>
        <v>130.83333333333334</v>
      </c>
    </row>
    <row r="57" spans="1:14" s="16" customFormat="1" ht="24" x14ac:dyDescent="0.25">
      <c r="B57" s="185" t="s">
        <v>232</v>
      </c>
      <c r="C57" s="103">
        <v>2530</v>
      </c>
      <c r="D57" s="103">
        <f t="shared" si="4"/>
        <v>210.83333333333334</v>
      </c>
      <c r="E57"/>
      <c r="F57"/>
      <c r="G57"/>
      <c r="H57"/>
      <c r="I57"/>
      <c r="J57"/>
      <c r="K57"/>
      <c r="L57"/>
      <c r="M57"/>
      <c r="N57"/>
    </row>
    <row r="58" spans="1:14" ht="24" x14ac:dyDescent="0.25">
      <c r="B58" s="185" t="s">
        <v>233</v>
      </c>
      <c r="C58" s="103">
        <v>2530</v>
      </c>
      <c r="D58" s="103">
        <f t="shared" si="4"/>
        <v>210.83333333333334</v>
      </c>
    </row>
    <row r="59" spans="1:14" x14ac:dyDescent="0.25">
      <c r="B59" s="185" t="s">
        <v>234</v>
      </c>
      <c r="C59" s="103">
        <v>3550</v>
      </c>
      <c r="D59" s="103">
        <f t="shared" si="4"/>
        <v>295.83333333333331</v>
      </c>
    </row>
    <row r="60" spans="1:14" x14ac:dyDescent="0.25">
      <c r="B60" s="185" t="s">
        <v>235</v>
      </c>
      <c r="C60" s="103">
        <v>2680</v>
      </c>
      <c r="D60" s="103">
        <f t="shared" si="4"/>
        <v>223.33333333333334</v>
      </c>
    </row>
    <row r="61" spans="1:14" x14ac:dyDescent="0.25">
      <c r="B61" s="185" t="s">
        <v>236</v>
      </c>
      <c r="C61" s="103">
        <v>2300</v>
      </c>
      <c r="D61" s="103">
        <f t="shared" si="4"/>
        <v>191.66666666666666</v>
      </c>
    </row>
    <row r="63" spans="1:14" ht="74.25" customHeight="1" x14ac:dyDescent="0.25">
      <c r="A63" s="372" t="s">
        <v>237</v>
      </c>
      <c r="B63" s="354"/>
      <c r="C63" s="354"/>
      <c r="D63" s="354"/>
    </row>
    <row r="66" spans="1:8" ht="18.75" x14ac:dyDescent="0.3">
      <c r="A66" s="189" t="s">
        <v>278</v>
      </c>
    </row>
    <row r="67" spans="1:8" s="1" customFormat="1" x14ac:dyDescent="0.25">
      <c r="A67" s="1" t="s">
        <v>65</v>
      </c>
      <c r="C67" s="1" t="s">
        <v>108</v>
      </c>
      <c r="D67" s="1">
        <v>100</v>
      </c>
      <c r="E67" s="1" t="s">
        <v>289</v>
      </c>
      <c r="F67" s="1" t="s">
        <v>279</v>
      </c>
      <c r="G67" s="1" t="s">
        <v>280</v>
      </c>
      <c r="H67" s="1" t="s">
        <v>281</v>
      </c>
    </row>
    <row r="68" spans="1:8" x14ac:dyDescent="0.25">
      <c r="A68" t="s">
        <v>283</v>
      </c>
      <c r="C68">
        <v>2026</v>
      </c>
      <c r="D68">
        <v>2026</v>
      </c>
      <c r="E68">
        <v>2026</v>
      </c>
      <c r="F68">
        <v>2026</v>
      </c>
      <c r="G68">
        <v>2026</v>
      </c>
      <c r="H68">
        <v>2026</v>
      </c>
    </row>
    <row r="69" spans="1:8" x14ac:dyDescent="0.25">
      <c r="A69" t="s">
        <v>284</v>
      </c>
      <c r="C69">
        <v>2027</v>
      </c>
      <c r="D69">
        <v>2027</v>
      </c>
      <c r="E69">
        <v>2027</v>
      </c>
      <c r="F69">
        <v>2027</v>
      </c>
      <c r="G69">
        <v>2027</v>
      </c>
      <c r="H69">
        <v>2027</v>
      </c>
    </row>
    <row r="70" spans="1:8" x14ac:dyDescent="0.25">
      <c r="A70" t="s">
        <v>285</v>
      </c>
      <c r="C70">
        <v>1003</v>
      </c>
      <c r="D70">
        <v>1003</v>
      </c>
      <c r="E70">
        <v>1003</v>
      </c>
      <c r="F70">
        <v>1003</v>
      </c>
      <c r="G70">
        <v>1003</v>
      </c>
      <c r="H70">
        <v>1003</v>
      </c>
    </row>
    <row r="71" spans="1:8" x14ac:dyDescent="0.25">
      <c r="A71" t="s">
        <v>286</v>
      </c>
      <c r="C71">
        <v>1500</v>
      </c>
      <c r="D71">
        <v>1500</v>
      </c>
      <c r="E71">
        <v>1500</v>
      </c>
      <c r="F71">
        <v>1500</v>
      </c>
      <c r="G71">
        <v>1500</v>
      </c>
      <c r="H71">
        <v>1500</v>
      </c>
    </row>
    <row r="72" spans="1:8" x14ac:dyDescent="0.25">
      <c r="A72" t="s">
        <v>287</v>
      </c>
      <c r="C72">
        <v>4010</v>
      </c>
      <c r="D72">
        <v>4011</v>
      </c>
      <c r="E72" s="24">
        <v>4011</v>
      </c>
      <c r="F72">
        <v>4011</v>
      </c>
      <c r="G72">
        <v>4020</v>
      </c>
      <c r="H72">
        <v>4013</v>
      </c>
    </row>
    <row r="73" spans="1:8" x14ac:dyDescent="0.25">
      <c r="A73" t="s">
        <v>299</v>
      </c>
      <c r="C73">
        <v>4019</v>
      </c>
      <c r="D73" s="24">
        <v>4019</v>
      </c>
      <c r="E73" s="24">
        <v>4019</v>
      </c>
      <c r="F73" s="24">
        <v>4019</v>
      </c>
      <c r="G73" s="24">
        <v>4019</v>
      </c>
    </row>
    <row r="74" spans="1:8" x14ac:dyDescent="0.25">
      <c r="A74" t="s">
        <v>300</v>
      </c>
      <c r="C74">
        <v>4021</v>
      </c>
      <c r="D74" s="24">
        <v>4021</v>
      </c>
      <c r="E74" s="24">
        <v>4021</v>
      </c>
      <c r="F74" s="24">
        <v>4021</v>
      </c>
      <c r="G74" s="24">
        <v>4021</v>
      </c>
    </row>
    <row r="75" spans="1:8" x14ac:dyDescent="0.25">
      <c r="A75" t="s">
        <v>288</v>
      </c>
      <c r="C75">
        <v>4012</v>
      </c>
      <c r="D75">
        <v>4012</v>
      </c>
      <c r="E75" s="24">
        <v>4012</v>
      </c>
      <c r="F75">
        <v>4012</v>
      </c>
      <c r="G75">
        <v>4012</v>
      </c>
      <c r="H75">
        <v>4014</v>
      </c>
    </row>
    <row r="76" spans="1:8" x14ac:dyDescent="0.25">
      <c r="A76" t="s">
        <v>291</v>
      </c>
      <c r="C76" s="24">
        <v>4017</v>
      </c>
      <c r="D76" s="24">
        <v>4017</v>
      </c>
      <c r="E76" s="24">
        <v>4017</v>
      </c>
      <c r="F76" s="24">
        <v>4017</v>
      </c>
      <c r="G76">
        <v>4020</v>
      </c>
      <c r="H76">
        <v>4016</v>
      </c>
    </row>
    <row r="77" spans="1:8" x14ac:dyDescent="0.25">
      <c r="A77" t="s">
        <v>293</v>
      </c>
      <c r="C77">
        <v>4018</v>
      </c>
      <c r="D77" s="24">
        <v>4018</v>
      </c>
      <c r="E77" s="24">
        <v>4018</v>
      </c>
      <c r="F77" s="24">
        <v>4018</v>
      </c>
      <c r="G77" s="24">
        <v>4020</v>
      </c>
      <c r="H77" s="24">
        <v>4013</v>
      </c>
    </row>
    <row r="78" spans="1:8" x14ac:dyDescent="0.25">
      <c r="A78" t="s">
        <v>34</v>
      </c>
      <c r="C78">
        <v>4023</v>
      </c>
      <c r="D78" s="24">
        <v>4023</v>
      </c>
      <c r="E78" s="24">
        <v>4023</v>
      </c>
      <c r="F78" s="24">
        <v>4023</v>
      </c>
      <c r="G78">
        <v>4020</v>
      </c>
      <c r="H78">
        <v>4013</v>
      </c>
    </row>
    <row r="79" spans="1:8" x14ac:dyDescent="0.25">
      <c r="A79" t="s">
        <v>290</v>
      </c>
      <c r="C79">
        <v>4024</v>
      </c>
      <c r="D79" s="24">
        <v>4024</v>
      </c>
      <c r="E79" s="24">
        <v>4024</v>
      </c>
      <c r="F79" s="24">
        <v>4024</v>
      </c>
      <c r="G79">
        <v>4020</v>
      </c>
      <c r="H79">
        <v>4013</v>
      </c>
    </row>
    <row r="80" spans="1:8" x14ac:dyDescent="0.25">
      <c r="A80" t="s">
        <v>292</v>
      </c>
      <c r="G80">
        <v>4022</v>
      </c>
    </row>
    <row r="81" spans="1:8" x14ac:dyDescent="0.25">
      <c r="A81" t="s">
        <v>294</v>
      </c>
      <c r="C81">
        <v>6059</v>
      </c>
      <c r="D81" s="24">
        <v>6068</v>
      </c>
      <c r="E81" s="24">
        <v>6068</v>
      </c>
      <c r="F81" s="24">
        <v>6068</v>
      </c>
      <c r="G81" s="24">
        <v>6062</v>
      </c>
      <c r="H81">
        <v>6060</v>
      </c>
    </row>
    <row r="82" spans="1:8" x14ac:dyDescent="0.25">
      <c r="A82" t="s">
        <v>295</v>
      </c>
      <c r="C82">
        <v>6058</v>
      </c>
      <c r="D82" s="24">
        <v>6058</v>
      </c>
      <c r="E82" s="24">
        <v>6058</v>
      </c>
      <c r="F82" s="24">
        <v>6058</v>
      </c>
      <c r="G82" s="24">
        <v>6058</v>
      </c>
      <c r="H82">
        <v>6061</v>
      </c>
    </row>
    <row r="83" spans="1:8" x14ac:dyDescent="0.25">
      <c r="A83" t="s">
        <v>296</v>
      </c>
      <c r="C83">
        <v>6065</v>
      </c>
      <c r="D83" s="24">
        <v>6065</v>
      </c>
      <c r="E83" s="24">
        <v>6065</v>
      </c>
      <c r="F83" s="24">
        <v>6065</v>
      </c>
      <c r="G83" s="24">
        <v>6062</v>
      </c>
      <c r="H83">
        <v>6066</v>
      </c>
    </row>
    <row r="84" spans="1:8" x14ac:dyDescent="0.25">
      <c r="A84" t="s">
        <v>297</v>
      </c>
      <c r="C84">
        <v>6069</v>
      </c>
      <c r="D84" s="24">
        <v>6069</v>
      </c>
      <c r="E84" s="24">
        <v>6069</v>
      </c>
      <c r="F84" s="24">
        <v>6069</v>
      </c>
      <c r="G84" s="24">
        <v>6062</v>
      </c>
      <c r="H84" s="24">
        <v>6060</v>
      </c>
    </row>
    <row r="85" spans="1:8" x14ac:dyDescent="0.25">
      <c r="A85" t="s">
        <v>298</v>
      </c>
      <c r="C85">
        <v>6070</v>
      </c>
      <c r="D85" s="24">
        <v>6070</v>
      </c>
      <c r="E85" s="24">
        <v>6070</v>
      </c>
      <c r="F85" s="24">
        <v>6070</v>
      </c>
      <c r="G85" s="24">
        <v>6062</v>
      </c>
      <c r="H85" s="24">
        <v>6060</v>
      </c>
    </row>
    <row r="86" spans="1:8" x14ac:dyDescent="0.25">
      <c r="A86" t="s">
        <v>302</v>
      </c>
      <c r="C86">
        <v>6063</v>
      </c>
      <c r="D86" s="24">
        <v>6063</v>
      </c>
      <c r="E86" s="24">
        <v>6063</v>
      </c>
      <c r="F86" s="24">
        <v>6063</v>
      </c>
      <c r="G86" s="24">
        <v>6063</v>
      </c>
      <c r="H86" s="24"/>
    </row>
    <row r="87" spans="1:8" x14ac:dyDescent="0.25">
      <c r="A87" t="s">
        <v>301</v>
      </c>
      <c r="C87">
        <v>6067</v>
      </c>
      <c r="D87" s="24">
        <v>6067</v>
      </c>
      <c r="E87" s="24">
        <v>6067</v>
      </c>
      <c r="F87" s="24">
        <v>6067</v>
      </c>
      <c r="G87" s="24">
        <v>6067</v>
      </c>
    </row>
  </sheetData>
  <mergeCells count="1">
    <mergeCell ref="A63:D63"/>
  </mergeCells>
  <dataValidations count="1">
    <dataValidation allowBlank="1" showInputMessage="1" showErrorMessage="1" promptTitle="renevus" sqref="A65:A70"/>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I161"/>
  <sheetViews>
    <sheetView topLeftCell="B1" workbookViewId="0">
      <selection activeCell="J15" sqref="J15"/>
    </sheetView>
  </sheetViews>
  <sheetFormatPr baseColWidth="10" defaultRowHeight="15" x14ac:dyDescent="0.25"/>
  <cols>
    <col min="1" max="1" width="11.42578125" hidden="1" customWidth="1"/>
    <col min="2" max="2" width="5.28515625" customWidth="1"/>
    <col min="3" max="3" width="24.42578125" customWidth="1"/>
    <col min="4" max="4" width="26.85546875" customWidth="1"/>
    <col min="5" max="5" width="16.42578125" customWidth="1"/>
    <col min="8" max="8" width="40" customWidth="1"/>
  </cols>
  <sheetData>
    <row r="1" spans="1:9" ht="21" x14ac:dyDescent="0.35">
      <c r="A1" s="152"/>
      <c r="B1" s="152" t="s">
        <v>218</v>
      </c>
    </row>
    <row r="3" spans="1:9" s="153" customFormat="1" ht="30" x14ac:dyDescent="0.25">
      <c r="C3" s="153" t="s">
        <v>219</v>
      </c>
      <c r="D3" s="153" t="s">
        <v>220</v>
      </c>
      <c r="E3" s="16" t="s">
        <v>221</v>
      </c>
      <c r="F3" s="153" t="s">
        <v>222</v>
      </c>
      <c r="G3" s="153" t="s">
        <v>223</v>
      </c>
      <c r="H3" s="153" t="s">
        <v>224</v>
      </c>
      <c r="I3" s="154" t="s">
        <v>229</v>
      </c>
    </row>
    <row r="4" spans="1:9" s="153" customFormat="1" ht="15.75" thickBot="1" x14ac:dyDescent="0.3">
      <c r="E4" s="16"/>
      <c r="I4" s="154"/>
    </row>
    <row r="5" spans="1:9" ht="15.75" thickTop="1" x14ac:dyDescent="0.25">
      <c r="A5" s="177"/>
      <c r="B5" s="376" t="str">
        <f>A17</f>
        <v>janvier</v>
      </c>
      <c r="C5" s="155" t="s">
        <v>225</v>
      </c>
      <c r="D5" s="155" t="s">
        <v>226</v>
      </c>
      <c r="E5" s="155">
        <v>12</v>
      </c>
      <c r="F5" s="155">
        <v>1.5</v>
      </c>
      <c r="G5" s="156">
        <f>E5*F5*0.6</f>
        <v>10.799999999999999</v>
      </c>
      <c r="H5" s="157" t="s">
        <v>227</v>
      </c>
    </row>
    <row r="6" spans="1:9" x14ac:dyDescent="0.25">
      <c r="A6" s="178"/>
      <c r="B6" s="377"/>
      <c r="C6" s="158"/>
      <c r="D6" s="158"/>
      <c r="E6" s="158"/>
      <c r="F6" s="158"/>
      <c r="G6" s="159">
        <f>E6*F6*0.6</f>
        <v>0</v>
      </c>
      <c r="H6" s="160"/>
    </row>
    <row r="7" spans="1:9" x14ac:dyDescent="0.25">
      <c r="A7" s="178"/>
      <c r="B7" s="377"/>
      <c r="C7" s="158"/>
      <c r="D7" s="158"/>
      <c r="E7" s="158">
        <v>360</v>
      </c>
      <c r="F7" s="158">
        <v>28</v>
      </c>
      <c r="G7" s="159">
        <f t="shared" ref="G7:G16" si="0">E7*F7*0.6</f>
        <v>6048</v>
      </c>
      <c r="H7" s="160"/>
    </row>
    <row r="8" spans="1:9" x14ac:dyDescent="0.25">
      <c r="A8" s="178"/>
      <c r="B8" s="377"/>
      <c r="C8" s="158"/>
      <c r="D8" s="158"/>
      <c r="E8" s="158"/>
      <c r="F8" s="158"/>
      <c r="G8" s="159">
        <f t="shared" si="0"/>
        <v>0</v>
      </c>
      <c r="H8" s="160"/>
    </row>
    <row r="9" spans="1:9" x14ac:dyDescent="0.25">
      <c r="A9" s="178"/>
      <c r="B9" s="377"/>
      <c r="C9" s="158"/>
      <c r="D9" s="158"/>
      <c r="E9" s="158"/>
      <c r="F9" s="158"/>
      <c r="G9" s="159">
        <f t="shared" si="0"/>
        <v>0</v>
      </c>
      <c r="H9" s="160"/>
    </row>
    <row r="10" spans="1:9" x14ac:dyDescent="0.25">
      <c r="A10" s="178"/>
      <c r="B10" s="377"/>
      <c r="C10" s="158"/>
      <c r="D10" s="158"/>
      <c r="E10" s="158"/>
      <c r="F10" s="158"/>
      <c r="G10" s="159">
        <f t="shared" si="0"/>
        <v>0</v>
      </c>
      <c r="H10" s="160"/>
    </row>
    <row r="11" spans="1:9" x14ac:dyDescent="0.25">
      <c r="A11" s="178"/>
      <c r="B11" s="377"/>
      <c r="C11" s="158"/>
      <c r="D11" s="158"/>
      <c r="E11" s="158"/>
      <c r="F11" s="158"/>
      <c r="G11" s="159">
        <f t="shared" si="0"/>
        <v>0</v>
      </c>
      <c r="H11" s="160"/>
    </row>
    <row r="12" spans="1:9" x14ac:dyDescent="0.25">
      <c r="A12" s="178"/>
      <c r="B12" s="377"/>
      <c r="C12" s="158"/>
      <c r="D12" s="158"/>
      <c r="E12" s="158"/>
      <c r="F12" s="158"/>
      <c r="G12" s="159">
        <f t="shared" si="0"/>
        <v>0</v>
      </c>
      <c r="H12" s="160"/>
    </row>
    <row r="13" spans="1:9" x14ac:dyDescent="0.25">
      <c r="A13" s="178"/>
      <c r="B13" s="377"/>
      <c r="C13" s="158"/>
      <c r="D13" s="158"/>
      <c r="E13" s="158"/>
      <c r="F13" s="158"/>
      <c r="G13" s="159">
        <f t="shared" si="0"/>
        <v>0</v>
      </c>
      <c r="H13" s="160"/>
    </row>
    <row r="14" spans="1:9" x14ac:dyDescent="0.25">
      <c r="A14" s="178"/>
      <c r="B14" s="377"/>
      <c r="C14" s="158"/>
      <c r="D14" s="158"/>
      <c r="E14" s="158"/>
      <c r="F14" s="158"/>
      <c r="G14" s="159">
        <f t="shared" si="0"/>
        <v>0</v>
      </c>
      <c r="H14" s="160"/>
    </row>
    <row r="15" spans="1:9" x14ac:dyDescent="0.25">
      <c r="A15" s="178"/>
      <c r="B15" s="377"/>
      <c r="C15" s="158"/>
      <c r="D15" s="158"/>
      <c r="E15" s="158"/>
      <c r="F15" s="158"/>
      <c r="G15" s="159">
        <f t="shared" si="0"/>
        <v>0</v>
      </c>
      <c r="H15" s="160"/>
    </row>
    <row r="16" spans="1:9" x14ac:dyDescent="0.25">
      <c r="A16" s="178"/>
      <c r="B16" s="377"/>
      <c r="C16" s="158"/>
      <c r="D16" s="158"/>
      <c r="E16" s="158"/>
      <c r="F16" s="158"/>
      <c r="G16" s="159">
        <f t="shared" si="0"/>
        <v>0</v>
      </c>
      <c r="H16" s="160"/>
    </row>
    <row r="17" spans="1:8" s="1" customFormat="1" ht="15.75" thickBot="1" x14ac:dyDescent="0.3">
      <c r="A17" s="179" t="s">
        <v>133</v>
      </c>
      <c r="B17" s="378"/>
      <c r="C17" s="161" t="s">
        <v>228</v>
      </c>
      <c r="D17" s="161" t="str">
        <f>A17</f>
        <v>janvier</v>
      </c>
      <c r="E17" s="161"/>
      <c r="F17" s="161"/>
      <c r="G17" s="162">
        <f>SUM(G5:G16)</f>
        <v>6058.8</v>
      </c>
      <c r="H17" s="163"/>
    </row>
    <row r="18" spans="1:8" ht="15.75" thickTop="1" x14ac:dyDescent="0.25">
      <c r="A18" s="180"/>
      <c r="B18" s="373" t="str">
        <f>A30</f>
        <v>février</v>
      </c>
      <c r="C18" s="164" t="s">
        <v>225</v>
      </c>
      <c r="D18" s="164" t="s">
        <v>226</v>
      </c>
      <c r="E18" s="164">
        <v>12</v>
      </c>
      <c r="F18" s="164">
        <v>1.5</v>
      </c>
      <c r="G18" s="165">
        <f>E18*F18*0.7</f>
        <v>12.6</v>
      </c>
      <c r="H18" s="166" t="s">
        <v>227</v>
      </c>
    </row>
    <row r="19" spans="1:8" x14ac:dyDescent="0.25">
      <c r="A19" s="181"/>
      <c r="B19" s="374"/>
      <c r="C19" s="8"/>
      <c r="D19" s="8"/>
      <c r="E19" s="8"/>
      <c r="F19" s="8"/>
      <c r="G19" s="167"/>
      <c r="H19" s="29"/>
    </row>
    <row r="20" spans="1:8" x14ac:dyDescent="0.25">
      <c r="A20" s="181"/>
      <c r="B20" s="374"/>
      <c r="C20" s="8"/>
      <c r="D20" s="8"/>
      <c r="E20" s="8"/>
      <c r="F20" s="8"/>
      <c r="G20" s="167"/>
      <c r="H20" s="29"/>
    </row>
    <row r="21" spans="1:8" x14ac:dyDescent="0.25">
      <c r="A21" s="181"/>
      <c r="B21" s="374"/>
      <c r="C21" s="8"/>
      <c r="D21" s="8"/>
      <c r="E21" s="8"/>
      <c r="F21" s="8"/>
      <c r="G21" s="167"/>
      <c r="H21" s="29"/>
    </row>
    <row r="22" spans="1:8" x14ac:dyDescent="0.25">
      <c r="A22" s="181"/>
      <c r="B22" s="374"/>
      <c r="C22" s="8"/>
      <c r="D22" s="8"/>
      <c r="E22" s="8"/>
      <c r="F22" s="8"/>
      <c r="G22" s="167"/>
      <c r="H22" s="29"/>
    </row>
    <row r="23" spans="1:8" x14ac:dyDescent="0.25">
      <c r="A23" s="181"/>
      <c r="B23" s="374"/>
      <c r="C23" s="8"/>
      <c r="D23" s="8"/>
      <c r="E23" s="8"/>
      <c r="F23" s="8"/>
      <c r="G23" s="167"/>
      <c r="H23" s="29"/>
    </row>
    <row r="24" spans="1:8" x14ac:dyDescent="0.25">
      <c r="A24" s="181"/>
      <c r="B24" s="374"/>
      <c r="C24" s="8"/>
      <c r="D24" s="8"/>
      <c r="E24" s="8"/>
      <c r="F24" s="8"/>
      <c r="G24" s="167"/>
      <c r="H24" s="29"/>
    </row>
    <row r="25" spans="1:8" x14ac:dyDescent="0.25">
      <c r="A25" s="181"/>
      <c r="B25" s="374"/>
      <c r="C25" s="8"/>
      <c r="D25" s="8"/>
      <c r="E25" s="8"/>
      <c r="F25" s="8"/>
      <c r="G25" s="167"/>
      <c r="H25" s="29"/>
    </row>
    <row r="26" spans="1:8" x14ac:dyDescent="0.25">
      <c r="A26" s="181"/>
      <c r="B26" s="374"/>
      <c r="C26" s="8"/>
      <c r="D26" s="8"/>
      <c r="E26" s="8"/>
      <c r="F26" s="8"/>
      <c r="G26" s="167"/>
      <c r="H26" s="29"/>
    </row>
    <row r="27" spans="1:8" x14ac:dyDescent="0.25">
      <c r="A27" s="181"/>
      <c r="B27" s="374"/>
      <c r="C27" s="8"/>
      <c r="D27" s="8"/>
      <c r="E27" s="8"/>
      <c r="F27" s="8"/>
      <c r="G27" s="167"/>
      <c r="H27" s="29"/>
    </row>
    <row r="28" spans="1:8" x14ac:dyDescent="0.25">
      <c r="A28" s="181"/>
      <c r="B28" s="374"/>
      <c r="C28" s="8"/>
      <c r="D28" s="8"/>
      <c r="E28" s="8"/>
      <c r="F28" s="8"/>
      <c r="G28" s="167"/>
      <c r="H28" s="29"/>
    </row>
    <row r="29" spans="1:8" x14ac:dyDescent="0.25">
      <c r="A29" s="181"/>
      <c r="B29" s="374"/>
      <c r="C29" s="8"/>
      <c r="D29" s="8"/>
      <c r="E29" s="8"/>
      <c r="F29" s="8"/>
      <c r="G29" s="167"/>
      <c r="H29" s="29"/>
    </row>
    <row r="30" spans="1:8" s="1" customFormat="1" ht="15.75" thickBot="1" x14ac:dyDescent="0.3">
      <c r="A30" s="181" t="s">
        <v>135</v>
      </c>
      <c r="B30" s="375"/>
      <c r="C30" s="168" t="s">
        <v>228</v>
      </c>
      <c r="D30" s="168" t="str">
        <f>A30</f>
        <v>février</v>
      </c>
      <c r="E30" s="168"/>
      <c r="F30" s="168"/>
      <c r="G30" s="169">
        <f>SUM(G18:G29)</f>
        <v>12.6</v>
      </c>
      <c r="H30" s="170"/>
    </row>
    <row r="31" spans="1:8" ht="15.75" thickTop="1" x14ac:dyDescent="0.25">
      <c r="A31" s="177"/>
      <c r="B31" s="376" t="str">
        <f>D43</f>
        <v>mars</v>
      </c>
      <c r="C31" s="155" t="s">
        <v>225</v>
      </c>
      <c r="D31" s="155" t="s">
        <v>226</v>
      </c>
      <c r="E31" s="155">
        <v>12</v>
      </c>
      <c r="F31" s="155">
        <v>1.5</v>
      </c>
      <c r="G31" s="156">
        <f>E31*F31*0.7</f>
        <v>12.6</v>
      </c>
      <c r="H31" s="157" t="s">
        <v>227</v>
      </c>
    </row>
    <row r="32" spans="1:8" x14ac:dyDescent="0.25">
      <c r="A32" s="178"/>
      <c r="B32" s="377"/>
      <c r="C32" s="158"/>
      <c r="D32" s="158"/>
      <c r="E32" s="158"/>
      <c r="F32" s="158"/>
      <c r="G32" s="159"/>
      <c r="H32" s="160"/>
    </row>
    <row r="33" spans="1:8" x14ac:dyDescent="0.25">
      <c r="A33" s="178"/>
      <c r="B33" s="377"/>
      <c r="C33" s="158"/>
      <c r="D33" s="158"/>
      <c r="E33" s="158"/>
      <c r="F33" s="158"/>
      <c r="G33" s="159"/>
      <c r="H33" s="160"/>
    </row>
    <row r="34" spans="1:8" x14ac:dyDescent="0.25">
      <c r="A34" s="178"/>
      <c r="B34" s="377"/>
      <c r="C34" s="158"/>
      <c r="D34" s="158"/>
      <c r="E34" s="158"/>
      <c r="F34" s="158"/>
      <c r="G34" s="159"/>
      <c r="H34" s="160"/>
    </row>
    <row r="35" spans="1:8" x14ac:dyDescent="0.25">
      <c r="A35" s="178"/>
      <c r="B35" s="377"/>
      <c r="C35" s="158"/>
      <c r="D35" s="158"/>
      <c r="E35" s="158"/>
      <c r="F35" s="158"/>
      <c r="G35" s="159"/>
      <c r="H35" s="160"/>
    </row>
    <row r="36" spans="1:8" x14ac:dyDescent="0.25">
      <c r="A36" s="178"/>
      <c r="B36" s="377"/>
      <c r="C36" s="158"/>
      <c r="D36" s="158"/>
      <c r="E36" s="158"/>
      <c r="F36" s="158"/>
      <c r="G36" s="159"/>
      <c r="H36" s="160"/>
    </row>
    <row r="37" spans="1:8" x14ac:dyDescent="0.25">
      <c r="A37" s="178"/>
      <c r="B37" s="377"/>
      <c r="C37" s="158"/>
      <c r="D37" s="158"/>
      <c r="E37" s="158"/>
      <c r="F37" s="158"/>
      <c r="G37" s="159"/>
      <c r="H37" s="160"/>
    </row>
    <row r="38" spans="1:8" x14ac:dyDescent="0.25">
      <c r="A38" s="178"/>
      <c r="B38" s="377"/>
      <c r="C38" s="158"/>
      <c r="D38" s="158"/>
      <c r="E38" s="158"/>
      <c r="F38" s="158"/>
      <c r="G38" s="159"/>
      <c r="H38" s="160"/>
    </row>
    <row r="39" spans="1:8" x14ac:dyDescent="0.25">
      <c r="A39" s="178"/>
      <c r="B39" s="377"/>
      <c r="C39" s="158"/>
      <c r="D39" s="158"/>
      <c r="E39" s="158"/>
      <c r="F39" s="158"/>
      <c r="G39" s="159"/>
      <c r="H39" s="160"/>
    </row>
    <row r="40" spans="1:8" x14ac:dyDescent="0.25">
      <c r="A40" s="178"/>
      <c r="B40" s="377"/>
      <c r="C40" s="158"/>
      <c r="D40" s="158"/>
      <c r="E40" s="158"/>
      <c r="F40" s="158"/>
      <c r="G40" s="159"/>
      <c r="H40" s="160"/>
    </row>
    <row r="41" spans="1:8" x14ac:dyDescent="0.25">
      <c r="A41" s="178"/>
      <c r="B41" s="377"/>
      <c r="C41" s="158"/>
      <c r="D41" s="158"/>
      <c r="E41" s="158"/>
      <c r="F41" s="158"/>
      <c r="G41" s="159"/>
      <c r="H41" s="160"/>
    </row>
    <row r="42" spans="1:8" x14ac:dyDescent="0.25">
      <c r="A42" s="178"/>
      <c r="B42" s="377"/>
      <c r="C42" s="158"/>
      <c r="D42" s="158"/>
      <c r="E42" s="158"/>
      <c r="F42" s="158"/>
      <c r="G42" s="159"/>
      <c r="H42" s="160"/>
    </row>
    <row r="43" spans="1:8" s="1" customFormat="1" ht="15.75" thickBot="1" x14ac:dyDescent="0.3">
      <c r="A43" s="178" t="s">
        <v>166</v>
      </c>
      <c r="B43" s="378"/>
      <c r="C43" s="161" t="s">
        <v>228</v>
      </c>
      <c r="D43" s="161" t="str">
        <f>A43</f>
        <v>mars</v>
      </c>
      <c r="E43" s="161"/>
      <c r="F43" s="161"/>
      <c r="G43" s="162">
        <f>SUM(G31:G42)</f>
        <v>12.6</v>
      </c>
      <c r="H43" s="163"/>
    </row>
    <row r="44" spans="1:8" ht="15.75" thickTop="1" x14ac:dyDescent="0.25">
      <c r="A44" s="180"/>
      <c r="B44" s="373" t="str">
        <f>D56</f>
        <v>avril</v>
      </c>
      <c r="C44" s="164" t="s">
        <v>225</v>
      </c>
      <c r="D44" s="164" t="s">
        <v>226</v>
      </c>
      <c r="E44" s="164">
        <v>12</v>
      </c>
      <c r="F44" s="164">
        <v>1.5</v>
      </c>
      <c r="G44" s="165">
        <f>E44*F44*0.7</f>
        <v>12.6</v>
      </c>
      <c r="H44" s="166" t="s">
        <v>227</v>
      </c>
    </row>
    <row r="45" spans="1:8" x14ac:dyDescent="0.25">
      <c r="A45" s="181"/>
      <c r="B45" s="374"/>
      <c r="C45" s="8"/>
      <c r="D45" s="8"/>
      <c r="E45" s="8"/>
      <c r="F45" s="8"/>
      <c r="G45" s="167"/>
      <c r="H45" s="29"/>
    </row>
    <row r="46" spans="1:8" x14ac:dyDescent="0.25">
      <c r="A46" s="181"/>
      <c r="B46" s="374"/>
      <c r="C46" s="8"/>
      <c r="D46" s="8"/>
      <c r="E46" s="8"/>
      <c r="F46" s="8"/>
      <c r="G46" s="167"/>
      <c r="H46" s="29"/>
    </row>
    <row r="47" spans="1:8" x14ac:dyDescent="0.25">
      <c r="A47" s="181"/>
      <c r="B47" s="374"/>
      <c r="C47" s="8"/>
      <c r="D47" s="8"/>
      <c r="E47" s="8"/>
      <c r="F47" s="8"/>
      <c r="G47" s="167"/>
      <c r="H47" s="29"/>
    </row>
    <row r="48" spans="1:8" x14ac:dyDescent="0.25">
      <c r="A48" s="181"/>
      <c r="B48" s="374"/>
      <c r="C48" s="8"/>
      <c r="D48" s="8"/>
      <c r="E48" s="8"/>
      <c r="F48" s="8"/>
      <c r="G48" s="167"/>
      <c r="H48" s="29"/>
    </row>
    <row r="49" spans="1:8" x14ac:dyDescent="0.25">
      <c r="A49" s="181"/>
      <c r="B49" s="374"/>
      <c r="C49" s="8"/>
      <c r="D49" s="8"/>
      <c r="E49" s="8"/>
      <c r="F49" s="8"/>
      <c r="G49" s="167"/>
      <c r="H49" s="29"/>
    </row>
    <row r="50" spans="1:8" x14ac:dyDescent="0.25">
      <c r="A50" s="181"/>
      <c r="B50" s="374"/>
      <c r="C50" s="8"/>
      <c r="D50" s="8"/>
      <c r="E50" s="8"/>
      <c r="F50" s="8"/>
      <c r="G50" s="167"/>
      <c r="H50" s="29"/>
    </row>
    <row r="51" spans="1:8" x14ac:dyDescent="0.25">
      <c r="A51" s="181"/>
      <c r="B51" s="374"/>
      <c r="C51" s="8"/>
      <c r="D51" s="8"/>
      <c r="E51" s="8"/>
      <c r="F51" s="8"/>
      <c r="G51" s="167"/>
      <c r="H51" s="29"/>
    </row>
    <row r="52" spans="1:8" x14ac:dyDescent="0.25">
      <c r="A52" s="181"/>
      <c r="B52" s="374"/>
      <c r="C52" s="8"/>
      <c r="D52" s="8"/>
      <c r="E52" s="8"/>
      <c r="F52" s="8"/>
      <c r="G52" s="167"/>
      <c r="H52" s="29"/>
    </row>
    <row r="53" spans="1:8" x14ac:dyDescent="0.25">
      <c r="A53" s="181"/>
      <c r="B53" s="374"/>
      <c r="C53" s="8"/>
      <c r="D53" s="8"/>
      <c r="E53" s="8"/>
      <c r="F53" s="8"/>
      <c r="G53" s="167"/>
      <c r="H53" s="29"/>
    </row>
    <row r="54" spans="1:8" x14ac:dyDescent="0.25">
      <c r="A54" s="181"/>
      <c r="B54" s="374"/>
      <c r="C54" s="8"/>
      <c r="D54" s="8"/>
      <c r="E54" s="8"/>
      <c r="F54" s="8"/>
      <c r="G54" s="167"/>
      <c r="H54" s="29"/>
    </row>
    <row r="55" spans="1:8" x14ac:dyDescent="0.25">
      <c r="A55" s="181"/>
      <c r="B55" s="374"/>
      <c r="C55" s="8"/>
      <c r="D55" s="8"/>
      <c r="E55" s="8"/>
      <c r="F55" s="8"/>
      <c r="G55" s="167"/>
      <c r="H55" s="29"/>
    </row>
    <row r="56" spans="1:8" ht="15.75" thickBot="1" x14ac:dyDescent="0.3">
      <c r="A56" s="181" t="s">
        <v>167</v>
      </c>
      <c r="B56" s="375"/>
      <c r="C56" s="168" t="s">
        <v>228</v>
      </c>
      <c r="D56" s="168" t="str">
        <f>A56</f>
        <v>avril</v>
      </c>
      <c r="E56" s="168"/>
      <c r="F56" s="168"/>
      <c r="G56" s="169">
        <f>SUM(G44:G55)</f>
        <v>12.6</v>
      </c>
      <c r="H56" s="170"/>
    </row>
    <row r="57" spans="1:8" ht="15.75" thickTop="1" x14ac:dyDescent="0.25">
      <c r="A57" s="177"/>
      <c r="B57" s="376" t="str">
        <f>D69</f>
        <v>mai</v>
      </c>
      <c r="C57" s="155" t="s">
        <v>225</v>
      </c>
      <c r="D57" s="155" t="s">
        <v>226</v>
      </c>
      <c r="E57" s="155">
        <v>12</v>
      </c>
      <c r="F57" s="155">
        <v>1.5</v>
      </c>
      <c r="G57" s="156">
        <f>E57*F57*0.7</f>
        <v>12.6</v>
      </c>
      <c r="H57" s="157" t="s">
        <v>227</v>
      </c>
    </row>
    <row r="58" spans="1:8" x14ac:dyDescent="0.25">
      <c r="A58" s="178"/>
      <c r="B58" s="377"/>
      <c r="C58" s="158"/>
      <c r="D58" s="158"/>
      <c r="E58" s="158"/>
      <c r="F58" s="158"/>
      <c r="G58" s="159"/>
      <c r="H58" s="160"/>
    </row>
    <row r="59" spans="1:8" x14ac:dyDescent="0.25">
      <c r="A59" s="178"/>
      <c r="B59" s="377"/>
      <c r="C59" s="158"/>
      <c r="D59" s="158"/>
      <c r="E59" s="158"/>
      <c r="F59" s="158"/>
      <c r="G59" s="159"/>
      <c r="H59" s="160"/>
    </row>
    <row r="60" spans="1:8" x14ac:dyDescent="0.25">
      <c r="A60" s="178"/>
      <c r="B60" s="377"/>
      <c r="C60" s="158"/>
      <c r="D60" s="158"/>
      <c r="E60" s="158"/>
      <c r="F60" s="158"/>
      <c r="G60" s="159"/>
      <c r="H60" s="160"/>
    </row>
    <row r="61" spans="1:8" x14ac:dyDescent="0.25">
      <c r="A61" s="178"/>
      <c r="B61" s="377"/>
      <c r="C61" s="158"/>
      <c r="D61" s="158"/>
      <c r="E61" s="158"/>
      <c r="F61" s="158"/>
      <c r="G61" s="159"/>
      <c r="H61" s="160"/>
    </row>
    <row r="62" spans="1:8" x14ac:dyDescent="0.25">
      <c r="A62" s="178"/>
      <c r="B62" s="377"/>
      <c r="C62" s="158"/>
      <c r="D62" s="158"/>
      <c r="E62" s="158"/>
      <c r="F62" s="158"/>
      <c r="G62" s="159"/>
      <c r="H62" s="160"/>
    </row>
    <row r="63" spans="1:8" x14ac:dyDescent="0.25">
      <c r="A63" s="178"/>
      <c r="B63" s="377"/>
      <c r="C63" s="158"/>
      <c r="D63" s="158"/>
      <c r="E63" s="158"/>
      <c r="F63" s="158"/>
      <c r="G63" s="159"/>
      <c r="H63" s="160"/>
    </row>
    <row r="64" spans="1:8" x14ac:dyDescent="0.25">
      <c r="A64" s="178"/>
      <c r="B64" s="377"/>
      <c r="C64" s="158"/>
      <c r="D64" s="158"/>
      <c r="E64" s="158"/>
      <c r="F64" s="158"/>
      <c r="G64" s="159"/>
      <c r="H64" s="160"/>
    </row>
    <row r="65" spans="1:8" x14ac:dyDescent="0.25">
      <c r="A65" s="178"/>
      <c r="B65" s="377"/>
      <c r="C65" s="158"/>
      <c r="D65" s="158"/>
      <c r="E65" s="158"/>
      <c r="F65" s="158"/>
      <c r="G65" s="159"/>
      <c r="H65" s="160"/>
    </row>
    <row r="66" spans="1:8" x14ac:dyDescent="0.25">
      <c r="A66" s="178"/>
      <c r="B66" s="377"/>
      <c r="C66" s="158"/>
      <c r="D66" s="158"/>
      <c r="E66" s="158"/>
      <c r="F66" s="158"/>
      <c r="G66" s="159"/>
      <c r="H66" s="160"/>
    </row>
    <row r="67" spans="1:8" x14ac:dyDescent="0.25">
      <c r="A67" s="178"/>
      <c r="B67" s="377"/>
      <c r="C67" s="158"/>
      <c r="D67" s="158"/>
      <c r="E67" s="158"/>
      <c r="F67" s="158"/>
      <c r="G67" s="159"/>
      <c r="H67" s="160"/>
    </row>
    <row r="68" spans="1:8" x14ac:dyDescent="0.25">
      <c r="A68" s="178"/>
      <c r="B68" s="377"/>
      <c r="C68" s="158"/>
      <c r="D68" s="158"/>
      <c r="E68" s="158"/>
      <c r="F68" s="158"/>
      <c r="G68" s="159"/>
      <c r="H68" s="160"/>
    </row>
    <row r="69" spans="1:8" s="1" customFormat="1" x14ac:dyDescent="0.25">
      <c r="A69" s="178" t="s">
        <v>134</v>
      </c>
      <c r="B69" s="377"/>
      <c r="C69" s="171" t="s">
        <v>228</v>
      </c>
      <c r="D69" s="171" t="str">
        <f>A69</f>
        <v>mai</v>
      </c>
      <c r="E69" s="171"/>
      <c r="F69" s="171"/>
      <c r="G69" s="172">
        <f>SUM(G57:G68)</f>
        <v>12.6</v>
      </c>
      <c r="H69" s="173"/>
    </row>
    <row r="70" spans="1:8" x14ac:dyDescent="0.25">
      <c r="A70" s="181"/>
      <c r="B70" s="379" t="str">
        <f>D82</f>
        <v>juin</v>
      </c>
      <c r="C70" s="8" t="s">
        <v>225</v>
      </c>
      <c r="D70" s="8" t="s">
        <v>226</v>
      </c>
      <c r="E70" s="8">
        <v>12</v>
      </c>
      <c r="F70" s="8">
        <v>1.5</v>
      </c>
      <c r="G70" s="167">
        <f>E70*F70*0.7</f>
        <v>12.6</v>
      </c>
      <c r="H70" s="29" t="s">
        <v>227</v>
      </c>
    </row>
    <row r="71" spans="1:8" x14ac:dyDescent="0.25">
      <c r="A71" s="181"/>
      <c r="B71" s="374"/>
      <c r="C71" s="8"/>
      <c r="D71" s="8"/>
      <c r="E71" s="8"/>
      <c r="F71" s="8"/>
      <c r="G71" s="167"/>
      <c r="H71" s="29"/>
    </row>
    <row r="72" spans="1:8" x14ac:dyDescent="0.25">
      <c r="A72" s="181"/>
      <c r="B72" s="374"/>
      <c r="C72" s="8"/>
      <c r="D72" s="8"/>
      <c r="E72" s="8"/>
      <c r="F72" s="8"/>
      <c r="G72" s="167"/>
      <c r="H72" s="29"/>
    </row>
    <row r="73" spans="1:8" x14ac:dyDescent="0.25">
      <c r="A73" s="181"/>
      <c r="B73" s="374"/>
      <c r="C73" s="8"/>
      <c r="D73" s="8"/>
      <c r="E73" s="8"/>
      <c r="F73" s="8"/>
      <c r="G73" s="167"/>
      <c r="H73" s="29"/>
    </row>
    <row r="74" spans="1:8" x14ac:dyDescent="0.25">
      <c r="A74" s="181"/>
      <c r="B74" s="374"/>
      <c r="C74" s="8"/>
      <c r="D74" s="8"/>
      <c r="E74" s="8"/>
      <c r="F74" s="8"/>
      <c r="G74" s="167"/>
      <c r="H74" s="29"/>
    </row>
    <row r="75" spans="1:8" x14ac:dyDescent="0.25">
      <c r="A75" s="181"/>
      <c r="B75" s="374"/>
      <c r="C75" s="8"/>
      <c r="D75" s="8"/>
      <c r="E75" s="8"/>
      <c r="F75" s="8"/>
      <c r="G75" s="167"/>
      <c r="H75" s="29"/>
    </row>
    <row r="76" spans="1:8" x14ac:dyDescent="0.25">
      <c r="A76" s="181"/>
      <c r="B76" s="374"/>
      <c r="C76" s="8"/>
      <c r="D76" s="8"/>
      <c r="E76" s="8"/>
      <c r="F76" s="8"/>
      <c r="G76" s="167"/>
      <c r="H76" s="29"/>
    </row>
    <row r="77" spans="1:8" x14ac:dyDescent="0.25">
      <c r="A77" s="181"/>
      <c r="B77" s="374"/>
      <c r="C77" s="8"/>
      <c r="D77" s="8"/>
      <c r="E77" s="8"/>
      <c r="F77" s="8"/>
      <c r="G77" s="167"/>
      <c r="H77" s="29"/>
    </row>
    <row r="78" spans="1:8" x14ac:dyDescent="0.25">
      <c r="A78" s="181"/>
      <c r="B78" s="374"/>
      <c r="C78" s="8"/>
      <c r="D78" s="8"/>
      <c r="E78" s="8"/>
      <c r="F78" s="8"/>
      <c r="G78" s="167"/>
      <c r="H78" s="29"/>
    </row>
    <row r="79" spans="1:8" x14ac:dyDescent="0.25">
      <c r="A79" s="181"/>
      <c r="B79" s="374"/>
      <c r="C79" s="8"/>
      <c r="D79" s="8"/>
      <c r="E79" s="8"/>
      <c r="F79" s="8"/>
      <c r="G79" s="167"/>
      <c r="H79" s="29"/>
    </row>
    <row r="80" spans="1:8" x14ac:dyDescent="0.25">
      <c r="A80" s="181"/>
      <c r="B80" s="374"/>
      <c r="C80" s="8"/>
      <c r="D80" s="8"/>
      <c r="E80" s="8"/>
      <c r="F80" s="8"/>
      <c r="G80" s="167"/>
      <c r="H80" s="29"/>
    </row>
    <row r="81" spans="1:8" x14ac:dyDescent="0.25">
      <c r="A81" s="181"/>
      <c r="B81" s="374"/>
      <c r="C81" s="8"/>
      <c r="D81" s="8"/>
      <c r="E81" s="8"/>
      <c r="F81" s="8"/>
      <c r="G81" s="167"/>
      <c r="H81" s="29"/>
    </row>
    <row r="82" spans="1:8" ht="15.75" thickBot="1" x14ac:dyDescent="0.3">
      <c r="A82" s="181" t="s">
        <v>168</v>
      </c>
      <c r="B82" s="375"/>
      <c r="C82" s="168" t="s">
        <v>228</v>
      </c>
      <c r="D82" s="168" t="str">
        <f>A82</f>
        <v>juin</v>
      </c>
      <c r="E82" s="168"/>
      <c r="F82" s="168"/>
      <c r="G82" s="169">
        <f>SUM(G70:G81)</f>
        <v>12.6</v>
      </c>
      <c r="H82" s="170"/>
    </row>
    <row r="83" spans="1:8" ht="15.75" thickTop="1" x14ac:dyDescent="0.25">
      <c r="A83" s="177"/>
      <c r="B83" s="376" t="str">
        <f>D95</f>
        <v>juillet</v>
      </c>
      <c r="C83" s="155" t="s">
        <v>225</v>
      </c>
      <c r="D83" s="155" t="s">
        <v>226</v>
      </c>
      <c r="E83" s="155">
        <v>12</v>
      </c>
      <c r="F83" s="155">
        <v>1.5</v>
      </c>
      <c r="G83" s="156">
        <f>E83*F83*0.7</f>
        <v>12.6</v>
      </c>
      <c r="H83" s="157" t="s">
        <v>227</v>
      </c>
    </row>
    <row r="84" spans="1:8" x14ac:dyDescent="0.25">
      <c r="A84" s="178"/>
      <c r="B84" s="377"/>
      <c r="C84" s="158"/>
      <c r="D84" s="158"/>
      <c r="E84" s="158"/>
      <c r="F84" s="158"/>
      <c r="G84" s="159"/>
      <c r="H84" s="160"/>
    </row>
    <row r="85" spans="1:8" x14ac:dyDescent="0.25">
      <c r="A85" s="178"/>
      <c r="B85" s="377"/>
      <c r="C85" s="158"/>
      <c r="D85" s="158"/>
      <c r="E85" s="158"/>
      <c r="F85" s="158"/>
      <c r="G85" s="159"/>
      <c r="H85" s="160"/>
    </row>
    <row r="86" spans="1:8" x14ac:dyDescent="0.25">
      <c r="A86" s="178"/>
      <c r="B86" s="377"/>
      <c r="C86" s="158"/>
      <c r="D86" s="158"/>
      <c r="E86" s="158"/>
      <c r="F86" s="158"/>
      <c r="G86" s="159"/>
      <c r="H86" s="160"/>
    </row>
    <row r="87" spans="1:8" x14ac:dyDescent="0.25">
      <c r="A87" s="178"/>
      <c r="B87" s="377"/>
      <c r="C87" s="158"/>
      <c r="D87" s="158"/>
      <c r="E87" s="158"/>
      <c r="F87" s="158"/>
      <c r="G87" s="159"/>
      <c r="H87" s="160"/>
    </row>
    <row r="88" spans="1:8" x14ac:dyDescent="0.25">
      <c r="A88" s="178"/>
      <c r="B88" s="377"/>
      <c r="C88" s="158"/>
      <c r="D88" s="158"/>
      <c r="E88" s="158"/>
      <c r="F88" s="158"/>
      <c r="G88" s="159"/>
      <c r="H88" s="160"/>
    </row>
    <row r="89" spans="1:8" x14ac:dyDescent="0.25">
      <c r="A89" s="178"/>
      <c r="B89" s="377"/>
      <c r="C89" s="158"/>
      <c r="D89" s="158"/>
      <c r="E89" s="158"/>
      <c r="F89" s="158"/>
      <c r="G89" s="159"/>
      <c r="H89" s="160"/>
    </row>
    <row r="90" spans="1:8" x14ac:dyDescent="0.25">
      <c r="A90" s="178"/>
      <c r="B90" s="377"/>
      <c r="C90" s="158"/>
      <c r="D90" s="158"/>
      <c r="E90" s="158"/>
      <c r="F90" s="158"/>
      <c r="G90" s="159"/>
      <c r="H90" s="160"/>
    </row>
    <row r="91" spans="1:8" x14ac:dyDescent="0.25">
      <c r="A91" s="178"/>
      <c r="B91" s="377"/>
      <c r="C91" s="158"/>
      <c r="D91" s="158"/>
      <c r="E91" s="158"/>
      <c r="F91" s="158"/>
      <c r="G91" s="159"/>
      <c r="H91" s="160"/>
    </row>
    <row r="92" spans="1:8" x14ac:dyDescent="0.25">
      <c r="A92" s="178"/>
      <c r="B92" s="377"/>
      <c r="C92" s="158"/>
      <c r="D92" s="158"/>
      <c r="E92" s="158"/>
      <c r="F92" s="158"/>
      <c r="G92" s="159"/>
      <c r="H92" s="160"/>
    </row>
    <row r="93" spans="1:8" x14ac:dyDescent="0.25">
      <c r="A93" s="178"/>
      <c r="B93" s="377"/>
      <c r="C93" s="158"/>
      <c r="D93" s="158"/>
      <c r="E93" s="158"/>
      <c r="F93" s="158"/>
      <c r="G93" s="159"/>
      <c r="H93" s="160"/>
    </row>
    <row r="94" spans="1:8" x14ac:dyDescent="0.25">
      <c r="A94" s="178"/>
      <c r="B94" s="377"/>
      <c r="C94" s="158"/>
      <c r="D94" s="158"/>
      <c r="E94" s="158"/>
      <c r="F94" s="158"/>
      <c r="G94" s="159"/>
      <c r="H94" s="160"/>
    </row>
    <row r="95" spans="1:8" s="1" customFormat="1" ht="15.75" thickBot="1" x14ac:dyDescent="0.3">
      <c r="A95" s="178" t="s">
        <v>169</v>
      </c>
      <c r="B95" s="378"/>
      <c r="C95" s="161" t="s">
        <v>228</v>
      </c>
      <c r="D95" s="161" t="str">
        <f>A95</f>
        <v>juillet</v>
      </c>
      <c r="E95" s="161"/>
      <c r="F95" s="161"/>
      <c r="G95" s="162">
        <f>SUM(G83:G94)</f>
        <v>12.6</v>
      </c>
      <c r="H95" s="163"/>
    </row>
    <row r="96" spans="1:8" s="38" customFormat="1" ht="15.75" thickTop="1" x14ac:dyDescent="0.25">
      <c r="A96" s="182"/>
      <c r="B96" s="373" t="str">
        <f>D108</f>
        <v>août</v>
      </c>
      <c r="C96" s="174" t="s">
        <v>225</v>
      </c>
      <c r="D96" s="174" t="s">
        <v>226</v>
      </c>
      <c r="E96" s="174">
        <v>12</v>
      </c>
      <c r="F96" s="174">
        <v>1.5</v>
      </c>
      <c r="G96" s="175">
        <f>E96*F96*0.7</f>
        <v>12.6</v>
      </c>
      <c r="H96" s="176" t="s">
        <v>227</v>
      </c>
    </row>
    <row r="97" spans="1:8" x14ac:dyDescent="0.25">
      <c r="A97" s="181"/>
      <c r="B97" s="374"/>
      <c r="C97" s="8"/>
      <c r="D97" s="8"/>
      <c r="E97" s="8"/>
      <c r="F97" s="8"/>
      <c r="G97" s="167"/>
      <c r="H97" s="29"/>
    </row>
    <row r="98" spans="1:8" x14ac:dyDescent="0.25">
      <c r="A98" s="181"/>
      <c r="B98" s="374"/>
      <c r="C98" s="8"/>
      <c r="D98" s="8"/>
      <c r="E98" s="8"/>
      <c r="F98" s="8"/>
      <c r="G98" s="167"/>
      <c r="H98" s="29"/>
    </row>
    <row r="99" spans="1:8" x14ac:dyDescent="0.25">
      <c r="A99" s="181"/>
      <c r="B99" s="374"/>
      <c r="C99" s="8"/>
      <c r="D99" s="8"/>
      <c r="E99" s="8"/>
      <c r="F99" s="8"/>
      <c r="G99" s="167"/>
      <c r="H99" s="29"/>
    </row>
    <row r="100" spans="1:8" x14ac:dyDescent="0.25">
      <c r="A100" s="181"/>
      <c r="B100" s="374"/>
      <c r="C100" s="8"/>
      <c r="D100" s="8"/>
      <c r="E100" s="8"/>
      <c r="F100" s="8"/>
      <c r="G100" s="167"/>
      <c r="H100" s="29"/>
    </row>
    <row r="101" spans="1:8" x14ac:dyDescent="0.25">
      <c r="A101" s="181"/>
      <c r="B101" s="374"/>
      <c r="C101" s="8"/>
      <c r="D101" s="8"/>
      <c r="E101" s="8"/>
      <c r="F101" s="8"/>
      <c r="G101" s="167"/>
      <c r="H101" s="29"/>
    </row>
    <row r="102" spans="1:8" x14ac:dyDescent="0.25">
      <c r="A102" s="181"/>
      <c r="B102" s="374"/>
      <c r="C102" s="8"/>
      <c r="D102" s="8"/>
      <c r="E102" s="8"/>
      <c r="F102" s="8"/>
      <c r="G102" s="167"/>
      <c r="H102" s="29"/>
    </row>
    <row r="103" spans="1:8" x14ac:dyDescent="0.25">
      <c r="A103" s="181"/>
      <c r="B103" s="374"/>
      <c r="C103" s="8"/>
      <c r="D103" s="8"/>
      <c r="E103" s="8"/>
      <c r="F103" s="8"/>
      <c r="G103" s="167"/>
      <c r="H103" s="29"/>
    </row>
    <row r="104" spans="1:8" x14ac:dyDescent="0.25">
      <c r="A104" s="181"/>
      <c r="B104" s="374"/>
      <c r="C104" s="8"/>
      <c r="D104" s="8"/>
      <c r="E104" s="8"/>
      <c r="F104" s="8"/>
      <c r="G104" s="167"/>
      <c r="H104" s="29"/>
    </row>
    <row r="105" spans="1:8" x14ac:dyDescent="0.25">
      <c r="A105" s="181"/>
      <c r="B105" s="374"/>
      <c r="C105" s="8"/>
      <c r="D105" s="8"/>
      <c r="E105" s="8"/>
      <c r="F105" s="8"/>
      <c r="G105" s="167"/>
      <c r="H105" s="29"/>
    </row>
    <row r="106" spans="1:8" x14ac:dyDescent="0.25">
      <c r="A106" s="181"/>
      <c r="B106" s="374"/>
      <c r="C106" s="8"/>
      <c r="D106" s="8"/>
      <c r="E106" s="8"/>
      <c r="F106" s="8"/>
      <c r="G106" s="167"/>
      <c r="H106" s="29"/>
    </row>
    <row r="107" spans="1:8" x14ac:dyDescent="0.25">
      <c r="A107" s="181"/>
      <c r="B107" s="374"/>
      <c r="C107" s="8"/>
      <c r="D107" s="8"/>
      <c r="E107" s="8"/>
      <c r="F107" s="8"/>
      <c r="G107" s="167"/>
      <c r="H107" s="29"/>
    </row>
    <row r="108" spans="1:8" ht="15.75" thickBot="1" x14ac:dyDescent="0.3">
      <c r="A108" s="181" t="s">
        <v>170</v>
      </c>
      <c r="B108" s="375"/>
      <c r="C108" s="168" t="s">
        <v>228</v>
      </c>
      <c r="D108" s="168" t="str">
        <f>A108</f>
        <v>août</v>
      </c>
      <c r="E108" s="168"/>
      <c r="F108" s="168"/>
      <c r="G108" s="169">
        <f>SUM(G96:G107)</f>
        <v>12.6</v>
      </c>
      <c r="H108" s="170"/>
    </row>
    <row r="109" spans="1:8" ht="15.75" thickTop="1" x14ac:dyDescent="0.25">
      <c r="A109" s="177"/>
      <c r="B109" s="376" t="str">
        <f>D121</f>
        <v>septembre</v>
      </c>
      <c r="C109" s="155" t="s">
        <v>225</v>
      </c>
      <c r="D109" s="155" t="s">
        <v>226</v>
      </c>
      <c r="E109" s="155">
        <v>12</v>
      </c>
      <c r="F109" s="155">
        <v>1.5</v>
      </c>
      <c r="G109" s="156">
        <f>E109*F109*0.7</f>
        <v>12.6</v>
      </c>
      <c r="H109" s="157" t="s">
        <v>227</v>
      </c>
    </row>
    <row r="110" spans="1:8" x14ac:dyDescent="0.25">
      <c r="A110" s="178"/>
      <c r="B110" s="377"/>
      <c r="C110" s="158"/>
      <c r="D110" s="158"/>
      <c r="E110" s="158"/>
      <c r="F110" s="158"/>
      <c r="G110" s="159"/>
      <c r="H110" s="160"/>
    </row>
    <row r="111" spans="1:8" x14ac:dyDescent="0.25">
      <c r="A111" s="178"/>
      <c r="B111" s="377"/>
      <c r="C111" s="158"/>
      <c r="D111" s="158"/>
      <c r="E111" s="158"/>
      <c r="F111" s="158"/>
      <c r="G111" s="159"/>
      <c r="H111" s="160"/>
    </row>
    <row r="112" spans="1:8" x14ac:dyDescent="0.25">
      <c r="A112" s="178"/>
      <c r="B112" s="377"/>
      <c r="C112" s="158"/>
      <c r="D112" s="158"/>
      <c r="E112" s="158"/>
      <c r="F112" s="158"/>
      <c r="G112" s="159"/>
      <c r="H112" s="160"/>
    </row>
    <row r="113" spans="1:8" x14ac:dyDescent="0.25">
      <c r="A113" s="178"/>
      <c r="B113" s="377"/>
      <c r="C113" s="158"/>
      <c r="D113" s="158"/>
      <c r="E113" s="158"/>
      <c r="F113" s="158"/>
      <c r="G113" s="159"/>
      <c r="H113" s="160"/>
    </row>
    <row r="114" spans="1:8" x14ac:dyDescent="0.25">
      <c r="A114" s="178"/>
      <c r="B114" s="377"/>
      <c r="C114" s="158"/>
      <c r="D114" s="158"/>
      <c r="E114" s="158"/>
      <c r="F114" s="158"/>
      <c r="G114" s="159"/>
      <c r="H114" s="160"/>
    </row>
    <row r="115" spans="1:8" x14ac:dyDescent="0.25">
      <c r="A115" s="178"/>
      <c r="B115" s="377"/>
      <c r="C115" s="158"/>
      <c r="D115" s="158"/>
      <c r="E115" s="158"/>
      <c r="F115" s="158"/>
      <c r="G115" s="159"/>
      <c r="H115" s="160"/>
    </row>
    <row r="116" spans="1:8" x14ac:dyDescent="0.25">
      <c r="A116" s="178"/>
      <c r="B116" s="377"/>
      <c r="C116" s="158"/>
      <c r="D116" s="158"/>
      <c r="E116" s="158"/>
      <c r="F116" s="158"/>
      <c r="G116" s="159"/>
      <c r="H116" s="160"/>
    </row>
    <row r="117" spans="1:8" x14ac:dyDescent="0.25">
      <c r="A117" s="178"/>
      <c r="B117" s="377"/>
      <c r="C117" s="158"/>
      <c r="D117" s="158"/>
      <c r="E117" s="158"/>
      <c r="F117" s="158"/>
      <c r="G117" s="159"/>
      <c r="H117" s="160"/>
    </row>
    <row r="118" spans="1:8" x14ac:dyDescent="0.25">
      <c r="A118" s="178"/>
      <c r="B118" s="377"/>
      <c r="C118" s="158"/>
      <c r="D118" s="158"/>
      <c r="E118" s="158"/>
      <c r="F118" s="158"/>
      <c r="G118" s="159"/>
      <c r="H118" s="160"/>
    </row>
    <row r="119" spans="1:8" x14ac:dyDescent="0.25">
      <c r="A119" s="178"/>
      <c r="B119" s="377"/>
      <c r="C119" s="158"/>
      <c r="D119" s="158"/>
      <c r="E119" s="158"/>
      <c r="F119" s="158"/>
      <c r="G119" s="159"/>
      <c r="H119" s="160"/>
    </row>
    <row r="120" spans="1:8" x14ac:dyDescent="0.25">
      <c r="A120" s="178"/>
      <c r="B120" s="377"/>
      <c r="C120" s="158"/>
      <c r="D120" s="158"/>
      <c r="E120" s="158"/>
      <c r="F120" s="158"/>
      <c r="G120" s="159"/>
      <c r="H120" s="160"/>
    </row>
    <row r="121" spans="1:8" s="1" customFormat="1" x14ac:dyDescent="0.25">
      <c r="A121" s="178" t="s">
        <v>171</v>
      </c>
      <c r="B121" s="377"/>
      <c r="C121" s="171" t="s">
        <v>228</v>
      </c>
      <c r="D121" s="171" t="str">
        <f>A121</f>
        <v>septembre</v>
      </c>
      <c r="E121" s="171"/>
      <c r="F121" s="171"/>
      <c r="G121" s="172">
        <f>SUM(G109:G120)</f>
        <v>12.6</v>
      </c>
      <c r="H121" s="173"/>
    </row>
    <row r="122" spans="1:8" x14ac:dyDescent="0.25">
      <c r="A122" s="181"/>
      <c r="B122" s="379" t="str">
        <f>D134</f>
        <v>octobre</v>
      </c>
      <c r="C122" s="8" t="s">
        <v>225</v>
      </c>
      <c r="D122" s="8" t="s">
        <v>226</v>
      </c>
      <c r="E122" s="8">
        <v>12</v>
      </c>
      <c r="F122" s="8">
        <v>1.5</v>
      </c>
      <c r="G122" s="167">
        <f>E122*F122*0.7</f>
        <v>12.6</v>
      </c>
      <c r="H122" s="29" t="s">
        <v>227</v>
      </c>
    </row>
    <row r="123" spans="1:8" x14ac:dyDescent="0.25">
      <c r="A123" s="181"/>
      <c r="B123" s="374"/>
      <c r="C123" s="8"/>
      <c r="D123" s="8"/>
      <c r="E123" s="8"/>
      <c r="F123" s="8"/>
      <c r="G123" s="167"/>
      <c r="H123" s="29"/>
    </row>
    <row r="124" spans="1:8" x14ac:dyDescent="0.25">
      <c r="A124" s="181"/>
      <c r="B124" s="374"/>
      <c r="C124" s="8"/>
      <c r="D124" s="8"/>
      <c r="E124" s="8"/>
      <c r="F124" s="8"/>
      <c r="G124" s="167"/>
      <c r="H124" s="29"/>
    </row>
    <row r="125" spans="1:8" x14ac:dyDescent="0.25">
      <c r="A125" s="181"/>
      <c r="B125" s="374"/>
      <c r="C125" s="8"/>
      <c r="D125" s="8"/>
      <c r="E125" s="8"/>
      <c r="F125" s="8"/>
      <c r="G125" s="167"/>
      <c r="H125" s="29"/>
    </row>
    <row r="126" spans="1:8" x14ac:dyDescent="0.25">
      <c r="A126" s="181"/>
      <c r="B126" s="374"/>
      <c r="C126" s="8"/>
      <c r="D126" s="8"/>
      <c r="E126" s="8"/>
      <c r="F126" s="8"/>
      <c r="G126" s="167"/>
      <c r="H126" s="29"/>
    </row>
    <row r="127" spans="1:8" x14ac:dyDescent="0.25">
      <c r="A127" s="181"/>
      <c r="B127" s="374"/>
      <c r="C127" s="8"/>
      <c r="D127" s="8"/>
      <c r="E127" s="8"/>
      <c r="F127" s="8"/>
      <c r="G127" s="167"/>
      <c r="H127" s="29"/>
    </row>
    <row r="128" spans="1:8" x14ac:dyDescent="0.25">
      <c r="A128" s="181"/>
      <c r="B128" s="374"/>
      <c r="C128" s="8"/>
      <c r="D128" s="8"/>
      <c r="E128" s="8"/>
      <c r="F128" s="8"/>
      <c r="G128" s="167"/>
      <c r="H128" s="29"/>
    </row>
    <row r="129" spans="1:8" x14ac:dyDescent="0.25">
      <c r="A129" s="181"/>
      <c r="B129" s="374"/>
      <c r="C129" s="8"/>
      <c r="D129" s="8"/>
      <c r="E129" s="8"/>
      <c r="F129" s="8"/>
      <c r="G129" s="167"/>
      <c r="H129" s="29"/>
    </row>
    <row r="130" spans="1:8" x14ac:dyDescent="0.25">
      <c r="A130" s="181"/>
      <c r="B130" s="374"/>
      <c r="C130" s="8"/>
      <c r="D130" s="8"/>
      <c r="E130" s="8"/>
      <c r="F130" s="8"/>
      <c r="G130" s="167"/>
      <c r="H130" s="29"/>
    </row>
    <row r="131" spans="1:8" x14ac:dyDescent="0.25">
      <c r="A131" s="181"/>
      <c r="B131" s="374"/>
      <c r="C131" s="8"/>
      <c r="D131" s="8"/>
      <c r="E131" s="8"/>
      <c r="F131" s="8"/>
      <c r="G131" s="167"/>
      <c r="H131" s="29"/>
    </row>
    <row r="132" spans="1:8" x14ac:dyDescent="0.25">
      <c r="A132" s="181"/>
      <c r="B132" s="374"/>
      <c r="C132" s="8"/>
      <c r="D132" s="8"/>
      <c r="E132" s="8"/>
      <c r="F132" s="8"/>
      <c r="G132" s="167"/>
      <c r="H132" s="29"/>
    </row>
    <row r="133" spans="1:8" x14ac:dyDescent="0.25">
      <c r="A133" s="181"/>
      <c r="B133" s="374"/>
      <c r="C133" s="8"/>
      <c r="D133" s="8"/>
      <c r="E133" s="8"/>
      <c r="F133" s="8"/>
      <c r="G133" s="167"/>
      <c r="H133" s="29"/>
    </row>
    <row r="134" spans="1:8" ht="15.75" thickBot="1" x14ac:dyDescent="0.3">
      <c r="A134" s="181" t="s">
        <v>172</v>
      </c>
      <c r="B134" s="375"/>
      <c r="C134" s="168" t="s">
        <v>228</v>
      </c>
      <c r="D134" s="168" t="str">
        <f>A134</f>
        <v>octobre</v>
      </c>
      <c r="E134" s="168"/>
      <c r="F134" s="168"/>
      <c r="G134" s="169">
        <f>SUM(G122:G133)</f>
        <v>12.6</v>
      </c>
      <c r="H134" s="170"/>
    </row>
    <row r="135" spans="1:8" ht="15.75" thickTop="1" x14ac:dyDescent="0.25">
      <c r="A135" s="177"/>
      <c r="B135" s="376" t="str">
        <f>D147</f>
        <v>novembre</v>
      </c>
      <c r="C135" s="155" t="s">
        <v>225</v>
      </c>
      <c r="D135" s="155" t="s">
        <v>226</v>
      </c>
      <c r="E135" s="155">
        <v>12</v>
      </c>
      <c r="F135" s="155">
        <v>1.5</v>
      </c>
      <c r="G135" s="156">
        <f>E135*F135*0.7</f>
        <v>12.6</v>
      </c>
      <c r="H135" s="157" t="s">
        <v>227</v>
      </c>
    </row>
    <row r="136" spans="1:8" x14ac:dyDescent="0.25">
      <c r="A136" s="178"/>
      <c r="B136" s="377"/>
      <c r="C136" s="158"/>
      <c r="D136" s="158"/>
      <c r="E136" s="158"/>
      <c r="F136" s="158"/>
      <c r="G136" s="159"/>
      <c r="H136" s="160"/>
    </row>
    <row r="137" spans="1:8" x14ac:dyDescent="0.25">
      <c r="A137" s="178"/>
      <c r="B137" s="377"/>
      <c r="C137" s="158"/>
      <c r="D137" s="158"/>
      <c r="E137" s="158"/>
      <c r="F137" s="158"/>
      <c r="G137" s="159"/>
      <c r="H137" s="160"/>
    </row>
    <row r="138" spans="1:8" x14ac:dyDescent="0.25">
      <c r="A138" s="178"/>
      <c r="B138" s="377"/>
      <c r="C138" s="158"/>
      <c r="D138" s="158"/>
      <c r="E138" s="158"/>
      <c r="F138" s="158"/>
      <c r="G138" s="159"/>
      <c r="H138" s="160"/>
    </row>
    <row r="139" spans="1:8" x14ac:dyDescent="0.25">
      <c r="A139" s="178"/>
      <c r="B139" s="377"/>
      <c r="C139" s="158"/>
      <c r="D139" s="158"/>
      <c r="E139" s="158"/>
      <c r="F139" s="158"/>
      <c r="G139" s="159"/>
      <c r="H139" s="160"/>
    </row>
    <row r="140" spans="1:8" x14ac:dyDescent="0.25">
      <c r="A140" s="178"/>
      <c r="B140" s="377"/>
      <c r="C140" s="158"/>
      <c r="D140" s="158"/>
      <c r="E140" s="158"/>
      <c r="F140" s="158"/>
      <c r="G140" s="159"/>
      <c r="H140" s="160"/>
    </row>
    <row r="141" spans="1:8" x14ac:dyDescent="0.25">
      <c r="A141" s="178"/>
      <c r="B141" s="377"/>
      <c r="C141" s="158"/>
      <c r="D141" s="158"/>
      <c r="E141" s="158"/>
      <c r="F141" s="158"/>
      <c r="G141" s="159"/>
      <c r="H141" s="160"/>
    </row>
    <row r="142" spans="1:8" x14ac:dyDescent="0.25">
      <c r="A142" s="178"/>
      <c r="B142" s="377"/>
      <c r="C142" s="158"/>
      <c r="D142" s="158"/>
      <c r="E142" s="158"/>
      <c r="F142" s="158"/>
      <c r="G142" s="159"/>
      <c r="H142" s="160"/>
    </row>
    <row r="143" spans="1:8" x14ac:dyDescent="0.25">
      <c r="A143" s="178"/>
      <c r="B143" s="377"/>
      <c r="C143" s="158"/>
      <c r="D143" s="158"/>
      <c r="E143" s="158"/>
      <c r="F143" s="158"/>
      <c r="G143" s="159"/>
      <c r="H143" s="160"/>
    </row>
    <row r="144" spans="1:8" x14ac:dyDescent="0.25">
      <c r="A144" s="178"/>
      <c r="B144" s="377"/>
      <c r="C144" s="158"/>
      <c r="D144" s="158"/>
      <c r="E144" s="158"/>
      <c r="F144" s="158"/>
      <c r="G144" s="159"/>
      <c r="H144" s="160"/>
    </row>
    <row r="145" spans="1:8" x14ac:dyDescent="0.25">
      <c r="A145" s="178"/>
      <c r="B145" s="377"/>
      <c r="C145" s="158"/>
      <c r="D145" s="158"/>
      <c r="E145" s="158"/>
      <c r="F145" s="158"/>
      <c r="G145" s="159"/>
      <c r="H145" s="160"/>
    </row>
    <row r="146" spans="1:8" x14ac:dyDescent="0.25">
      <c r="A146" s="178"/>
      <c r="B146" s="377"/>
      <c r="C146" s="158"/>
      <c r="D146" s="158"/>
      <c r="E146" s="158"/>
      <c r="F146" s="158"/>
      <c r="G146" s="159"/>
      <c r="H146" s="160"/>
    </row>
    <row r="147" spans="1:8" s="1" customFormat="1" ht="15.75" thickBot="1" x14ac:dyDescent="0.3">
      <c r="A147" s="178" t="s">
        <v>173</v>
      </c>
      <c r="B147" s="378"/>
      <c r="C147" s="161" t="s">
        <v>228</v>
      </c>
      <c r="D147" s="161" t="str">
        <f>A147</f>
        <v>novembre</v>
      </c>
      <c r="E147" s="161"/>
      <c r="F147" s="161"/>
      <c r="G147" s="162">
        <f>SUM(G135:G146)</f>
        <v>12.6</v>
      </c>
      <c r="H147" s="163"/>
    </row>
    <row r="148" spans="1:8" ht="15.75" thickTop="1" x14ac:dyDescent="0.25">
      <c r="A148" s="180"/>
      <c r="B148" s="373" t="str">
        <f>D160</f>
        <v>décembre</v>
      </c>
      <c r="C148" s="164" t="s">
        <v>225</v>
      </c>
      <c r="D148" s="164" t="s">
        <v>226</v>
      </c>
      <c r="E148" s="164">
        <v>12</v>
      </c>
      <c r="F148" s="164">
        <v>1.5</v>
      </c>
      <c r="G148" s="165">
        <f>E148*F148*0.7</f>
        <v>12.6</v>
      </c>
      <c r="H148" s="166" t="s">
        <v>227</v>
      </c>
    </row>
    <row r="149" spans="1:8" x14ac:dyDescent="0.25">
      <c r="A149" s="181"/>
      <c r="B149" s="374"/>
      <c r="C149" s="8"/>
      <c r="D149" s="8"/>
      <c r="E149" s="8"/>
      <c r="F149" s="8"/>
      <c r="G149" s="167"/>
      <c r="H149" s="29"/>
    </row>
    <row r="150" spans="1:8" x14ac:dyDescent="0.25">
      <c r="A150" s="181"/>
      <c r="B150" s="374"/>
      <c r="C150" s="8"/>
      <c r="D150" s="8"/>
      <c r="E150" s="8"/>
      <c r="F150" s="8"/>
      <c r="G150" s="167"/>
      <c r="H150" s="29"/>
    </row>
    <row r="151" spans="1:8" x14ac:dyDescent="0.25">
      <c r="A151" s="181"/>
      <c r="B151" s="374"/>
      <c r="C151" s="8"/>
      <c r="D151" s="8"/>
      <c r="E151" s="8"/>
      <c r="F151" s="8"/>
      <c r="G151" s="167"/>
      <c r="H151" s="29"/>
    </row>
    <row r="152" spans="1:8" x14ac:dyDescent="0.25">
      <c r="A152" s="181"/>
      <c r="B152" s="374"/>
      <c r="C152" s="8"/>
      <c r="D152" s="8"/>
      <c r="E152" s="8"/>
      <c r="F152" s="8"/>
      <c r="G152" s="167"/>
      <c r="H152" s="29"/>
    </row>
    <row r="153" spans="1:8" x14ac:dyDescent="0.25">
      <c r="A153" s="181"/>
      <c r="B153" s="374"/>
      <c r="C153" s="8"/>
      <c r="D153" s="8"/>
      <c r="E153" s="8"/>
      <c r="F153" s="8"/>
      <c r="G153" s="167"/>
      <c r="H153" s="29"/>
    </row>
    <row r="154" spans="1:8" x14ac:dyDescent="0.25">
      <c r="A154" s="181"/>
      <c r="B154" s="374"/>
      <c r="C154" s="8"/>
      <c r="D154" s="8"/>
      <c r="E154" s="8"/>
      <c r="F154" s="8"/>
      <c r="G154" s="167"/>
      <c r="H154" s="29"/>
    </row>
    <row r="155" spans="1:8" x14ac:dyDescent="0.25">
      <c r="A155" s="181"/>
      <c r="B155" s="374"/>
      <c r="C155" s="8"/>
      <c r="D155" s="8"/>
      <c r="E155" s="8"/>
      <c r="F155" s="8"/>
      <c r="G155" s="167"/>
      <c r="H155" s="29"/>
    </row>
    <row r="156" spans="1:8" x14ac:dyDescent="0.25">
      <c r="A156" s="181"/>
      <c r="B156" s="374"/>
      <c r="C156" s="8"/>
      <c r="D156" s="8"/>
      <c r="E156" s="8"/>
      <c r="F156" s="8"/>
      <c r="G156" s="167"/>
      <c r="H156" s="29"/>
    </row>
    <row r="157" spans="1:8" x14ac:dyDescent="0.25">
      <c r="A157" s="181"/>
      <c r="B157" s="374"/>
      <c r="C157" s="8"/>
      <c r="D157" s="8"/>
      <c r="E157" s="8"/>
      <c r="F157" s="8"/>
      <c r="G157" s="167"/>
      <c r="H157" s="29"/>
    </row>
    <row r="158" spans="1:8" x14ac:dyDescent="0.25">
      <c r="A158" s="181"/>
      <c r="B158" s="374"/>
      <c r="C158" s="8"/>
      <c r="D158" s="8"/>
      <c r="E158" s="8"/>
      <c r="F158" s="8"/>
      <c r="G158" s="167"/>
      <c r="H158" s="29"/>
    </row>
    <row r="159" spans="1:8" x14ac:dyDescent="0.25">
      <c r="A159" s="181"/>
      <c r="B159" s="374"/>
      <c r="C159" s="8"/>
      <c r="D159" s="8"/>
      <c r="E159" s="8"/>
      <c r="F159" s="8"/>
      <c r="G159" s="167"/>
      <c r="H159" s="29"/>
    </row>
    <row r="160" spans="1:8" ht="15.75" thickBot="1" x14ac:dyDescent="0.3">
      <c r="A160" s="181" t="s">
        <v>174</v>
      </c>
      <c r="B160" s="375"/>
      <c r="C160" s="168" t="s">
        <v>228</v>
      </c>
      <c r="D160" s="168" t="str">
        <f>A160</f>
        <v>décembre</v>
      </c>
      <c r="E160" s="168"/>
      <c r="F160" s="168"/>
      <c r="G160" s="169">
        <f>SUM(G148:G159)</f>
        <v>12.6</v>
      </c>
      <c r="H160" s="170"/>
    </row>
    <row r="161" ht="15.75" thickTop="1" x14ac:dyDescent="0.25"/>
  </sheetData>
  <mergeCells count="12">
    <mergeCell ref="B148:B160"/>
    <mergeCell ref="B5:B17"/>
    <mergeCell ref="B18:B30"/>
    <mergeCell ref="B31:B43"/>
    <mergeCell ref="B44:B56"/>
    <mergeCell ref="B57:B69"/>
    <mergeCell ref="B70:B82"/>
    <mergeCell ref="B83:B95"/>
    <mergeCell ref="B96:B108"/>
    <mergeCell ref="B109:B121"/>
    <mergeCell ref="B122:B134"/>
    <mergeCell ref="B135:B14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N51"/>
  <sheetViews>
    <sheetView workbookViewId="0">
      <selection activeCell="H16" sqref="H16"/>
    </sheetView>
  </sheetViews>
  <sheetFormatPr baseColWidth="10" defaultRowHeight="15" x14ac:dyDescent="0.25"/>
  <cols>
    <col min="1" max="1" width="3.28515625" style="17" customWidth="1"/>
    <col min="2" max="2" width="4.28515625" style="17" customWidth="1"/>
    <col min="3" max="3" width="46.42578125" customWidth="1"/>
    <col min="10" max="11" width="11.42578125" style="25"/>
  </cols>
  <sheetData>
    <row r="1" spans="1:14" ht="38.25" x14ac:dyDescent="0.25">
      <c r="D1" s="20" t="s">
        <v>0</v>
      </c>
      <c r="E1" s="21" t="s">
        <v>1</v>
      </c>
      <c r="F1" s="21" t="s">
        <v>2</v>
      </c>
      <c r="G1" s="92" t="s">
        <v>3</v>
      </c>
      <c r="H1" s="102" t="s">
        <v>179</v>
      </c>
      <c r="I1" s="102" t="s">
        <v>180</v>
      </c>
    </row>
    <row r="2" spans="1:14" x14ac:dyDescent="0.25">
      <c r="A2" s="17" t="s">
        <v>70</v>
      </c>
      <c r="B2" s="380" t="str">
        <f>A2</f>
        <v>Janvier</v>
      </c>
      <c r="C2" s="8" t="s">
        <v>58</v>
      </c>
      <c r="D2" s="40">
        <v>402</v>
      </c>
      <c r="E2" s="40"/>
      <c r="F2" s="25"/>
      <c r="G2" s="25"/>
      <c r="H2" s="122">
        <v>1</v>
      </c>
      <c r="I2" s="34">
        <v>30</v>
      </c>
      <c r="J2" s="25">
        <v>400</v>
      </c>
      <c r="K2" s="25">
        <v>200</v>
      </c>
      <c r="L2" s="132">
        <f>J2*H2</f>
        <v>400</v>
      </c>
      <c r="M2">
        <f>SUMIFS(L2,I2,30)</f>
        <v>400</v>
      </c>
      <c r="N2">
        <f>IF(M2=0,0,IF(M2&lt;200,200,M2))</f>
        <v>400</v>
      </c>
    </row>
    <row r="3" spans="1:14" x14ac:dyDescent="0.25">
      <c r="A3" s="17" t="s">
        <v>70</v>
      </c>
      <c r="B3" s="381"/>
      <c r="C3" s="8" t="s">
        <v>59</v>
      </c>
      <c r="D3" s="40"/>
      <c r="E3" s="40">
        <v>34</v>
      </c>
      <c r="F3" s="25"/>
      <c r="G3" s="25"/>
      <c r="H3" s="122">
        <v>0.2</v>
      </c>
      <c r="I3" s="34">
        <v>30</v>
      </c>
      <c r="J3" s="25">
        <v>400</v>
      </c>
      <c r="K3" s="25">
        <v>200</v>
      </c>
      <c r="L3" s="132">
        <f>J3*H3</f>
        <v>80</v>
      </c>
      <c r="M3">
        <f>SUMIFS(L3,I3,30)</f>
        <v>80</v>
      </c>
      <c r="N3">
        <f>IF(M3=0,0,IF(M3&lt;200,200,M3))</f>
        <v>200</v>
      </c>
    </row>
    <row r="4" spans="1:14" x14ac:dyDescent="0.25">
      <c r="A4" s="17" t="s">
        <v>70</v>
      </c>
      <c r="B4" s="381"/>
      <c r="C4" s="8" t="s">
        <v>93</v>
      </c>
      <c r="D4" s="40"/>
      <c r="E4" s="40"/>
      <c r="F4" s="25"/>
      <c r="G4" s="25"/>
      <c r="H4" s="122">
        <v>0.1</v>
      </c>
      <c r="I4" s="34"/>
      <c r="J4" s="25">
        <v>400</v>
      </c>
      <c r="K4" s="25">
        <v>200</v>
      </c>
      <c r="L4" s="132">
        <f>J4*H4</f>
        <v>40</v>
      </c>
      <c r="M4">
        <f>SUMIFS(L4,I4,30)</f>
        <v>0</v>
      </c>
      <c r="N4">
        <f>IF(M4=0,0,IF(M4&lt;200,200,M4))</f>
        <v>0</v>
      </c>
    </row>
    <row r="5" spans="1:14" x14ac:dyDescent="0.25">
      <c r="A5" s="17" t="s">
        <v>70</v>
      </c>
      <c r="B5" s="381"/>
      <c r="C5" s="8" t="s">
        <v>60</v>
      </c>
      <c r="D5" s="40">
        <v>5</v>
      </c>
      <c r="E5" s="40"/>
      <c r="F5" s="25"/>
      <c r="G5" s="25"/>
      <c r="H5" s="119"/>
    </row>
    <row r="6" spans="1:14" x14ac:dyDescent="0.25">
      <c r="A6" s="17" t="s">
        <v>70</v>
      </c>
      <c r="B6" s="381"/>
      <c r="C6" s="8" t="s">
        <v>61</v>
      </c>
      <c r="D6" s="40"/>
      <c r="E6" s="40"/>
      <c r="F6" s="25"/>
      <c r="G6" s="25"/>
      <c r="H6" s="119"/>
    </row>
    <row r="7" spans="1:14" x14ac:dyDescent="0.25">
      <c r="A7" s="17" t="s">
        <v>70</v>
      </c>
      <c r="B7" s="381"/>
      <c r="C7" s="8" t="s">
        <v>62</v>
      </c>
      <c r="D7" s="40"/>
      <c r="E7" s="40"/>
      <c r="F7" s="25"/>
      <c r="G7" s="25"/>
      <c r="H7" s="119"/>
    </row>
    <row r="8" spans="1:14" x14ac:dyDescent="0.25">
      <c r="A8" s="17" t="s">
        <v>70</v>
      </c>
      <c r="B8" s="381"/>
      <c r="C8" s="8" t="s">
        <v>101</v>
      </c>
      <c r="D8" s="40"/>
      <c r="E8" s="40"/>
      <c r="F8" s="25"/>
      <c r="G8" s="25"/>
      <c r="H8" s="119"/>
    </row>
    <row r="9" spans="1:14" x14ac:dyDescent="0.25">
      <c r="A9" s="17" t="s">
        <v>70</v>
      </c>
      <c r="B9" s="381"/>
      <c r="C9" s="8" t="s">
        <v>102</v>
      </c>
      <c r="D9" s="40"/>
      <c r="E9" s="40"/>
      <c r="F9" s="25"/>
      <c r="G9" s="25"/>
      <c r="H9" s="119"/>
    </row>
    <row r="10" spans="1:14" x14ac:dyDescent="0.25">
      <c r="A10" s="17" t="s">
        <v>70</v>
      </c>
      <c r="B10" s="381"/>
      <c r="C10" s="8" t="s">
        <v>63</v>
      </c>
      <c r="D10" s="40"/>
      <c r="E10" s="40"/>
      <c r="F10" s="25"/>
      <c r="G10" s="25"/>
      <c r="H10" s="119"/>
    </row>
    <row r="11" spans="1:14" x14ac:dyDescent="0.25">
      <c r="A11" s="17" t="s">
        <v>70</v>
      </c>
      <c r="B11" s="381"/>
      <c r="C11" s="8" t="s">
        <v>91</v>
      </c>
      <c r="D11" s="40"/>
      <c r="E11" s="40"/>
      <c r="F11" s="25"/>
      <c r="G11" s="25"/>
      <c r="H11" s="119"/>
    </row>
    <row r="12" spans="1:14" x14ac:dyDescent="0.25">
      <c r="A12" s="17" t="s">
        <v>70</v>
      </c>
      <c r="B12" s="381"/>
      <c r="C12" s="8" t="s">
        <v>92</v>
      </c>
      <c r="D12" s="40"/>
      <c r="E12" s="40"/>
      <c r="F12" s="25"/>
      <c r="G12" s="25"/>
      <c r="H12" s="119"/>
    </row>
    <row r="13" spans="1:14" x14ac:dyDescent="0.25">
      <c r="A13" s="17" t="s">
        <v>70</v>
      </c>
      <c r="B13" s="381"/>
      <c r="C13" s="97" t="s">
        <v>196</v>
      </c>
      <c r="D13" s="40"/>
      <c r="E13" s="40"/>
      <c r="F13" s="25"/>
      <c r="G13" s="25"/>
      <c r="H13" s="119"/>
    </row>
    <row r="14" spans="1:14" x14ac:dyDescent="0.25">
      <c r="A14" s="17" t="s">
        <v>70</v>
      </c>
      <c r="B14" s="381"/>
      <c r="C14" s="8" t="s">
        <v>85</v>
      </c>
      <c r="D14" s="40"/>
      <c r="E14" s="40"/>
      <c r="F14" s="25"/>
      <c r="G14" s="25"/>
      <c r="H14" s="119"/>
    </row>
    <row r="15" spans="1:14" ht="39.75" customHeight="1" x14ac:dyDescent="0.25">
      <c r="A15" s="17" t="s">
        <v>70</v>
      </c>
      <c r="B15" s="381"/>
      <c r="C15" s="118" t="s">
        <v>137</v>
      </c>
      <c r="D15" s="120"/>
      <c r="E15" s="121"/>
      <c r="F15" s="78">
        <f>N2+N3+N4</f>
        <v>600</v>
      </c>
      <c r="G15" s="25"/>
    </row>
    <row r="17" spans="1:1" x14ac:dyDescent="0.25">
      <c r="A17" s="17" t="s">
        <v>73</v>
      </c>
    </row>
    <row r="18" spans="1:1" x14ac:dyDescent="0.25">
      <c r="A18" s="17" t="s">
        <v>73</v>
      </c>
    </row>
    <row r="19" spans="1:1" x14ac:dyDescent="0.25">
      <c r="A19" s="17" t="s">
        <v>73</v>
      </c>
    </row>
    <row r="21" spans="1:1" x14ac:dyDescent="0.25">
      <c r="A21" s="17" t="s">
        <v>74</v>
      </c>
    </row>
    <row r="22" spans="1:1" x14ac:dyDescent="0.25">
      <c r="A22" s="17" t="s">
        <v>74</v>
      </c>
    </row>
    <row r="23" spans="1:1" x14ac:dyDescent="0.25">
      <c r="A23" s="17" t="s">
        <v>74</v>
      </c>
    </row>
    <row r="26" spans="1:1" x14ac:dyDescent="0.25">
      <c r="A26" s="17" t="s">
        <v>75</v>
      </c>
    </row>
    <row r="27" spans="1:1" x14ac:dyDescent="0.25">
      <c r="A27" s="17" t="s">
        <v>75</v>
      </c>
    </row>
    <row r="29" spans="1:1" x14ac:dyDescent="0.25">
      <c r="A29" s="17" t="s">
        <v>76</v>
      </c>
    </row>
    <row r="30" spans="1:1" x14ac:dyDescent="0.25">
      <c r="A30" s="17" t="s">
        <v>76</v>
      </c>
    </row>
    <row r="31" spans="1:1" x14ac:dyDescent="0.25">
      <c r="A31" s="17" t="s">
        <v>76</v>
      </c>
    </row>
    <row r="33" spans="1:1" x14ac:dyDescent="0.25">
      <c r="A33" s="17" t="s">
        <v>77</v>
      </c>
    </row>
    <row r="34" spans="1:1" x14ac:dyDescent="0.25">
      <c r="A34" s="17" t="s">
        <v>77</v>
      </c>
    </row>
    <row r="35" spans="1:1" x14ac:dyDescent="0.25">
      <c r="A35" s="17" t="s">
        <v>77</v>
      </c>
    </row>
    <row r="37" spans="1:1" x14ac:dyDescent="0.25">
      <c r="A37" s="17" t="s">
        <v>78</v>
      </c>
    </row>
    <row r="38" spans="1:1" x14ac:dyDescent="0.25">
      <c r="A38" s="17" t="s">
        <v>78</v>
      </c>
    </row>
    <row r="39" spans="1:1" x14ac:dyDescent="0.25">
      <c r="A39" s="17" t="s">
        <v>78</v>
      </c>
    </row>
    <row r="41" spans="1:1" x14ac:dyDescent="0.25">
      <c r="A41" s="17" t="s">
        <v>79</v>
      </c>
    </row>
    <row r="42" spans="1:1" x14ac:dyDescent="0.25">
      <c r="A42" s="17" t="s">
        <v>79</v>
      </c>
    </row>
    <row r="43" spans="1:1" x14ac:dyDescent="0.25">
      <c r="A43" s="17" t="s">
        <v>79</v>
      </c>
    </row>
    <row r="45" spans="1:1" x14ac:dyDescent="0.25">
      <c r="A45" s="17" t="s">
        <v>80</v>
      </c>
    </row>
    <row r="46" spans="1:1" x14ac:dyDescent="0.25">
      <c r="A46" s="17" t="s">
        <v>80</v>
      </c>
    </row>
    <row r="47" spans="1:1" x14ac:dyDescent="0.25">
      <c r="A47" s="17" t="s">
        <v>80</v>
      </c>
    </row>
    <row r="49" spans="1:1" x14ac:dyDescent="0.25">
      <c r="A49" s="17" t="s">
        <v>81</v>
      </c>
    </row>
    <row r="50" spans="1:1" x14ac:dyDescent="0.25">
      <c r="A50" s="17" t="s">
        <v>81</v>
      </c>
    </row>
    <row r="51" spans="1:1" x14ac:dyDescent="0.25">
      <c r="A51" s="17" t="s">
        <v>81</v>
      </c>
    </row>
  </sheetData>
  <mergeCells count="1">
    <mergeCell ref="B2:B15"/>
  </mergeCells>
  <dataValidations count="1">
    <dataValidation allowBlank="1" showInputMessage="1" showErrorMessage="1" promptTitle="renevus" sqref="C2:C10"/>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F50"/>
  <sheetViews>
    <sheetView workbookViewId="0">
      <selection activeCell="D4" sqref="D4"/>
    </sheetView>
  </sheetViews>
  <sheetFormatPr baseColWidth="10" defaultRowHeight="15" x14ac:dyDescent="0.25"/>
  <cols>
    <col min="1" max="1" width="11.42578125" style="79"/>
    <col min="2" max="2" width="52.5703125" customWidth="1"/>
    <col min="3" max="3" width="11.42578125" style="79"/>
  </cols>
  <sheetData>
    <row r="1" spans="1:5" ht="18.75" x14ac:dyDescent="0.25">
      <c r="A1" s="105" t="s">
        <v>138</v>
      </c>
    </row>
    <row r="3" spans="1:5" ht="25.5" x14ac:dyDescent="0.25">
      <c r="A3" s="108">
        <v>42005</v>
      </c>
      <c r="C3" s="21" t="s">
        <v>2</v>
      </c>
      <c r="D3" s="102" t="s">
        <v>111</v>
      </c>
    </row>
    <row r="4" spans="1:5" ht="30" x14ac:dyDescent="0.25">
      <c r="A4" s="79" t="s">
        <v>70</v>
      </c>
      <c r="B4" s="57" t="s">
        <v>153</v>
      </c>
      <c r="C4" s="184"/>
      <c r="D4" s="103">
        <v>100</v>
      </c>
      <c r="E4" s="79" t="s">
        <v>126</v>
      </c>
    </row>
    <row r="5" spans="1:5" x14ac:dyDescent="0.25">
      <c r="A5" s="79" t="s">
        <v>70</v>
      </c>
      <c r="B5" s="57" t="s">
        <v>154</v>
      </c>
      <c r="C5" s="107">
        <f>IF(A4='BU-janv'!$C$2,IF('BU-janv'!$N$31=$D$3,D5*'BU-janv'!$N$32,0),0)</f>
        <v>500</v>
      </c>
      <c r="D5" s="103">
        <v>250</v>
      </c>
      <c r="E5" s="79" t="s">
        <v>126</v>
      </c>
    </row>
    <row r="6" spans="1:5" ht="45" x14ac:dyDescent="0.25">
      <c r="A6" s="79" t="s">
        <v>70</v>
      </c>
      <c r="B6" s="57" t="s">
        <v>155</v>
      </c>
      <c r="C6" s="107">
        <f>IF('Les normes-données de base'!$D$8=0,IF('Les normes-données de base'!$F$8-A3&gt;-5840,D6,0),0)+IF('Les normes-données de base'!$D$8=0,IF('Les normes-données de base'!$G$8-A3&gt;-5840,D6,0),0)+IF('Les normes-données de base'!$D$8=0,IF('Les normes-données de base'!$H$8-A3&gt;-5840,D6,0),0)+IF('Les normes-données de base'!$D$8=0,IF('Les normes-données de base'!$I$8-A3&gt;-5840,D6,0),0)+IF('Les normes-données de base'!$D$8=0,IF('Les normes-données de base'!$E$8-A3&gt;-5840,D6,0),0)</f>
        <v>0</v>
      </c>
      <c r="D6" s="103">
        <v>200</v>
      </c>
      <c r="E6" s="79" t="s">
        <v>156</v>
      </c>
    </row>
    <row r="7" spans="1:5" x14ac:dyDescent="0.25">
      <c r="A7" s="106">
        <v>42036</v>
      </c>
      <c r="B7" s="57"/>
      <c r="C7" s="107"/>
    </row>
    <row r="8" spans="1:5" ht="30" x14ac:dyDescent="0.25">
      <c r="A8" s="79" t="s">
        <v>135</v>
      </c>
      <c r="B8" s="57" t="s">
        <v>153</v>
      </c>
      <c r="C8" s="107">
        <f>C4</f>
        <v>0</v>
      </c>
      <c r="D8" s="103">
        <v>100</v>
      </c>
      <c r="E8" s="79" t="s">
        <v>126</v>
      </c>
    </row>
    <row r="9" spans="1:5" x14ac:dyDescent="0.25">
      <c r="A9" s="79" t="s">
        <v>135</v>
      </c>
      <c r="B9" s="57" t="s">
        <v>154</v>
      </c>
      <c r="C9" s="107">
        <f>IF(A8='BU-janv'!$C$2,IF('BU-janv'!$N$31=$D$3,D9*'BU-janv'!$N$32,0),0)</f>
        <v>0</v>
      </c>
      <c r="D9" s="103">
        <v>250</v>
      </c>
      <c r="E9" s="79" t="s">
        <v>126</v>
      </c>
    </row>
    <row r="10" spans="1:5" ht="45" x14ac:dyDescent="0.25">
      <c r="A10" s="79" t="s">
        <v>135</v>
      </c>
      <c r="B10" s="57" t="s">
        <v>155</v>
      </c>
      <c r="C10" s="107">
        <f>IF('Les normes-données de base'!$D$8=0,IF('Les normes-données de base'!$F$8-A7&gt;-5840,D10,0),0)+IF('Les normes-données de base'!$D$8=0,IF('Les normes-données de base'!$G$8-A7&gt;-5840,D10,0),0)+IF('Les normes-données de base'!$D$8=0,IF('Les normes-données de base'!$H$8-A7&gt;-5840,D10,0),0)+IF('Les normes-données de base'!$D$8=0,IF('Les normes-données de base'!$I$8-A7&gt;-5840,D10,0),0)+IF('Les normes-données de base'!$D$8=0,IF('Les normes-données de base'!$E$8-A7&gt;-5840,D10,0),0)</f>
        <v>0</v>
      </c>
      <c r="D10" s="103">
        <v>200</v>
      </c>
      <c r="E10" s="79" t="s">
        <v>156</v>
      </c>
    </row>
    <row r="11" spans="1:5" x14ac:dyDescent="0.25">
      <c r="A11" s="106">
        <v>42064</v>
      </c>
      <c r="B11" s="57"/>
      <c r="C11" s="107"/>
    </row>
    <row r="12" spans="1:5" ht="30" x14ac:dyDescent="0.25">
      <c r="A12" s="79" t="s">
        <v>166</v>
      </c>
      <c r="B12" s="57" t="s">
        <v>153</v>
      </c>
      <c r="C12" s="107">
        <f>C8</f>
        <v>0</v>
      </c>
      <c r="D12" s="103">
        <v>100</v>
      </c>
      <c r="E12" s="79" t="s">
        <v>126</v>
      </c>
    </row>
    <row r="13" spans="1:5" x14ac:dyDescent="0.25">
      <c r="A13" s="79" t="s">
        <v>166</v>
      </c>
      <c r="B13" s="57" t="s">
        <v>154</v>
      </c>
      <c r="C13" s="107">
        <f>IF(A12='BU-janv'!$C$2,IF('BU-janv'!$N$31=$D$3,D13*'BU-janv'!$N$32,0),0)</f>
        <v>0</v>
      </c>
      <c r="D13" s="103">
        <v>250</v>
      </c>
      <c r="E13" s="79" t="s">
        <v>126</v>
      </c>
    </row>
    <row r="14" spans="1:5" ht="45" x14ac:dyDescent="0.25">
      <c r="A14" s="79" t="s">
        <v>166</v>
      </c>
      <c r="B14" s="57" t="s">
        <v>155</v>
      </c>
      <c r="C14" s="107">
        <f>IF('Les normes-données de base'!$D$8=0,IF('Les normes-données de base'!$F$8-A11&gt;-5840,D14,0),0)+IF('Les normes-données de base'!$D$8=0,IF('Les normes-données de base'!$G$8-A11&gt;-5840,D14,0),0)+IF('Les normes-données de base'!$D$8=0,IF('Les normes-données de base'!$H$8-A11&gt;-5840,D14,0),0)+IF('Les normes-données de base'!$D$8=0,IF('Les normes-données de base'!$I$8-A11&gt;-5840,D14,0),0)+IF('Les normes-données de base'!$D$8=0,IF('Les normes-données de base'!$E$8-A11&gt;-5840,D14,0),0)</f>
        <v>0</v>
      </c>
      <c r="D14" s="103">
        <v>200</v>
      </c>
      <c r="E14" s="79" t="s">
        <v>156</v>
      </c>
    </row>
    <row r="15" spans="1:5" x14ac:dyDescent="0.25">
      <c r="A15" s="106">
        <v>42095</v>
      </c>
      <c r="B15" s="57"/>
      <c r="C15" s="107"/>
    </row>
    <row r="16" spans="1:5" ht="30" x14ac:dyDescent="0.25">
      <c r="A16" s="79" t="s">
        <v>167</v>
      </c>
      <c r="B16" s="57" t="s">
        <v>153</v>
      </c>
      <c r="C16" s="107">
        <f>C12</f>
        <v>0</v>
      </c>
      <c r="D16" s="103">
        <v>100</v>
      </c>
      <c r="E16" s="79" t="s">
        <v>126</v>
      </c>
    </row>
    <row r="17" spans="1:5" x14ac:dyDescent="0.25">
      <c r="A17" s="79" t="s">
        <v>167</v>
      </c>
      <c r="B17" s="57" t="s">
        <v>154</v>
      </c>
      <c r="C17" s="107">
        <f>IF(A16='BU-janv'!$C$2,IF('BU-janv'!$N$31=$D$3,D17*'BU-janv'!$N$32,0),0)</f>
        <v>0</v>
      </c>
      <c r="D17" s="103">
        <v>250</v>
      </c>
      <c r="E17" s="79" t="s">
        <v>126</v>
      </c>
    </row>
    <row r="18" spans="1:5" ht="45" x14ac:dyDescent="0.25">
      <c r="A18" s="79" t="s">
        <v>167</v>
      </c>
      <c r="B18" s="57" t="s">
        <v>155</v>
      </c>
      <c r="C18" s="107">
        <f>IF('Les normes-données de base'!$D$8=0,IF('Les normes-données de base'!$F$8-A15&gt;-5840,D18,0),0)+IF('Les normes-données de base'!$D$8=0,IF('Les normes-données de base'!$G$8-A15&gt;-5840,D18,0),0)+IF('Les normes-données de base'!$D$8=0,IF('Les normes-données de base'!$H$8-A15&gt;-5840,D18,0),0)+IF('Les normes-données de base'!$D$8=0,IF('Les normes-données de base'!$I$8-A15&gt;-5840,D18,0),0)+IF('Les normes-données de base'!$D$8=0,IF('Les normes-données de base'!$E$8-A15&gt;-5840,D18,0),0)</f>
        <v>0</v>
      </c>
      <c r="D18" s="103">
        <v>200</v>
      </c>
      <c r="E18" s="79" t="s">
        <v>156</v>
      </c>
    </row>
    <row r="19" spans="1:5" x14ac:dyDescent="0.25">
      <c r="A19" s="106">
        <v>42125</v>
      </c>
      <c r="B19" s="57"/>
      <c r="C19" s="107"/>
    </row>
    <row r="20" spans="1:5" ht="30" x14ac:dyDescent="0.25">
      <c r="A20" s="79" t="s">
        <v>134</v>
      </c>
      <c r="B20" s="57" t="s">
        <v>153</v>
      </c>
      <c r="C20" s="107">
        <f>C16</f>
        <v>0</v>
      </c>
      <c r="D20" s="103">
        <v>100</v>
      </c>
      <c r="E20" s="79" t="s">
        <v>126</v>
      </c>
    </row>
    <row r="21" spans="1:5" x14ac:dyDescent="0.25">
      <c r="A21" s="79" t="s">
        <v>134</v>
      </c>
      <c r="B21" s="57" t="s">
        <v>154</v>
      </c>
      <c r="C21" s="107">
        <f>IF('BU-janv'!N70=D$3,D21*'BU-janv'!N72,0)</f>
        <v>0</v>
      </c>
      <c r="D21" s="103">
        <v>250</v>
      </c>
      <c r="E21" s="79" t="s">
        <v>126</v>
      </c>
    </row>
    <row r="22" spans="1:5" ht="45" x14ac:dyDescent="0.25">
      <c r="A22" s="79" t="s">
        <v>134</v>
      </c>
      <c r="B22" s="57" t="s">
        <v>155</v>
      </c>
      <c r="C22" s="107">
        <f>IF('Les normes-données de base'!$D$8=0,IF('Les normes-données de base'!$F$8-A19&gt;-5840,D22,0),0)+IF('Les normes-données de base'!$D$8=0,IF('Les normes-données de base'!$G$8-A19&gt;-5840,D22,0),0)+IF('Les normes-données de base'!$D$8=0,IF('Les normes-données de base'!$H$8-A19&gt;-5840,D22,0),0)+IF('Les normes-données de base'!$D$8=0,IF('Les normes-données de base'!$I$8-A19&gt;-5840,D22,0),0)+IF('Les normes-données de base'!$D$8=0,IF('Les normes-données de base'!$E$8-A19&gt;-5840,D22,0),0)</f>
        <v>0</v>
      </c>
      <c r="D22" s="103">
        <v>200</v>
      </c>
      <c r="E22" s="79" t="s">
        <v>156</v>
      </c>
    </row>
    <row r="23" spans="1:5" x14ac:dyDescent="0.25">
      <c r="A23" s="106">
        <v>42156</v>
      </c>
      <c r="B23" s="57"/>
      <c r="C23" s="107"/>
    </row>
    <row r="24" spans="1:5" ht="30" x14ac:dyDescent="0.25">
      <c r="A24" s="79" t="s">
        <v>168</v>
      </c>
      <c r="B24" s="57" t="s">
        <v>153</v>
      </c>
      <c r="C24" s="107">
        <f>C20</f>
        <v>0</v>
      </c>
      <c r="D24" s="103">
        <v>100</v>
      </c>
      <c r="E24" s="79" t="s">
        <v>126</v>
      </c>
    </row>
    <row r="25" spans="1:5" x14ac:dyDescent="0.25">
      <c r="A25" s="79" t="s">
        <v>168</v>
      </c>
      <c r="B25" s="57" t="s">
        <v>154</v>
      </c>
      <c r="C25" s="107">
        <f>IF(A24='BU-janv'!$C$2,IF('BU-janv'!$N$31=$D$3,D25*'BU-janv'!$N$32,0),0)</f>
        <v>0</v>
      </c>
      <c r="D25" s="103">
        <v>250</v>
      </c>
      <c r="E25" s="79" t="s">
        <v>126</v>
      </c>
    </row>
    <row r="26" spans="1:5" ht="45" x14ac:dyDescent="0.25">
      <c r="A26" s="79" t="s">
        <v>168</v>
      </c>
      <c r="B26" s="57" t="s">
        <v>155</v>
      </c>
      <c r="C26" s="107">
        <f>IF('Les normes-données de base'!$D$8=0,IF('Les normes-données de base'!$F$8-A23&gt;-5840,D26,0),0)+IF('Les normes-données de base'!$D$8=0,IF('Les normes-données de base'!$G$8-A23&gt;-5840,D26,0),0)+IF('Les normes-données de base'!$D$8=0,IF('Les normes-données de base'!$H$8-A23&gt;-5840,D26,0),0)+IF('Les normes-données de base'!$D$8=0,IF('Les normes-données de base'!$I$8-A23&gt;-5840,D26,0),0)+IF('Les normes-données de base'!$D$8=0,IF('Les normes-données de base'!$E$8-A23&gt;-5840,D26,0),0)</f>
        <v>0</v>
      </c>
      <c r="D26" s="103">
        <v>200</v>
      </c>
      <c r="E26" s="79" t="s">
        <v>156</v>
      </c>
    </row>
    <row r="27" spans="1:5" x14ac:dyDescent="0.25">
      <c r="A27" s="106">
        <v>42186</v>
      </c>
      <c r="B27" s="57"/>
      <c r="C27" s="107"/>
    </row>
    <row r="28" spans="1:5" ht="30" x14ac:dyDescent="0.25">
      <c r="A28" s="79" t="s">
        <v>169</v>
      </c>
      <c r="B28" s="57" t="s">
        <v>153</v>
      </c>
      <c r="C28" s="107">
        <f>C24</f>
        <v>0</v>
      </c>
      <c r="D28" s="103">
        <v>100</v>
      </c>
      <c r="E28" s="79" t="s">
        <v>126</v>
      </c>
    </row>
    <row r="29" spans="1:5" x14ac:dyDescent="0.25">
      <c r="A29" s="79" t="s">
        <v>169</v>
      </c>
      <c r="B29" s="57" t="s">
        <v>154</v>
      </c>
      <c r="C29" s="107">
        <f>IF('BU-janv'!$N$31=$D$3,D29*'BU-janv'!$N$32,0)</f>
        <v>500</v>
      </c>
      <c r="D29" s="103">
        <v>250</v>
      </c>
      <c r="E29" s="79" t="s">
        <v>126</v>
      </c>
    </row>
    <row r="30" spans="1:5" ht="45" x14ac:dyDescent="0.25">
      <c r="A30" s="79" t="s">
        <v>169</v>
      </c>
      <c r="B30" s="57" t="s">
        <v>155</v>
      </c>
      <c r="C30" s="107">
        <f>IF('Les normes-données de base'!$D$8=0,IF('Les normes-données de base'!$F$8-A27&gt;-5840,D30,0),0)+IF('Les normes-données de base'!$D$8=0,IF('Les normes-données de base'!$G$8-A27&gt;-5840,D30,0),0)+IF('Les normes-données de base'!$D$8=0,IF('Les normes-données de base'!$H$8-A27&gt;-5840,D30,0),0)+IF('Les normes-données de base'!$D$8=0,IF('Les normes-données de base'!$I$8-A27&gt;-5840,D30,0),0)+IF('Les normes-données de base'!$D$8=0,IF('Les normes-données de base'!$E$8-A27&gt;-5840,D30,0),0)</f>
        <v>0</v>
      </c>
      <c r="D30" s="103">
        <v>200</v>
      </c>
      <c r="E30" s="79" t="s">
        <v>156</v>
      </c>
    </row>
    <row r="31" spans="1:5" x14ac:dyDescent="0.25">
      <c r="A31" s="106">
        <v>42217</v>
      </c>
      <c r="B31" s="57"/>
      <c r="C31" s="107"/>
    </row>
    <row r="32" spans="1:5" ht="30" x14ac:dyDescent="0.25">
      <c r="A32" s="79" t="s">
        <v>170</v>
      </c>
      <c r="B32" s="57" t="s">
        <v>153</v>
      </c>
      <c r="C32" s="107">
        <f>C28</f>
        <v>0</v>
      </c>
      <c r="D32" s="103">
        <v>100</v>
      </c>
      <c r="E32" s="79" t="s">
        <v>126</v>
      </c>
    </row>
    <row r="33" spans="1:6" x14ac:dyDescent="0.25">
      <c r="A33" s="79" t="s">
        <v>170</v>
      </c>
      <c r="B33" s="57" t="s">
        <v>154</v>
      </c>
      <c r="C33" s="107">
        <f>IF(A32='BU-janv'!$C$2,IF('BU-janv'!$N$31=$D$3,D33*'BU-janv'!$N$32,0),0)</f>
        <v>0</v>
      </c>
      <c r="D33" s="103">
        <v>250</v>
      </c>
      <c r="E33" s="79" t="s">
        <v>126</v>
      </c>
    </row>
    <row r="34" spans="1:6" ht="45" x14ac:dyDescent="0.25">
      <c r="A34" s="79" t="s">
        <v>170</v>
      </c>
      <c r="B34" s="57" t="s">
        <v>155</v>
      </c>
      <c r="C34" s="107">
        <f>IF('Les normes-données de base'!$D$8=0,IF('Les normes-données de base'!$F$8-A31&gt;-5840,D34,0),0)+IF('Les normes-données de base'!$D$8=0,IF('Les normes-données de base'!$G$8-A31&gt;-5840,D34,0),0)+IF('Les normes-données de base'!$D$8=0,IF('Les normes-données de base'!$H$8-A31&gt;-5840,D34,0),0)+IF('Les normes-données de base'!$D$8=0,IF('Les normes-données de base'!$I$8-A31&gt;-5840,D34,0),0)+IF('Les normes-données de base'!$D$8=0,IF('Les normes-données de base'!$E$8-A31&gt;-5840,D34,0),0)</f>
        <v>0</v>
      </c>
      <c r="D34" s="103">
        <v>200</v>
      </c>
      <c r="E34" s="79" t="s">
        <v>156</v>
      </c>
    </row>
    <row r="35" spans="1:6" x14ac:dyDescent="0.25">
      <c r="A35" s="106">
        <v>42248</v>
      </c>
      <c r="B35" s="57"/>
      <c r="C35" s="107"/>
    </row>
    <row r="36" spans="1:6" ht="30" x14ac:dyDescent="0.25">
      <c r="A36" s="79" t="s">
        <v>171</v>
      </c>
      <c r="B36" s="57" t="s">
        <v>153</v>
      </c>
      <c r="C36" s="107">
        <f>C32</f>
        <v>0</v>
      </c>
      <c r="D36" s="103">
        <v>100</v>
      </c>
      <c r="E36" s="79" t="s">
        <v>126</v>
      </c>
    </row>
    <row r="37" spans="1:6" x14ac:dyDescent="0.25">
      <c r="A37" s="79" t="s">
        <v>171</v>
      </c>
      <c r="B37" s="57" t="s">
        <v>154</v>
      </c>
      <c r="C37" s="107">
        <f>IF(A36='BU-janv'!$C$2,IF('BU-janv'!$N$31=$D$3,D37*'BU-janv'!$N$32,0),0)</f>
        <v>0</v>
      </c>
      <c r="D37" s="103">
        <v>250</v>
      </c>
      <c r="E37" s="79" t="s">
        <v>126</v>
      </c>
    </row>
    <row r="38" spans="1:6" ht="45" x14ac:dyDescent="0.25">
      <c r="A38" s="79" t="s">
        <v>171</v>
      </c>
      <c r="B38" s="57" t="s">
        <v>155</v>
      </c>
      <c r="C38" s="107">
        <f>IF('Les normes-données de base'!$D$8=0,IF('Les normes-données de base'!$F$8-A35&gt;-5840,D38,0),0)+IF('Les normes-données de base'!$D$8=0,IF('Les normes-données de base'!$G$8-A35&gt;-5840,D38,0),0)+IF('Les normes-données de base'!$D$8=0,IF('Les normes-données de base'!$H$8-A35&gt;-5840,D38,0),0)+IF('Les normes-données de base'!$D$8=0,IF('Les normes-données de base'!$I$8-A35&gt;-5840,D38,0),0)+IF('Les normes-données de base'!$D$8=0,IF('Les normes-données de base'!$E$8-A35&gt;-5840,D38,0),0)</f>
        <v>0</v>
      </c>
      <c r="D38" s="103">
        <v>200</v>
      </c>
      <c r="E38" s="79" t="s">
        <v>156</v>
      </c>
    </row>
    <row r="39" spans="1:6" x14ac:dyDescent="0.25">
      <c r="A39" s="106">
        <v>42278</v>
      </c>
      <c r="B39" s="57"/>
      <c r="C39" s="107"/>
    </row>
    <row r="40" spans="1:6" ht="30" x14ac:dyDescent="0.25">
      <c r="A40" s="79" t="s">
        <v>172</v>
      </c>
      <c r="B40" s="57" t="s">
        <v>153</v>
      </c>
      <c r="C40" s="107">
        <f>C36</f>
        <v>0</v>
      </c>
      <c r="D40" s="103">
        <v>100</v>
      </c>
      <c r="E40" s="79" t="s">
        <v>126</v>
      </c>
    </row>
    <row r="41" spans="1:6" x14ac:dyDescent="0.25">
      <c r="A41" s="79" t="s">
        <v>172</v>
      </c>
      <c r="B41" s="57" t="s">
        <v>154</v>
      </c>
      <c r="C41" s="107">
        <f>IF(A40='BU-janv'!$C$2,IF('BU-janv'!$N$31=$D$3,D41*'BU-janv'!$N$32,0),0)</f>
        <v>0</v>
      </c>
      <c r="D41" s="103">
        <v>250</v>
      </c>
      <c r="E41" s="79" t="s">
        <v>126</v>
      </c>
    </row>
    <row r="42" spans="1:6" ht="45" x14ac:dyDescent="0.25">
      <c r="A42" s="79" t="s">
        <v>172</v>
      </c>
      <c r="B42" s="57" t="s">
        <v>155</v>
      </c>
      <c r="C42" s="107">
        <f>IF('Les normes-données de base'!$D$8=0,IF('Les normes-données de base'!$F$8-A39&gt;-5840,D42,0),0)+IF('Les normes-données de base'!$D$8=0,IF('Les normes-données de base'!$G$8-A39&gt;-5840,D42,0),0)+IF('Les normes-données de base'!$D$8=0,IF('Les normes-données de base'!$H$8-A39&gt;-5840,D42,0),0)+IF('Les normes-données de base'!$D$8=0,IF('Les normes-données de base'!$I$8-A39&gt;-5840,D42,0),0)+IF('Les normes-données de base'!$D$8=0,IF('Les normes-données de base'!$E$8-A39&gt;-5840,D42,0),0)</f>
        <v>0</v>
      </c>
      <c r="D42" s="103">
        <v>200</v>
      </c>
      <c r="E42" s="79" t="s">
        <v>156</v>
      </c>
    </row>
    <row r="43" spans="1:6" x14ac:dyDescent="0.25">
      <c r="A43" s="106">
        <v>42309</v>
      </c>
      <c r="B43" s="57"/>
      <c r="C43" s="107"/>
    </row>
    <row r="44" spans="1:6" ht="30" x14ac:dyDescent="0.25">
      <c r="A44" s="79" t="s">
        <v>173</v>
      </c>
      <c r="B44" s="57" t="s">
        <v>153</v>
      </c>
      <c r="C44" s="107">
        <f>C40</f>
        <v>0</v>
      </c>
      <c r="D44" s="103">
        <v>100</v>
      </c>
      <c r="E44" s="79" t="s">
        <v>126</v>
      </c>
    </row>
    <row r="45" spans="1:6" x14ac:dyDescent="0.25">
      <c r="A45" s="79" t="s">
        <v>173</v>
      </c>
      <c r="B45" s="57" t="s">
        <v>154</v>
      </c>
      <c r="C45" s="107">
        <f>IF(A44='BU-janv'!$C$2,IF('BU-janv'!$N$31=$D$3,D45*'BU-janv'!$N$32,0),0)</f>
        <v>0</v>
      </c>
      <c r="D45" s="103">
        <v>250</v>
      </c>
      <c r="E45" s="79" t="s">
        <v>126</v>
      </c>
    </row>
    <row r="46" spans="1:6" ht="45" x14ac:dyDescent="0.25">
      <c r="A46" s="79" t="s">
        <v>173</v>
      </c>
      <c r="B46" s="57" t="s">
        <v>155</v>
      </c>
      <c r="C46" s="107">
        <f>IF('Les normes-données de base'!$D$8=0,IF('Les normes-données de base'!$F$8-A43&gt;-5840,D46,0),0)+IF('Les normes-données de base'!$D$8=0,IF('Les normes-données de base'!$G$8-A43&gt;-5840,D46,0),0)+IF('Les normes-données de base'!$D$8=0,IF('Les normes-données de base'!$H$8-A43&gt;-5840,D46,0),0)+IF('Les normes-données de base'!$D$8=0,IF('Les normes-données de base'!$I$8-A43&gt;-5840,D46,0),0)+IF('Les normes-données de base'!$D$8=0,IF('Les normes-données de base'!$E$8-A43&gt;-5840,D46,0),0)</f>
        <v>0</v>
      </c>
      <c r="D46" s="103">
        <v>200</v>
      </c>
      <c r="E46" s="79" t="s">
        <v>156</v>
      </c>
      <c r="F46" s="107"/>
    </row>
    <row r="47" spans="1:6" x14ac:dyDescent="0.25">
      <c r="A47" s="106">
        <v>42339</v>
      </c>
      <c r="B47" s="57"/>
      <c r="C47" s="107"/>
    </row>
    <row r="48" spans="1:6" ht="30" x14ac:dyDescent="0.25">
      <c r="A48" s="79" t="s">
        <v>174</v>
      </c>
      <c r="B48" s="57" t="s">
        <v>153</v>
      </c>
      <c r="C48" s="107">
        <f>C44</f>
        <v>0</v>
      </c>
      <c r="D48" s="103">
        <v>100</v>
      </c>
      <c r="E48" s="79" t="s">
        <v>126</v>
      </c>
    </row>
    <row r="49" spans="1:5" x14ac:dyDescent="0.25">
      <c r="A49" s="79" t="s">
        <v>174</v>
      </c>
      <c r="B49" s="57" t="s">
        <v>154</v>
      </c>
      <c r="C49" s="107">
        <f>IF(A48='BU-janv'!$C$2,IF('BU-janv'!$N$31=$D$3,D49*'BU-janv'!$N$32,0),0)</f>
        <v>0</v>
      </c>
      <c r="D49" s="103">
        <v>250</v>
      </c>
      <c r="E49" s="79" t="s">
        <v>126</v>
      </c>
    </row>
    <row r="50" spans="1:5" ht="45" x14ac:dyDescent="0.25">
      <c r="A50" s="79" t="s">
        <v>174</v>
      </c>
      <c r="B50" s="57" t="s">
        <v>155</v>
      </c>
      <c r="C50" s="107">
        <f>IF('Les normes-données de base'!$D$8=0,IF('Les normes-données de base'!$F$8-A47&gt;-5840,D50,0),0)+IF('Les normes-données de base'!$D$8=0,IF('Les normes-données de base'!$G$8-A47&gt;-5840,D50,0),0)+IF('Les normes-données de base'!$D$8=0,IF('Les normes-données de base'!$H$8-A47&gt;-5840,D50,0),0)+IF('Les normes-données de base'!$D$8=0,IF('Les normes-données de base'!$I$8-A47&gt;-5840,D50,0),0)+IF('Les normes-données de base'!$D$8=0,IF('Les normes-données de base'!$E$8-A47&gt;-5840,D50,0),0)</f>
        <v>0</v>
      </c>
      <c r="D50" s="103">
        <v>200</v>
      </c>
      <c r="E50" s="79" t="s">
        <v>156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O50"/>
  <sheetViews>
    <sheetView workbookViewId="0">
      <selection activeCell="G3" sqref="G3"/>
    </sheetView>
  </sheetViews>
  <sheetFormatPr baseColWidth="10" defaultRowHeight="18.75" x14ac:dyDescent="0.3"/>
  <cols>
    <col min="1" max="1" width="22.5703125" style="61" customWidth="1"/>
    <col min="4" max="4" width="22.5703125" customWidth="1"/>
    <col min="8" max="8" width="11.42578125" style="38"/>
  </cols>
  <sheetData>
    <row r="1" spans="1:15" ht="38.25" x14ac:dyDescent="0.3">
      <c r="E1" s="20" t="s">
        <v>0</v>
      </c>
      <c r="F1" s="21" t="s">
        <v>1</v>
      </c>
      <c r="G1" s="21" t="s">
        <v>2</v>
      </c>
      <c r="H1" s="92" t="s">
        <v>3</v>
      </c>
    </row>
    <row r="2" spans="1:15" x14ac:dyDescent="0.3">
      <c r="B2" s="9" t="s">
        <v>38</v>
      </c>
      <c r="C2" s="10"/>
      <c r="D2" s="61"/>
      <c r="E2" s="18"/>
      <c r="F2" s="18"/>
      <c r="G2" s="18"/>
      <c r="H2" s="75"/>
    </row>
    <row r="3" spans="1:15" x14ac:dyDescent="0.3">
      <c r="A3" s="61" t="s">
        <v>70</v>
      </c>
      <c r="B3" s="11" t="s">
        <v>51</v>
      </c>
      <c r="C3" s="8"/>
      <c r="D3" s="12"/>
      <c r="E3" s="60"/>
      <c r="F3" s="60">
        <v>2400</v>
      </c>
      <c r="G3" s="76">
        <f ca="1">(SUMIF('Les normes-données de base'!A$45:B$52,'BU-janv'!$D$9,'Les normes-données de base'!B$45:B$52))</f>
        <v>1150</v>
      </c>
      <c r="H3" s="93">
        <f ca="1">IF(F3&lt;G3,0,F3-G3)</f>
        <v>1250</v>
      </c>
      <c r="J3" s="24" t="s">
        <v>132</v>
      </c>
      <c r="K3" s="24"/>
      <c r="L3" s="24"/>
      <c r="M3" s="24"/>
      <c r="N3" s="24"/>
      <c r="O3" s="24"/>
    </row>
    <row r="4" spans="1:15" x14ac:dyDescent="0.3">
      <c r="A4" s="61" t="s">
        <v>70</v>
      </c>
      <c r="B4" s="11" t="s">
        <v>43</v>
      </c>
      <c r="C4" s="8"/>
      <c r="D4" s="12"/>
      <c r="E4" s="60"/>
      <c r="F4" s="60">
        <v>270</v>
      </c>
      <c r="G4" s="76">
        <f>F4+E4</f>
        <v>270</v>
      </c>
      <c r="H4" s="93">
        <f>IF(F4&lt;G4,0,F4-G4)</f>
        <v>0</v>
      </c>
    </row>
    <row r="5" spans="1:15" x14ac:dyDescent="0.3">
      <c r="B5" s="13" t="s">
        <v>44</v>
      </c>
      <c r="C5" s="14"/>
      <c r="D5" s="15"/>
      <c r="E5" s="19"/>
      <c r="F5" s="19"/>
      <c r="G5" s="19"/>
      <c r="H5" s="94"/>
    </row>
    <row r="6" spans="1:15" x14ac:dyDescent="0.3">
      <c r="A6" s="61" t="s">
        <v>71</v>
      </c>
      <c r="B6" s="9" t="s">
        <v>38</v>
      </c>
      <c r="C6" s="10"/>
      <c r="D6" s="61"/>
      <c r="E6" s="74"/>
      <c r="F6" s="74"/>
      <c r="G6" s="90"/>
      <c r="H6" s="75"/>
    </row>
    <row r="7" spans="1:15" x14ac:dyDescent="0.3">
      <c r="A7" s="61" t="s">
        <v>71</v>
      </c>
      <c r="B7" s="11" t="s">
        <v>51</v>
      </c>
      <c r="C7" s="8"/>
      <c r="D7" s="12"/>
      <c r="E7" s="76">
        <f>E3</f>
        <v>0</v>
      </c>
      <c r="F7" s="76">
        <f>F3</f>
        <v>2400</v>
      </c>
      <c r="G7" s="55">
        <f ca="1">(SUMIF('Les normes-données de base'!A$45:B$52,'BU-janv'!$D$8,'Les normes-données de base'!B$45:B$52))/'BU-janv'!$D$8*'BU-janv'!$D$9</f>
        <v>725</v>
      </c>
      <c r="H7" s="93">
        <f ca="1">IF(F7&lt;G7,0,F7-G7)</f>
        <v>1675</v>
      </c>
    </row>
    <row r="8" spans="1:15" x14ac:dyDescent="0.3">
      <c r="A8" s="61" t="s">
        <v>71</v>
      </c>
      <c r="B8" s="11" t="s">
        <v>43</v>
      </c>
      <c r="C8" s="8"/>
      <c r="D8" s="12"/>
      <c r="E8" s="76">
        <f>E4</f>
        <v>0</v>
      </c>
      <c r="F8" s="76">
        <f>F4</f>
        <v>270</v>
      </c>
      <c r="G8" s="55">
        <f>F8+E8</f>
        <v>270</v>
      </c>
      <c r="H8" s="93">
        <f>IF(F8&lt;G8,0,F8-G8)</f>
        <v>0</v>
      </c>
    </row>
    <row r="9" spans="1:15" x14ac:dyDescent="0.3">
      <c r="B9" s="13" t="s">
        <v>44</v>
      </c>
      <c r="C9" s="14"/>
      <c r="D9" s="15"/>
      <c r="E9" s="77">
        <f>SUM(E7:E8)</f>
        <v>0</v>
      </c>
      <c r="F9" s="77">
        <f>SUM(F7:F8)</f>
        <v>2670</v>
      </c>
      <c r="G9" s="91">
        <f ca="1">SUM(G7:G8)</f>
        <v>995</v>
      </c>
      <c r="H9" s="77">
        <f ca="1">SUM(H7:H8)</f>
        <v>1675</v>
      </c>
    </row>
    <row r="10" spans="1:15" x14ac:dyDescent="0.3">
      <c r="A10" s="61" t="s">
        <v>72</v>
      </c>
      <c r="B10" s="9" t="s">
        <v>38</v>
      </c>
      <c r="C10" s="10"/>
      <c r="D10" s="61"/>
      <c r="E10" s="74"/>
      <c r="F10" s="74"/>
      <c r="G10" s="90"/>
      <c r="H10" s="75"/>
    </row>
    <row r="11" spans="1:15" x14ac:dyDescent="0.3">
      <c r="A11" s="61" t="s">
        <v>72</v>
      </c>
      <c r="B11" s="11" t="s">
        <v>51</v>
      </c>
      <c r="C11" s="8"/>
      <c r="D11" s="12"/>
      <c r="E11" s="76">
        <f>E7</f>
        <v>0</v>
      </c>
      <c r="F11" s="76">
        <f>F7</f>
        <v>2400</v>
      </c>
      <c r="G11" s="55">
        <f ca="1">(SUMIF('Les normes-données de base'!A$45:B$52,'BU-janv'!$D$8,'Les normes-données de base'!B$45:B$52))/'BU-janv'!$D$8*'BU-janv'!$D$9</f>
        <v>725</v>
      </c>
      <c r="H11" s="93">
        <f ca="1">IF(F11&lt;G11,0,F11-G11)</f>
        <v>1675</v>
      </c>
    </row>
    <row r="12" spans="1:15" x14ac:dyDescent="0.3">
      <c r="A12" s="61" t="s">
        <v>72</v>
      </c>
      <c r="B12" s="11" t="s">
        <v>43</v>
      </c>
      <c r="C12" s="8"/>
      <c r="D12" s="12"/>
      <c r="E12" s="76">
        <f>E8</f>
        <v>0</v>
      </c>
      <c r="F12" s="76">
        <f>F8</f>
        <v>270</v>
      </c>
      <c r="G12" s="55">
        <f>F12+E12</f>
        <v>270</v>
      </c>
      <c r="H12" s="93">
        <f>IF(F12&lt;G12,0,F12-G12)</f>
        <v>0</v>
      </c>
    </row>
    <row r="13" spans="1:15" x14ac:dyDescent="0.3">
      <c r="B13" s="13" t="s">
        <v>44</v>
      </c>
      <c r="C13" s="14"/>
      <c r="D13" s="15"/>
      <c r="E13" s="77">
        <f>SUM(E11:E12)</f>
        <v>0</v>
      </c>
      <c r="F13" s="77">
        <f>SUM(F11:F12)</f>
        <v>2670</v>
      </c>
      <c r="G13" s="91">
        <f ca="1">SUM(G11:G12)</f>
        <v>995</v>
      </c>
      <c r="H13" s="77">
        <f ca="1">SUM(H11:H12)</f>
        <v>1675</v>
      </c>
    </row>
    <row r="14" spans="1:15" x14ac:dyDescent="0.3">
      <c r="A14" s="61" t="s">
        <v>73</v>
      </c>
      <c r="B14" s="9" t="s">
        <v>38</v>
      </c>
      <c r="C14" s="10"/>
      <c r="D14" s="61"/>
      <c r="E14" s="74"/>
      <c r="F14" s="74"/>
      <c r="G14" s="90"/>
      <c r="H14" s="75"/>
    </row>
    <row r="15" spans="1:15" x14ac:dyDescent="0.3">
      <c r="A15" s="61" t="s">
        <v>73</v>
      </c>
      <c r="B15" s="11" t="s">
        <v>51</v>
      </c>
      <c r="C15" s="8"/>
      <c r="D15" s="12"/>
      <c r="E15" s="76">
        <f>E11</f>
        <v>0</v>
      </c>
      <c r="F15" s="76">
        <f>F11</f>
        <v>2400</v>
      </c>
      <c r="G15" s="55">
        <f ca="1">(SUMIF('Les normes-données de base'!A$45:B$52,'BU-janv'!$D$8,'Les normes-données de base'!B$45:B$52))/'BU-janv'!$D$8*'BU-janv'!$D$9</f>
        <v>725</v>
      </c>
      <c r="H15" s="93">
        <f ca="1">IF(F15&lt;G15,0,F15-G15)</f>
        <v>1675</v>
      </c>
    </row>
    <row r="16" spans="1:15" x14ac:dyDescent="0.3">
      <c r="A16" s="61" t="s">
        <v>73</v>
      </c>
      <c r="B16" s="11" t="s">
        <v>43</v>
      </c>
      <c r="C16" s="8"/>
      <c r="D16" s="12"/>
      <c r="E16" s="76">
        <f>E12</f>
        <v>0</v>
      </c>
      <c r="F16" s="76">
        <f>F12</f>
        <v>270</v>
      </c>
      <c r="G16" s="55">
        <f>F16+E16</f>
        <v>270</v>
      </c>
      <c r="H16" s="93">
        <f>IF(F16&lt;G16,0,F16-G16)</f>
        <v>0</v>
      </c>
    </row>
    <row r="17" spans="1:8" x14ac:dyDescent="0.3">
      <c r="B17" s="13" t="s">
        <v>44</v>
      </c>
      <c r="C17" s="14"/>
      <c r="D17" s="15"/>
      <c r="E17" s="77">
        <f>SUM(E15:E16)</f>
        <v>0</v>
      </c>
      <c r="F17" s="77">
        <f>SUM(F15:F16)</f>
        <v>2670</v>
      </c>
      <c r="G17" s="91">
        <f ca="1">SUM(G15:G16)</f>
        <v>995</v>
      </c>
      <c r="H17" s="77">
        <f ca="1">SUM(H15:H16)</f>
        <v>1675</v>
      </c>
    </row>
    <row r="18" spans="1:8" x14ac:dyDescent="0.3">
      <c r="A18" s="61" t="s">
        <v>74</v>
      </c>
      <c r="B18" s="9" t="s">
        <v>38</v>
      </c>
      <c r="C18" s="10"/>
      <c r="D18" s="61"/>
      <c r="E18" s="74"/>
      <c r="F18" s="74"/>
      <c r="G18" s="90"/>
      <c r="H18" s="75"/>
    </row>
    <row r="19" spans="1:8" x14ac:dyDescent="0.3">
      <c r="A19" s="61" t="s">
        <v>74</v>
      </c>
      <c r="B19" s="11" t="s">
        <v>51</v>
      </c>
      <c r="C19" s="8"/>
      <c r="D19" s="12"/>
      <c r="E19" s="76">
        <f>E15</f>
        <v>0</v>
      </c>
      <c r="F19" s="76">
        <f>F15</f>
        <v>2400</v>
      </c>
      <c r="G19" s="55">
        <f ca="1">(SUMIF('Les normes-données de base'!A$45:B$52,'BU-janv'!$D$8,'Les normes-données de base'!B$45:B$52))/'BU-janv'!$D$8*'BU-janv'!$D$9</f>
        <v>725</v>
      </c>
      <c r="H19" s="93">
        <f ca="1">IF(F19&lt;G19,0,F19-G19)</f>
        <v>1675</v>
      </c>
    </row>
    <row r="20" spans="1:8" x14ac:dyDescent="0.3">
      <c r="A20" s="61" t="s">
        <v>74</v>
      </c>
      <c r="B20" s="11" t="s">
        <v>43</v>
      </c>
      <c r="C20" s="8"/>
      <c r="D20" s="12"/>
      <c r="E20" s="76">
        <f>E16</f>
        <v>0</v>
      </c>
      <c r="F20" s="76">
        <f>F16</f>
        <v>270</v>
      </c>
      <c r="G20" s="55">
        <f>F20+E20</f>
        <v>270</v>
      </c>
      <c r="H20" s="93">
        <f>IF(F20&lt;G20,0,F20-G20)</f>
        <v>0</v>
      </c>
    </row>
    <row r="21" spans="1:8" x14ac:dyDescent="0.3">
      <c r="B21" s="13" t="s">
        <v>44</v>
      </c>
      <c r="C21" s="14"/>
      <c r="D21" s="15"/>
      <c r="E21" s="77">
        <f>SUM(E19:E20)</f>
        <v>0</v>
      </c>
      <c r="F21" s="77">
        <f>SUM(F19:F20)</f>
        <v>2670</v>
      </c>
      <c r="G21" s="91">
        <f ca="1">SUM(G19:G20)</f>
        <v>995</v>
      </c>
      <c r="H21" s="77">
        <f ca="1">SUM(H19:H20)</f>
        <v>1675</v>
      </c>
    </row>
    <row r="22" spans="1:8" x14ac:dyDescent="0.3">
      <c r="B22" s="9" t="s">
        <v>38</v>
      </c>
      <c r="C22" s="10"/>
      <c r="D22" s="61"/>
      <c r="E22" s="74"/>
      <c r="F22" s="74"/>
      <c r="G22" s="90"/>
      <c r="H22" s="75"/>
    </row>
    <row r="23" spans="1:8" x14ac:dyDescent="0.3">
      <c r="A23" s="61" t="s">
        <v>75</v>
      </c>
      <c r="B23" s="11" t="s">
        <v>51</v>
      </c>
      <c r="C23" s="8"/>
      <c r="D23" s="12"/>
      <c r="E23" s="76">
        <f>E19</f>
        <v>0</v>
      </c>
      <c r="F23" s="76">
        <f>F19</f>
        <v>2400</v>
      </c>
      <c r="G23" s="55">
        <f ca="1">(SUMIF('Les normes-données de base'!A$45:B$52,'BU-janv'!$D$8,'Les normes-données de base'!B$45:B$52))/'BU-janv'!$D$8*'BU-janv'!$D$9</f>
        <v>725</v>
      </c>
      <c r="H23" s="93">
        <f ca="1">IF(F23&lt;G23,0,F23-G23)</f>
        <v>1675</v>
      </c>
    </row>
    <row r="24" spans="1:8" x14ac:dyDescent="0.3">
      <c r="A24" s="61" t="s">
        <v>75</v>
      </c>
      <c r="B24" s="11" t="s">
        <v>43</v>
      </c>
      <c r="C24" s="8"/>
      <c r="D24" s="12"/>
      <c r="E24" s="76">
        <f>E20</f>
        <v>0</v>
      </c>
      <c r="F24" s="76">
        <f>F20</f>
        <v>270</v>
      </c>
      <c r="G24" s="55">
        <f>F24+E24</f>
        <v>270</v>
      </c>
      <c r="H24" s="93">
        <f>IF(F24&lt;G24,0,F24-G24)</f>
        <v>0</v>
      </c>
    </row>
    <row r="25" spans="1:8" x14ac:dyDescent="0.3">
      <c r="B25" s="13" t="s">
        <v>44</v>
      </c>
      <c r="C25" s="14"/>
      <c r="D25" s="15"/>
      <c r="E25" s="77">
        <f>SUM(E23:E24)</f>
        <v>0</v>
      </c>
      <c r="F25" s="77">
        <f>SUM(F23:F24)</f>
        <v>2670</v>
      </c>
      <c r="G25" s="91">
        <f ca="1">SUM(G23:G24)</f>
        <v>995</v>
      </c>
      <c r="H25" s="77">
        <f ca="1">SUM(H23:H24)</f>
        <v>1675</v>
      </c>
    </row>
    <row r="26" spans="1:8" x14ac:dyDescent="0.3">
      <c r="A26" s="61" t="s">
        <v>76</v>
      </c>
      <c r="B26" s="9" t="s">
        <v>38</v>
      </c>
      <c r="C26" s="10"/>
      <c r="D26" s="61"/>
      <c r="E26" s="74"/>
      <c r="F26" s="74"/>
      <c r="G26" s="90"/>
      <c r="H26" s="75"/>
    </row>
    <row r="27" spans="1:8" x14ac:dyDescent="0.3">
      <c r="A27" s="61" t="s">
        <v>76</v>
      </c>
      <c r="B27" s="11" t="s">
        <v>51</v>
      </c>
      <c r="C27" s="8"/>
      <c r="D27" s="12"/>
      <c r="E27" s="76">
        <f>E23</f>
        <v>0</v>
      </c>
      <c r="F27" s="76">
        <f>F23</f>
        <v>2400</v>
      </c>
      <c r="G27" s="55">
        <f ca="1">(SUMIF('Les normes-données de base'!A$45:B$52,'BU-janv'!$D$8,'Les normes-données de base'!B$45:B$52))/'BU-janv'!$D$8*'BU-janv'!$D$9</f>
        <v>725</v>
      </c>
      <c r="H27" s="93">
        <f ca="1">IF(F27&lt;G27,0,F27-G27)</f>
        <v>1675</v>
      </c>
    </row>
    <row r="28" spans="1:8" x14ac:dyDescent="0.3">
      <c r="A28" s="61" t="s">
        <v>76</v>
      </c>
      <c r="B28" s="11" t="s">
        <v>43</v>
      </c>
      <c r="C28" s="8"/>
      <c r="D28" s="12"/>
      <c r="E28" s="76">
        <f>E24</f>
        <v>0</v>
      </c>
      <c r="F28" s="76">
        <f>F24</f>
        <v>270</v>
      </c>
      <c r="G28" s="55">
        <f>F28+E28</f>
        <v>270</v>
      </c>
      <c r="H28" s="93">
        <f>IF(F28&lt;G28,0,F28-G28)</f>
        <v>0</v>
      </c>
    </row>
    <row r="29" spans="1:8" x14ac:dyDescent="0.3">
      <c r="B29" s="13" t="s">
        <v>44</v>
      </c>
      <c r="C29" s="14"/>
      <c r="D29" s="15"/>
      <c r="E29" s="77">
        <f>SUM(E27:E28)</f>
        <v>0</v>
      </c>
      <c r="F29" s="77">
        <f>SUM(F27:F28)</f>
        <v>2670</v>
      </c>
      <c r="G29" s="91">
        <f ca="1">SUM(G27:G28)</f>
        <v>995</v>
      </c>
      <c r="H29" s="77">
        <f ca="1">SUM(H27:H28)</f>
        <v>1675</v>
      </c>
    </row>
    <row r="30" spans="1:8" x14ac:dyDescent="0.3">
      <c r="A30" s="61" t="s">
        <v>77</v>
      </c>
      <c r="B30" s="9" t="s">
        <v>38</v>
      </c>
      <c r="C30" s="10"/>
      <c r="D30" s="61"/>
      <c r="E30" s="74"/>
      <c r="F30" s="74"/>
      <c r="G30" s="90"/>
      <c r="H30" s="75"/>
    </row>
    <row r="31" spans="1:8" x14ac:dyDescent="0.3">
      <c r="A31" s="61" t="s">
        <v>77</v>
      </c>
      <c r="B31" s="11" t="s">
        <v>51</v>
      </c>
      <c r="C31" s="8"/>
      <c r="D31" s="12"/>
      <c r="E31" s="76">
        <f>E27</f>
        <v>0</v>
      </c>
      <c r="F31" s="76">
        <f>F27</f>
        <v>2400</v>
      </c>
      <c r="G31" s="55">
        <f ca="1">(SUMIF('Les normes-données de base'!A$45:B$52,'BU-janv'!$D$8,'Les normes-données de base'!B$45:B$52))/'BU-janv'!$D$8*'BU-janv'!$D$9</f>
        <v>725</v>
      </c>
      <c r="H31" s="93">
        <f ca="1">IF(F31&lt;G31,0,F31-G31)</f>
        <v>1675</v>
      </c>
    </row>
    <row r="32" spans="1:8" x14ac:dyDescent="0.3">
      <c r="A32" s="61" t="s">
        <v>77</v>
      </c>
      <c r="B32" s="11" t="s">
        <v>43</v>
      </c>
      <c r="C32" s="8"/>
      <c r="D32" s="12"/>
      <c r="E32" s="76">
        <f>E28</f>
        <v>0</v>
      </c>
      <c r="F32" s="76">
        <f>F28</f>
        <v>270</v>
      </c>
      <c r="G32" s="55">
        <f>F32+E32</f>
        <v>270</v>
      </c>
      <c r="H32" s="93">
        <f>IF(F32&lt;G32,0,F32-G32)</f>
        <v>0</v>
      </c>
    </row>
    <row r="33" spans="1:11" x14ac:dyDescent="0.3">
      <c r="B33" s="13" t="s">
        <v>44</v>
      </c>
      <c r="C33" s="14"/>
      <c r="D33" s="15"/>
      <c r="E33" s="77">
        <f>SUM(E31:E32)</f>
        <v>0</v>
      </c>
      <c r="F33" s="77">
        <f>SUM(F31:F32)</f>
        <v>2670</v>
      </c>
      <c r="G33" s="91">
        <f ca="1">SUM(G31:G32)</f>
        <v>995</v>
      </c>
      <c r="H33" s="77">
        <f ca="1">SUM(H31:H32)</f>
        <v>1675</v>
      </c>
    </row>
    <row r="34" spans="1:11" x14ac:dyDescent="0.3">
      <c r="A34" s="61" t="s">
        <v>78</v>
      </c>
      <c r="B34" s="9" t="s">
        <v>38</v>
      </c>
      <c r="C34" s="10"/>
      <c r="D34" s="61"/>
      <c r="E34" s="74"/>
      <c r="F34" s="74"/>
      <c r="G34" s="90"/>
      <c r="H34" s="75"/>
    </row>
    <row r="35" spans="1:11" x14ac:dyDescent="0.3">
      <c r="A35" s="61" t="s">
        <v>78</v>
      </c>
      <c r="B35" s="11" t="s">
        <v>51</v>
      </c>
      <c r="C35" s="8"/>
      <c r="D35" s="12"/>
      <c r="E35" s="76">
        <f>E31</f>
        <v>0</v>
      </c>
      <c r="F35" s="76">
        <f>F31</f>
        <v>2400</v>
      </c>
      <c r="G35" s="55">
        <f ca="1">(SUMIF('Les normes-données de base'!A$45:B$52,'BU-janv'!$D$8,'Les normes-données de base'!B$45:B$52))/'BU-janv'!$D$8*'BU-janv'!$D$9</f>
        <v>725</v>
      </c>
      <c r="H35" s="93">
        <f ca="1">IF(F35&lt;G35,0,F35-G35)</f>
        <v>1675</v>
      </c>
    </row>
    <row r="36" spans="1:11" x14ac:dyDescent="0.3">
      <c r="A36" s="61" t="s">
        <v>78</v>
      </c>
      <c r="B36" s="11" t="s">
        <v>43</v>
      </c>
      <c r="C36" s="8"/>
      <c r="D36" s="12"/>
      <c r="E36" s="76">
        <f>E32</f>
        <v>0</v>
      </c>
      <c r="F36" s="76">
        <f>F32</f>
        <v>270</v>
      </c>
      <c r="G36" s="55">
        <f>F36+E36</f>
        <v>270</v>
      </c>
      <c r="H36" s="93">
        <f>IF(F36&lt;G36,0,F36-G36)</f>
        <v>0</v>
      </c>
    </row>
    <row r="37" spans="1:11" x14ac:dyDescent="0.3">
      <c r="B37" s="13" t="s">
        <v>44</v>
      </c>
      <c r="C37" s="14"/>
      <c r="D37" s="15"/>
      <c r="E37" s="77">
        <f>SUM(E35:E36)</f>
        <v>0</v>
      </c>
      <c r="F37" s="77">
        <f>SUM(F35:F36)</f>
        <v>2670</v>
      </c>
      <c r="G37" s="91">
        <f ca="1">SUM(G35:G36)</f>
        <v>995</v>
      </c>
      <c r="H37" s="77">
        <f ca="1">SUM(H35:H36)</f>
        <v>1675</v>
      </c>
    </row>
    <row r="38" spans="1:11" x14ac:dyDescent="0.3">
      <c r="A38" s="61" t="s">
        <v>79</v>
      </c>
      <c r="B38" s="9" t="s">
        <v>38</v>
      </c>
      <c r="C38" s="10"/>
      <c r="D38" s="61"/>
      <c r="E38" s="74"/>
      <c r="F38" s="74"/>
      <c r="G38" s="90"/>
      <c r="H38" s="75"/>
    </row>
    <row r="39" spans="1:11" x14ac:dyDescent="0.3">
      <c r="A39" s="61" t="s">
        <v>79</v>
      </c>
      <c r="B39" s="11" t="s">
        <v>51</v>
      </c>
      <c r="C39" s="8"/>
      <c r="D39" s="12"/>
      <c r="E39" s="76">
        <f>E35</f>
        <v>0</v>
      </c>
      <c r="F39" s="76">
        <f>F35</f>
        <v>2400</v>
      </c>
      <c r="G39" s="55">
        <f ca="1">(SUMIF('Les normes-données de base'!A$45:B$52,'BU-janv'!$D$8,'Les normes-données de base'!B$45:B$52))/'BU-janv'!$D$8*'BU-janv'!$D$9</f>
        <v>725</v>
      </c>
      <c r="H39" s="93">
        <f ca="1">IF(F39&lt;G39,0,F39-G39)</f>
        <v>1675</v>
      </c>
      <c r="K39" s="55">
        <f ca="1">(SUMIF('Les normes-données de base'!E$45:F$52,'BU-janv'!$D$8,'Les normes-données de base'!F$45:F$52))/'BU-janv'!$D$8*'BU-janv'!$D$9</f>
        <v>0</v>
      </c>
    </row>
    <row r="40" spans="1:11" x14ac:dyDescent="0.3">
      <c r="A40" s="61" t="s">
        <v>79</v>
      </c>
      <c r="B40" s="11" t="s">
        <v>43</v>
      </c>
      <c r="C40" s="8"/>
      <c r="D40" s="12"/>
      <c r="E40" s="76">
        <f>E36</f>
        <v>0</v>
      </c>
      <c r="F40" s="76">
        <f>F36</f>
        <v>270</v>
      </c>
      <c r="G40" s="55">
        <f>F40+E40</f>
        <v>270</v>
      </c>
      <c r="H40" s="93">
        <f>IF(F40&lt;G40,0,F40-G40)</f>
        <v>0</v>
      </c>
      <c r="K40" s="55">
        <f>J40+I40</f>
        <v>0</v>
      </c>
    </row>
    <row r="41" spans="1:11" x14ac:dyDescent="0.3">
      <c r="B41" s="13" t="s">
        <v>44</v>
      </c>
      <c r="C41" s="14"/>
      <c r="D41" s="15"/>
      <c r="E41" s="77">
        <f>SUM(E39:E40)</f>
        <v>0</v>
      </c>
      <c r="F41" s="77">
        <f>SUM(F39:F40)</f>
        <v>2670</v>
      </c>
      <c r="G41" s="91">
        <f ca="1">SUM(G39:G40)</f>
        <v>995</v>
      </c>
      <c r="H41" s="77">
        <f ca="1">SUM(H39:H40)</f>
        <v>1675</v>
      </c>
    </row>
    <row r="42" spans="1:11" x14ac:dyDescent="0.3">
      <c r="A42" s="61" t="s">
        <v>80</v>
      </c>
      <c r="B42" s="9" t="s">
        <v>38</v>
      </c>
      <c r="C42" s="10"/>
      <c r="D42" s="61"/>
      <c r="E42" s="74"/>
      <c r="F42" s="74"/>
      <c r="G42" s="90"/>
      <c r="H42" s="75"/>
    </row>
    <row r="43" spans="1:11" x14ac:dyDescent="0.3">
      <c r="A43" s="61" t="s">
        <v>80</v>
      </c>
      <c r="B43" s="11" t="s">
        <v>51</v>
      </c>
      <c r="C43" s="8"/>
      <c r="D43" s="12"/>
      <c r="E43" s="76">
        <f>E39</f>
        <v>0</v>
      </c>
      <c r="F43" s="76">
        <f>F39</f>
        <v>2400</v>
      </c>
      <c r="G43" s="55">
        <f ca="1">(SUMIF('Les normes-données de base'!A$45:B$52,'BU-janv'!$D$8,'Les normes-données de base'!B$45:B$52))/'BU-janv'!$D$8*'BU-janv'!$D$9</f>
        <v>725</v>
      </c>
      <c r="H43" s="93">
        <f ca="1">IF(F43&lt;G43,0,F43-G43)</f>
        <v>1675</v>
      </c>
    </row>
    <row r="44" spans="1:11" x14ac:dyDescent="0.3">
      <c r="A44" s="61" t="s">
        <v>80</v>
      </c>
      <c r="B44" s="11" t="s">
        <v>43</v>
      </c>
      <c r="C44" s="8"/>
      <c r="D44" s="12"/>
      <c r="E44" s="76">
        <f>E40</f>
        <v>0</v>
      </c>
      <c r="F44" s="76">
        <f>F40</f>
        <v>270</v>
      </c>
      <c r="G44" s="55">
        <f>F44+E44</f>
        <v>270</v>
      </c>
      <c r="H44" s="93">
        <f>IF(F44&lt;G44,0,F44-G44)</f>
        <v>0</v>
      </c>
    </row>
    <row r="45" spans="1:11" x14ac:dyDescent="0.3">
      <c r="B45" s="13" t="s">
        <v>44</v>
      </c>
      <c r="C45" s="14"/>
      <c r="D45" s="15"/>
      <c r="E45" s="77">
        <f>SUM(E43:E44)</f>
        <v>0</v>
      </c>
      <c r="F45" s="77">
        <f>SUM(F43:F44)</f>
        <v>2670</v>
      </c>
      <c r="G45" s="91">
        <f ca="1">SUM(G43:G44)</f>
        <v>995</v>
      </c>
      <c r="H45" s="77">
        <f ca="1">SUM(H43:H44)</f>
        <v>1675</v>
      </c>
    </row>
    <row r="46" spans="1:11" x14ac:dyDescent="0.3">
      <c r="A46" s="61" t="s">
        <v>81</v>
      </c>
      <c r="B46" s="9" t="s">
        <v>38</v>
      </c>
      <c r="C46" s="10"/>
      <c r="D46" s="61"/>
      <c r="E46" s="74"/>
      <c r="F46" s="74"/>
      <c r="G46" s="90"/>
      <c r="H46" s="75"/>
    </row>
    <row r="47" spans="1:11" x14ac:dyDescent="0.3">
      <c r="A47" s="61" t="s">
        <v>81</v>
      </c>
      <c r="B47" s="11" t="s">
        <v>51</v>
      </c>
      <c r="C47" s="8"/>
      <c r="D47" s="12"/>
      <c r="E47" s="76">
        <f>E43</f>
        <v>0</v>
      </c>
      <c r="F47" s="76">
        <f>F43</f>
        <v>2400</v>
      </c>
      <c r="G47" s="55">
        <f ca="1">(SUMIF('Les normes-données de base'!A$45:B$52,'BU-janv'!$D$8,'Les normes-données de base'!B$45:B$52))/'BU-janv'!$D$8*'BU-janv'!$D$9</f>
        <v>725</v>
      </c>
      <c r="H47" s="93">
        <f ca="1">IF(F47&lt;G47,0,F47-G47)</f>
        <v>1675</v>
      </c>
    </row>
    <row r="48" spans="1:11" x14ac:dyDescent="0.3">
      <c r="A48" s="61" t="s">
        <v>81</v>
      </c>
      <c r="B48" s="11" t="s">
        <v>43</v>
      </c>
      <c r="C48" s="8"/>
      <c r="D48" s="12"/>
      <c r="E48" s="76">
        <f>E44</f>
        <v>0</v>
      </c>
      <c r="F48" s="76">
        <f>F44</f>
        <v>270</v>
      </c>
      <c r="G48" s="55">
        <f>F48+E48</f>
        <v>270</v>
      </c>
      <c r="H48" s="93">
        <f>IF(F48&lt;G48,0,F48-G48)</f>
        <v>0</v>
      </c>
    </row>
    <row r="49" spans="2:8" x14ac:dyDescent="0.3">
      <c r="B49" s="13" t="s">
        <v>44</v>
      </c>
      <c r="C49" s="14"/>
      <c r="D49" s="15"/>
      <c r="E49" s="77">
        <f>SUM(E47:E48)</f>
        <v>0</v>
      </c>
      <c r="F49" s="77">
        <f>SUM(F47:F48)</f>
        <v>2670</v>
      </c>
      <c r="G49" s="91">
        <f ca="1">SUM(G47:G48)</f>
        <v>995</v>
      </c>
      <c r="H49" s="77">
        <f ca="1">SUM(H47:H48)</f>
        <v>1675</v>
      </c>
    </row>
    <row r="50" spans="2:8" x14ac:dyDescent="0.3">
      <c r="E50" s="38"/>
      <c r="F50" s="38"/>
      <c r="G50" s="38"/>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F50"/>
  <sheetViews>
    <sheetView workbookViewId="0">
      <selection activeCell="I7" sqref="I7"/>
    </sheetView>
  </sheetViews>
  <sheetFormatPr baseColWidth="10" defaultRowHeight="15" x14ac:dyDescent="0.25"/>
  <cols>
    <col min="2" max="2" width="27" customWidth="1"/>
  </cols>
  <sheetData>
    <row r="1" spans="1:6" ht="15.75" thickBot="1" x14ac:dyDescent="0.3"/>
    <row r="2" spans="1:6" ht="20.25" thickTop="1" thickBot="1" x14ac:dyDescent="0.3">
      <c r="B2" s="26" t="s">
        <v>90</v>
      </c>
      <c r="C2" s="28"/>
      <c r="D2" s="53" t="s">
        <v>70</v>
      </c>
      <c r="E2" s="95"/>
      <c r="F2" s="96"/>
    </row>
    <row r="3" spans="1:6" ht="30.75" thickTop="1" x14ac:dyDescent="0.25">
      <c r="B3" s="48"/>
      <c r="C3" s="49" t="s">
        <v>87</v>
      </c>
      <c r="D3" s="50" t="s">
        <v>88</v>
      </c>
      <c r="E3" s="27" t="s">
        <v>110</v>
      </c>
      <c r="F3" s="28" t="s">
        <v>89</v>
      </c>
    </row>
    <row r="4" spans="1:6" x14ac:dyDescent="0.25">
      <c r="A4" t="s">
        <v>70</v>
      </c>
      <c r="B4" s="32" t="s">
        <v>45</v>
      </c>
      <c r="C4" s="42" t="s">
        <v>109</v>
      </c>
      <c r="D4" s="51">
        <v>352.8</v>
      </c>
      <c r="E4" s="44" t="s">
        <v>111</v>
      </c>
      <c r="F4" s="45">
        <v>12.8</v>
      </c>
    </row>
    <row r="5" spans="1:6" ht="15.75" thickBot="1" x14ac:dyDescent="0.3">
      <c r="A5" t="s">
        <v>70</v>
      </c>
      <c r="B5" s="33" t="s">
        <v>46</v>
      </c>
      <c r="C5" s="43" t="s">
        <v>109</v>
      </c>
      <c r="D5" s="52">
        <v>12.4</v>
      </c>
      <c r="E5" s="46" t="s">
        <v>111</v>
      </c>
      <c r="F5" s="47">
        <v>0</v>
      </c>
    </row>
    <row r="6" spans="1:6" ht="16.5" customHeight="1" thickTop="1" thickBot="1" x14ac:dyDescent="0.3">
      <c r="B6" s="54"/>
      <c r="D6" s="53" t="s">
        <v>71</v>
      </c>
      <c r="E6" s="95"/>
      <c r="F6" s="96"/>
    </row>
    <row r="7" spans="1:6" ht="30.75" thickTop="1" x14ac:dyDescent="0.25">
      <c r="B7" s="48"/>
      <c r="C7" s="49" t="s">
        <v>87</v>
      </c>
      <c r="D7" s="50" t="s">
        <v>88</v>
      </c>
      <c r="E7" s="27" t="s">
        <v>110</v>
      </c>
      <c r="F7" s="28" t="s">
        <v>89</v>
      </c>
    </row>
    <row r="8" spans="1:6" x14ac:dyDescent="0.25">
      <c r="A8" t="str">
        <f>D6</f>
        <v>Février</v>
      </c>
      <c r="B8" s="32" t="s">
        <v>45</v>
      </c>
      <c r="C8" s="62" t="str">
        <f t="shared" ref="C8:F9" si="0">C4</f>
        <v>CSS</v>
      </c>
      <c r="D8" s="63">
        <f t="shared" si="0"/>
        <v>352.8</v>
      </c>
      <c r="E8" s="64" t="str">
        <f t="shared" si="0"/>
        <v>oui</v>
      </c>
      <c r="F8" s="65">
        <f t="shared" si="0"/>
        <v>12.8</v>
      </c>
    </row>
    <row r="9" spans="1:6" ht="15.75" thickBot="1" x14ac:dyDescent="0.3">
      <c r="A9" t="str">
        <f>D6</f>
        <v>Février</v>
      </c>
      <c r="B9" s="33" t="s">
        <v>46</v>
      </c>
      <c r="C9" s="66" t="str">
        <f t="shared" si="0"/>
        <v>CSS</v>
      </c>
      <c r="D9" s="67">
        <f t="shared" si="0"/>
        <v>12.4</v>
      </c>
      <c r="E9" s="68" t="str">
        <f t="shared" si="0"/>
        <v>oui</v>
      </c>
      <c r="F9" s="69">
        <f t="shared" si="0"/>
        <v>0</v>
      </c>
    </row>
    <row r="10" spans="1:6" ht="16.5" customHeight="1" thickTop="1" thickBot="1" x14ac:dyDescent="0.3">
      <c r="B10" s="54"/>
      <c r="C10" s="38"/>
      <c r="D10" s="53" t="s">
        <v>72</v>
      </c>
      <c r="E10" s="95"/>
      <c r="F10" s="96"/>
    </row>
    <row r="11" spans="1:6" ht="30.75" thickTop="1" x14ac:dyDescent="0.25">
      <c r="B11" s="48"/>
      <c r="C11" s="70" t="s">
        <v>87</v>
      </c>
      <c r="D11" s="71" t="s">
        <v>88</v>
      </c>
      <c r="E11" s="72" t="s">
        <v>110</v>
      </c>
      <c r="F11" s="73" t="s">
        <v>89</v>
      </c>
    </row>
    <row r="12" spans="1:6" x14ac:dyDescent="0.25">
      <c r="A12" t="str">
        <f>D10</f>
        <v>Mars</v>
      </c>
      <c r="B12" s="32" t="s">
        <v>45</v>
      </c>
      <c r="C12" s="62" t="str">
        <f t="shared" ref="C12:F13" si="1">C8</f>
        <v>CSS</v>
      </c>
      <c r="D12" s="63">
        <f t="shared" si="1"/>
        <v>352.8</v>
      </c>
      <c r="E12" s="64" t="str">
        <f t="shared" si="1"/>
        <v>oui</v>
      </c>
      <c r="F12" s="65">
        <f t="shared" si="1"/>
        <v>12.8</v>
      </c>
    </row>
    <row r="13" spans="1:6" ht="15.75" thickBot="1" x14ac:dyDescent="0.3">
      <c r="A13" t="str">
        <f>D10</f>
        <v>Mars</v>
      </c>
      <c r="B13" s="33" t="s">
        <v>46</v>
      </c>
      <c r="C13" s="66" t="str">
        <f t="shared" si="1"/>
        <v>CSS</v>
      </c>
      <c r="D13" s="67">
        <f t="shared" si="1"/>
        <v>12.4</v>
      </c>
      <c r="E13" s="68" t="str">
        <f t="shared" si="1"/>
        <v>oui</v>
      </c>
      <c r="F13" s="69">
        <f t="shared" si="1"/>
        <v>0</v>
      </c>
    </row>
    <row r="14" spans="1:6" ht="16.5" customHeight="1" thickTop="1" thickBot="1" x14ac:dyDescent="0.3">
      <c r="B14" s="54"/>
      <c r="C14" s="38"/>
      <c r="D14" s="53" t="s">
        <v>73</v>
      </c>
      <c r="E14" s="95"/>
      <c r="F14" s="96"/>
    </row>
    <row r="15" spans="1:6" ht="30.75" thickTop="1" x14ac:dyDescent="0.25">
      <c r="B15" s="48"/>
      <c r="C15" s="70" t="s">
        <v>87</v>
      </c>
      <c r="D15" s="71" t="s">
        <v>88</v>
      </c>
      <c r="E15" s="72" t="s">
        <v>110</v>
      </c>
      <c r="F15" s="73" t="s">
        <v>89</v>
      </c>
    </row>
    <row r="16" spans="1:6" x14ac:dyDescent="0.25">
      <c r="A16" t="str">
        <f>D14</f>
        <v>Avril</v>
      </c>
      <c r="B16" s="32" t="s">
        <v>45</v>
      </c>
      <c r="C16" s="62" t="str">
        <f t="shared" ref="C16:F17" si="2">C12</f>
        <v>CSS</v>
      </c>
      <c r="D16" s="63">
        <f t="shared" si="2"/>
        <v>352.8</v>
      </c>
      <c r="E16" s="64" t="str">
        <f t="shared" si="2"/>
        <v>oui</v>
      </c>
      <c r="F16" s="65">
        <f t="shared" si="2"/>
        <v>12.8</v>
      </c>
    </row>
    <row r="17" spans="1:6" ht="15.75" thickBot="1" x14ac:dyDescent="0.3">
      <c r="A17" t="str">
        <f>D14</f>
        <v>Avril</v>
      </c>
      <c r="B17" s="33" t="s">
        <v>46</v>
      </c>
      <c r="C17" s="66" t="str">
        <f t="shared" si="2"/>
        <v>CSS</v>
      </c>
      <c r="D17" s="67">
        <f t="shared" si="2"/>
        <v>12.4</v>
      </c>
      <c r="E17" s="68" t="str">
        <f t="shared" si="2"/>
        <v>oui</v>
      </c>
      <c r="F17" s="69">
        <f t="shared" si="2"/>
        <v>0</v>
      </c>
    </row>
    <row r="18" spans="1:6" ht="16.5" customHeight="1" thickTop="1" thickBot="1" x14ac:dyDescent="0.3">
      <c r="B18" s="54"/>
      <c r="C18" s="38"/>
      <c r="D18" s="53" t="s">
        <v>74</v>
      </c>
      <c r="E18" s="95"/>
      <c r="F18" s="96"/>
    </row>
    <row r="19" spans="1:6" ht="30.75" thickTop="1" x14ac:dyDescent="0.25">
      <c r="B19" s="48"/>
      <c r="C19" s="70" t="s">
        <v>87</v>
      </c>
      <c r="D19" s="71" t="s">
        <v>88</v>
      </c>
      <c r="E19" s="72" t="s">
        <v>110</v>
      </c>
      <c r="F19" s="73" t="s">
        <v>89</v>
      </c>
    </row>
    <row r="20" spans="1:6" x14ac:dyDescent="0.25">
      <c r="A20" t="str">
        <f>D18</f>
        <v>Mai</v>
      </c>
      <c r="B20" s="32" t="s">
        <v>45</v>
      </c>
      <c r="C20" s="62" t="str">
        <f t="shared" ref="C20:F21" si="3">C16</f>
        <v>CSS</v>
      </c>
      <c r="D20" s="63">
        <f t="shared" si="3"/>
        <v>352.8</v>
      </c>
      <c r="E20" s="64" t="str">
        <f t="shared" si="3"/>
        <v>oui</v>
      </c>
      <c r="F20" s="65">
        <f t="shared" si="3"/>
        <v>12.8</v>
      </c>
    </row>
    <row r="21" spans="1:6" ht="15.75" thickBot="1" x14ac:dyDescent="0.3">
      <c r="A21" t="str">
        <f>D18</f>
        <v>Mai</v>
      </c>
      <c r="B21" s="33" t="s">
        <v>46</v>
      </c>
      <c r="C21" s="66" t="str">
        <f t="shared" si="3"/>
        <v>CSS</v>
      </c>
      <c r="D21" s="67">
        <f t="shared" si="3"/>
        <v>12.4</v>
      </c>
      <c r="E21" s="68" t="str">
        <f t="shared" si="3"/>
        <v>oui</v>
      </c>
      <c r="F21" s="69">
        <f t="shared" si="3"/>
        <v>0</v>
      </c>
    </row>
    <row r="22" spans="1:6" ht="16.5" customHeight="1" thickTop="1" thickBot="1" x14ac:dyDescent="0.3">
      <c r="B22" s="54"/>
      <c r="C22" s="38"/>
      <c r="D22" s="53" t="s">
        <v>75</v>
      </c>
      <c r="E22" s="95"/>
      <c r="F22" s="96"/>
    </row>
    <row r="23" spans="1:6" ht="30.75" thickTop="1" x14ac:dyDescent="0.25">
      <c r="B23" s="48"/>
      <c r="C23" s="70" t="s">
        <v>87</v>
      </c>
      <c r="D23" s="71" t="s">
        <v>88</v>
      </c>
      <c r="E23" s="72" t="s">
        <v>110</v>
      </c>
      <c r="F23" s="73" t="s">
        <v>89</v>
      </c>
    </row>
    <row r="24" spans="1:6" x14ac:dyDescent="0.25">
      <c r="A24" t="str">
        <f>D22</f>
        <v>Juin</v>
      </c>
      <c r="B24" s="32" t="s">
        <v>45</v>
      </c>
      <c r="C24" s="62" t="str">
        <f t="shared" ref="C24:F25" si="4">C20</f>
        <v>CSS</v>
      </c>
      <c r="D24" s="63">
        <f t="shared" si="4"/>
        <v>352.8</v>
      </c>
      <c r="E24" s="64" t="str">
        <f t="shared" si="4"/>
        <v>oui</v>
      </c>
      <c r="F24" s="65">
        <f t="shared" si="4"/>
        <v>12.8</v>
      </c>
    </row>
    <row r="25" spans="1:6" ht="15.75" thickBot="1" x14ac:dyDescent="0.3">
      <c r="A25" t="str">
        <f>D22</f>
        <v>Juin</v>
      </c>
      <c r="B25" s="33" t="s">
        <v>46</v>
      </c>
      <c r="C25" s="66" t="str">
        <f t="shared" si="4"/>
        <v>CSS</v>
      </c>
      <c r="D25" s="67">
        <f t="shared" si="4"/>
        <v>12.4</v>
      </c>
      <c r="E25" s="68" t="str">
        <f t="shared" si="4"/>
        <v>oui</v>
      </c>
      <c r="F25" s="69">
        <f t="shared" si="4"/>
        <v>0</v>
      </c>
    </row>
    <row r="26" spans="1:6" ht="16.5" customHeight="1" thickTop="1" thickBot="1" x14ac:dyDescent="0.3">
      <c r="B26" s="54"/>
      <c r="C26" s="38"/>
      <c r="D26" s="53" t="s">
        <v>76</v>
      </c>
      <c r="E26" s="95"/>
      <c r="F26" s="96"/>
    </row>
    <row r="27" spans="1:6" ht="30.75" thickTop="1" x14ac:dyDescent="0.25">
      <c r="B27" s="48"/>
      <c r="C27" s="70" t="s">
        <v>87</v>
      </c>
      <c r="D27" s="71" t="s">
        <v>88</v>
      </c>
      <c r="E27" s="72" t="s">
        <v>110</v>
      </c>
      <c r="F27" s="73" t="s">
        <v>89</v>
      </c>
    </row>
    <row r="28" spans="1:6" x14ac:dyDescent="0.25">
      <c r="A28" t="str">
        <f>D26</f>
        <v>Juillet</v>
      </c>
      <c r="B28" s="32" t="s">
        <v>45</v>
      </c>
      <c r="C28" s="62" t="str">
        <f t="shared" ref="C28:F29" si="5">C24</f>
        <v>CSS</v>
      </c>
      <c r="D28" s="63">
        <f t="shared" si="5"/>
        <v>352.8</v>
      </c>
      <c r="E28" s="64" t="str">
        <f t="shared" si="5"/>
        <v>oui</v>
      </c>
      <c r="F28" s="65">
        <f t="shared" si="5"/>
        <v>12.8</v>
      </c>
    </row>
    <row r="29" spans="1:6" ht="15.75" thickBot="1" x14ac:dyDescent="0.3">
      <c r="A29" t="str">
        <f>D26</f>
        <v>Juillet</v>
      </c>
      <c r="B29" s="33" t="s">
        <v>46</v>
      </c>
      <c r="C29" s="66" t="str">
        <f t="shared" si="5"/>
        <v>CSS</v>
      </c>
      <c r="D29" s="67">
        <f t="shared" si="5"/>
        <v>12.4</v>
      </c>
      <c r="E29" s="68" t="str">
        <f t="shared" si="5"/>
        <v>oui</v>
      </c>
      <c r="F29" s="69">
        <f t="shared" si="5"/>
        <v>0</v>
      </c>
    </row>
    <row r="30" spans="1:6" ht="16.5" customHeight="1" thickTop="1" thickBot="1" x14ac:dyDescent="0.3">
      <c r="B30" s="54"/>
      <c r="C30" s="38"/>
      <c r="D30" s="53" t="s">
        <v>77</v>
      </c>
      <c r="E30" s="95"/>
      <c r="F30" s="96"/>
    </row>
    <row r="31" spans="1:6" ht="30.75" thickTop="1" x14ac:dyDescent="0.25">
      <c r="B31" s="48"/>
      <c r="C31" s="70" t="s">
        <v>87</v>
      </c>
      <c r="D31" s="71" t="s">
        <v>88</v>
      </c>
      <c r="E31" s="72" t="s">
        <v>110</v>
      </c>
      <c r="F31" s="73" t="s">
        <v>89</v>
      </c>
    </row>
    <row r="32" spans="1:6" x14ac:dyDescent="0.25">
      <c r="A32" t="str">
        <f>D30</f>
        <v>Août</v>
      </c>
      <c r="B32" s="32" t="s">
        <v>45</v>
      </c>
      <c r="C32" s="62" t="str">
        <f t="shared" ref="C32:F33" si="6">C28</f>
        <v>CSS</v>
      </c>
      <c r="D32" s="63">
        <f t="shared" si="6"/>
        <v>352.8</v>
      </c>
      <c r="E32" s="64" t="str">
        <f t="shared" si="6"/>
        <v>oui</v>
      </c>
      <c r="F32" s="65">
        <f t="shared" si="6"/>
        <v>12.8</v>
      </c>
    </row>
    <row r="33" spans="1:6" ht="15.75" thickBot="1" x14ac:dyDescent="0.3">
      <c r="A33" t="str">
        <f>D30</f>
        <v>Août</v>
      </c>
      <c r="B33" s="33" t="s">
        <v>46</v>
      </c>
      <c r="C33" s="66" t="str">
        <f t="shared" si="6"/>
        <v>CSS</v>
      </c>
      <c r="D33" s="67">
        <f t="shared" si="6"/>
        <v>12.4</v>
      </c>
      <c r="E33" s="68" t="str">
        <f t="shared" si="6"/>
        <v>oui</v>
      </c>
      <c r="F33" s="69">
        <f t="shared" si="6"/>
        <v>0</v>
      </c>
    </row>
    <row r="34" spans="1:6" ht="20.25" customHeight="1" thickTop="1" thickBot="1" x14ac:dyDescent="0.3">
      <c r="B34" s="54"/>
      <c r="C34" s="38"/>
      <c r="D34" s="53" t="s">
        <v>78</v>
      </c>
      <c r="E34" s="95"/>
      <c r="F34" s="96"/>
    </row>
    <row r="35" spans="1:6" ht="30.75" thickTop="1" x14ac:dyDescent="0.25">
      <c r="B35" s="48"/>
      <c r="C35" s="70" t="s">
        <v>87</v>
      </c>
      <c r="D35" s="71" t="s">
        <v>88</v>
      </c>
      <c r="E35" s="72" t="s">
        <v>110</v>
      </c>
      <c r="F35" s="73" t="s">
        <v>89</v>
      </c>
    </row>
    <row r="36" spans="1:6" x14ac:dyDescent="0.25">
      <c r="A36" t="str">
        <f>D34</f>
        <v>Septembre</v>
      </c>
      <c r="B36" s="32" t="s">
        <v>45</v>
      </c>
      <c r="C36" s="62" t="str">
        <f t="shared" ref="C36:F37" si="7">C32</f>
        <v>CSS</v>
      </c>
      <c r="D36" s="63">
        <f t="shared" si="7"/>
        <v>352.8</v>
      </c>
      <c r="E36" s="64" t="str">
        <f t="shared" si="7"/>
        <v>oui</v>
      </c>
      <c r="F36" s="65">
        <f t="shared" si="7"/>
        <v>12.8</v>
      </c>
    </row>
    <row r="37" spans="1:6" ht="15.75" thickBot="1" x14ac:dyDescent="0.3">
      <c r="A37" t="str">
        <f>D34</f>
        <v>Septembre</v>
      </c>
      <c r="B37" s="33" t="s">
        <v>46</v>
      </c>
      <c r="C37" s="66" t="str">
        <f t="shared" si="7"/>
        <v>CSS</v>
      </c>
      <c r="D37" s="67">
        <f t="shared" si="7"/>
        <v>12.4</v>
      </c>
      <c r="E37" s="68" t="str">
        <f t="shared" si="7"/>
        <v>oui</v>
      </c>
      <c r="F37" s="69">
        <f t="shared" si="7"/>
        <v>0</v>
      </c>
    </row>
    <row r="38" spans="1:6" ht="16.5" customHeight="1" thickTop="1" thickBot="1" x14ac:dyDescent="0.3">
      <c r="B38" s="54"/>
      <c r="C38" s="38"/>
      <c r="D38" s="53" t="s">
        <v>79</v>
      </c>
      <c r="E38" s="95"/>
      <c r="F38" s="96"/>
    </row>
    <row r="39" spans="1:6" ht="30.75" thickTop="1" x14ac:dyDescent="0.25">
      <c r="B39" s="48"/>
      <c r="C39" s="70" t="s">
        <v>87</v>
      </c>
      <c r="D39" s="71" t="s">
        <v>88</v>
      </c>
      <c r="E39" s="72" t="s">
        <v>110</v>
      </c>
      <c r="F39" s="73" t="s">
        <v>89</v>
      </c>
    </row>
    <row r="40" spans="1:6" x14ac:dyDescent="0.25">
      <c r="A40" t="str">
        <f>D38</f>
        <v>Octobre</v>
      </c>
      <c r="B40" s="32" t="s">
        <v>45</v>
      </c>
      <c r="C40" s="62" t="str">
        <f t="shared" ref="C40:F41" si="8">C36</f>
        <v>CSS</v>
      </c>
      <c r="D40" s="63">
        <f t="shared" si="8"/>
        <v>352.8</v>
      </c>
      <c r="E40" s="64" t="str">
        <f t="shared" si="8"/>
        <v>oui</v>
      </c>
      <c r="F40" s="65">
        <f t="shared" si="8"/>
        <v>12.8</v>
      </c>
    </row>
    <row r="41" spans="1:6" ht="15.75" thickBot="1" x14ac:dyDescent="0.3">
      <c r="A41" t="str">
        <f>D38</f>
        <v>Octobre</v>
      </c>
      <c r="B41" s="33" t="s">
        <v>46</v>
      </c>
      <c r="C41" s="66" t="str">
        <f t="shared" si="8"/>
        <v>CSS</v>
      </c>
      <c r="D41" s="67">
        <f t="shared" si="8"/>
        <v>12.4</v>
      </c>
      <c r="E41" s="68" t="str">
        <f t="shared" si="8"/>
        <v>oui</v>
      </c>
      <c r="F41" s="69">
        <f t="shared" si="8"/>
        <v>0</v>
      </c>
    </row>
    <row r="42" spans="1:6" ht="20.25" customHeight="1" thickTop="1" thickBot="1" x14ac:dyDescent="0.3">
      <c r="B42" s="54"/>
      <c r="C42" s="38"/>
      <c r="D42" s="53" t="s">
        <v>80</v>
      </c>
      <c r="E42" s="95"/>
      <c r="F42" s="96"/>
    </row>
    <row r="43" spans="1:6" ht="30.75" thickTop="1" x14ac:dyDescent="0.25">
      <c r="B43" s="48"/>
      <c r="C43" s="70" t="s">
        <v>87</v>
      </c>
      <c r="D43" s="71" t="s">
        <v>88</v>
      </c>
      <c r="E43" s="72" t="s">
        <v>110</v>
      </c>
      <c r="F43" s="73" t="s">
        <v>89</v>
      </c>
    </row>
    <row r="44" spans="1:6" x14ac:dyDescent="0.25">
      <c r="A44" t="str">
        <f>D42</f>
        <v>Novembre</v>
      </c>
      <c r="B44" s="32" t="s">
        <v>45</v>
      </c>
      <c r="C44" s="62" t="str">
        <f t="shared" ref="C44:F45" si="9">C40</f>
        <v>CSS</v>
      </c>
      <c r="D44" s="63">
        <f t="shared" si="9"/>
        <v>352.8</v>
      </c>
      <c r="E44" s="64" t="str">
        <f t="shared" si="9"/>
        <v>oui</v>
      </c>
      <c r="F44" s="65">
        <f t="shared" si="9"/>
        <v>12.8</v>
      </c>
    </row>
    <row r="45" spans="1:6" ht="15.75" thickBot="1" x14ac:dyDescent="0.3">
      <c r="A45" t="str">
        <f>D42</f>
        <v>Novembre</v>
      </c>
      <c r="B45" s="33" t="s">
        <v>46</v>
      </c>
      <c r="C45" s="66" t="str">
        <f t="shared" si="9"/>
        <v>CSS</v>
      </c>
      <c r="D45" s="67">
        <f t="shared" si="9"/>
        <v>12.4</v>
      </c>
      <c r="E45" s="68" t="str">
        <f t="shared" si="9"/>
        <v>oui</v>
      </c>
      <c r="F45" s="69">
        <f t="shared" si="9"/>
        <v>0</v>
      </c>
    </row>
    <row r="46" spans="1:6" ht="20.25" customHeight="1" thickTop="1" thickBot="1" x14ac:dyDescent="0.3">
      <c r="B46" s="54"/>
      <c r="C46" s="38"/>
      <c r="D46" s="53" t="s">
        <v>81</v>
      </c>
      <c r="E46" s="95"/>
      <c r="F46" s="96"/>
    </row>
    <row r="47" spans="1:6" ht="30.75" thickTop="1" x14ac:dyDescent="0.25">
      <c r="B47" s="48"/>
      <c r="C47" s="70" t="s">
        <v>87</v>
      </c>
      <c r="D47" s="71" t="s">
        <v>88</v>
      </c>
      <c r="E47" s="72" t="s">
        <v>110</v>
      </c>
      <c r="F47" s="73" t="s">
        <v>89</v>
      </c>
    </row>
    <row r="48" spans="1:6" x14ac:dyDescent="0.25">
      <c r="A48" t="str">
        <f>D46</f>
        <v>Décembre</v>
      </c>
      <c r="B48" s="32" t="s">
        <v>45</v>
      </c>
      <c r="C48" s="62" t="str">
        <f t="shared" ref="C48:F49" si="10">C44</f>
        <v>CSS</v>
      </c>
      <c r="D48" s="63">
        <f t="shared" si="10"/>
        <v>352.8</v>
      </c>
      <c r="E48" s="64" t="str">
        <f t="shared" si="10"/>
        <v>oui</v>
      </c>
      <c r="F48" s="65">
        <f t="shared" si="10"/>
        <v>12.8</v>
      </c>
    </row>
    <row r="49" spans="1:6" ht="15.75" thickBot="1" x14ac:dyDescent="0.3">
      <c r="A49" t="str">
        <f>D46</f>
        <v>Décembre</v>
      </c>
      <c r="B49" s="33" t="s">
        <v>46</v>
      </c>
      <c r="C49" s="66" t="str">
        <f t="shared" si="10"/>
        <v>CSS</v>
      </c>
      <c r="D49" s="67">
        <f t="shared" si="10"/>
        <v>12.4</v>
      </c>
      <c r="E49" s="68" t="str">
        <f t="shared" si="10"/>
        <v>oui</v>
      </c>
      <c r="F49" s="69">
        <f t="shared" si="10"/>
        <v>0</v>
      </c>
    </row>
    <row r="50" spans="1:6" ht="15.75" thickTop="1" x14ac:dyDescent="0.25">
      <c r="C50" s="38"/>
      <c r="D50" s="38"/>
      <c r="E50" s="38"/>
      <c r="F50" s="38"/>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201"/>
  <sheetViews>
    <sheetView showZeros="0" topLeftCell="A182" workbookViewId="0">
      <selection activeCell="M190" sqref="M190"/>
    </sheetView>
  </sheetViews>
  <sheetFormatPr baseColWidth="10" defaultRowHeight="15" x14ac:dyDescent="0.25"/>
  <cols>
    <col min="2" max="2" width="5" customWidth="1"/>
    <col min="3" max="3" width="25.7109375" customWidth="1"/>
    <col min="4" max="4" width="24.42578125" customWidth="1"/>
    <col min="5" max="5" width="13.85546875" customWidth="1"/>
    <col min="6" max="6" width="10.5703125" customWidth="1"/>
    <col min="7" max="7" width="2.85546875" style="126" customWidth="1"/>
    <col min="8" max="8" width="34.42578125" customWidth="1"/>
    <col min="9" max="9" width="22.7109375" customWidth="1"/>
    <col min="10" max="10" width="27.5703125" customWidth="1"/>
    <col min="11" max="11" width="12.85546875" customWidth="1"/>
    <col min="12" max="18" width="10.28515625" customWidth="1"/>
    <col min="19" max="19" width="13.140625" customWidth="1"/>
  </cols>
  <sheetData>
    <row r="1" spans="1:12" ht="21" x14ac:dyDescent="0.25">
      <c r="B1" s="23"/>
      <c r="C1" s="133" t="s">
        <v>69</v>
      </c>
      <c r="D1" s="23"/>
      <c r="E1" s="23"/>
      <c r="F1" s="23"/>
      <c r="G1" s="139"/>
      <c r="H1" s="133" t="s">
        <v>198</v>
      </c>
      <c r="I1" s="23"/>
      <c r="J1" s="23"/>
      <c r="K1" s="23"/>
      <c r="L1" s="23"/>
    </row>
    <row r="2" spans="1:12" ht="36" customHeight="1" x14ac:dyDescent="0.25">
      <c r="B2" s="23"/>
      <c r="C2" s="134" t="s">
        <v>65</v>
      </c>
      <c r="D2" s="134" t="s">
        <v>199</v>
      </c>
      <c r="E2" s="134" t="s">
        <v>200</v>
      </c>
      <c r="F2" s="146" t="s">
        <v>204</v>
      </c>
      <c r="G2" s="139"/>
      <c r="H2" s="134" t="s">
        <v>65</v>
      </c>
      <c r="I2" s="134" t="s">
        <v>199</v>
      </c>
      <c r="J2" s="134" t="s">
        <v>200</v>
      </c>
      <c r="K2" s="146" t="s">
        <v>204</v>
      </c>
      <c r="L2" s="23"/>
    </row>
    <row r="3" spans="1:12" ht="15" customHeight="1" x14ac:dyDescent="0.25">
      <c r="A3" t="s">
        <v>133</v>
      </c>
      <c r="B3" s="382" t="str">
        <f>A3</f>
        <v>janvier</v>
      </c>
      <c r="C3" s="97" t="s">
        <v>194</v>
      </c>
      <c r="D3" s="140" t="s">
        <v>202</v>
      </c>
      <c r="E3" s="141">
        <v>81.5</v>
      </c>
      <c r="F3" s="143" t="s">
        <v>182</v>
      </c>
      <c r="G3" s="142"/>
      <c r="H3" s="97" t="s">
        <v>188</v>
      </c>
      <c r="I3" s="140" t="s">
        <v>203</v>
      </c>
      <c r="J3" s="141">
        <v>12</v>
      </c>
      <c r="K3" s="183" t="s">
        <v>111</v>
      </c>
      <c r="L3" s="144"/>
    </row>
    <row r="4" spans="1:12" ht="15" customHeight="1" x14ac:dyDescent="0.25">
      <c r="A4" t="s">
        <v>133</v>
      </c>
      <c r="B4" s="383"/>
      <c r="C4" s="97" t="s">
        <v>195</v>
      </c>
      <c r="D4" s="140" t="s">
        <v>201</v>
      </c>
      <c r="E4" s="141">
        <v>82.3</v>
      </c>
      <c r="F4" s="183" t="s">
        <v>111</v>
      </c>
      <c r="G4" s="142"/>
      <c r="H4" s="97" t="s">
        <v>189</v>
      </c>
      <c r="I4" s="140" t="s">
        <v>205</v>
      </c>
      <c r="J4" s="141"/>
      <c r="K4" s="183"/>
      <c r="L4" s="144"/>
    </row>
    <row r="5" spans="1:12" ht="15" customHeight="1" x14ac:dyDescent="0.25">
      <c r="A5" t="s">
        <v>133</v>
      </c>
      <c r="B5" s="383"/>
      <c r="C5" s="62" t="s">
        <v>190</v>
      </c>
      <c r="D5" s="140"/>
      <c r="E5" s="141"/>
      <c r="F5" s="143"/>
      <c r="G5" s="142"/>
      <c r="H5" s="62" t="s">
        <v>206</v>
      </c>
      <c r="I5" s="140" t="s">
        <v>191</v>
      </c>
      <c r="J5" s="141">
        <v>28</v>
      </c>
      <c r="K5" s="183" t="s">
        <v>111</v>
      </c>
      <c r="L5" s="144"/>
    </row>
    <row r="6" spans="1:12" ht="15" customHeight="1" x14ac:dyDescent="0.25">
      <c r="A6" t="s">
        <v>133</v>
      </c>
      <c r="B6" s="383"/>
      <c r="C6" s="39"/>
      <c r="D6" s="140"/>
      <c r="E6" s="141"/>
      <c r="F6" s="143"/>
      <c r="G6" s="142"/>
      <c r="H6" s="97" t="s">
        <v>192</v>
      </c>
      <c r="I6" s="140"/>
      <c r="J6" s="141"/>
      <c r="K6" s="183"/>
      <c r="L6" s="144"/>
    </row>
    <row r="7" spans="1:12" ht="15" customHeight="1" x14ac:dyDescent="0.25">
      <c r="A7" t="s">
        <v>133</v>
      </c>
      <c r="B7" s="383"/>
      <c r="C7" s="39"/>
      <c r="D7" s="140"/>
      <c r="E7" s="141"/>
      <c r="F7" s="143"/>
      <c r="G7" s="142"/>
      <c r="H7" s="97" t="s">
        <v>193</v>
      </c>
      <c r="I7" s="140"/>
      <c r="J7" s="141">
        <v>15</v>
      </c>
      <c r="K7" s="183" t="s">
        <v>111</v>
      </c>
      <c r="L7" s="144"/>
    </row>
    <row r="8" spans="1:12" ht="15" customHeight="1" x14ac:dyDescent="0.25">
      <c r="A8" t="s">
        <v>133</v>
      </c>
      <c r="B8" s="383"/>
      <c r="C8" s="39"/>
      <c r="D8" s="140"/>
      <c r="E8" s="141"/>
      <c r="F8" s="143"/>
      <c r="G8" s="142"/>
      <c r="H8" s="190" t="s">
        <v>249</v>
      </c>
      <c r="I8" s="140"/>
      <c r="J8" s="141"/>
      <c r="K8" s="143"/>
      <c r="L8" s="144"/>
    </row>
    <row r="9" spans="1:12" ht="15" customHeight="1" x14ac:dyDescent="0.25">
      <c r="A9" t="s">
        <v>133</v>
      </c>
      <c r="B9" s="383"/>
      <c r="C9" s="39" t="s">
        <v>230</v>
      </c>
      <c r="D9" s="140"/>
      <c r="E9" s="141">
        <v>12</v>
      </c>
      <c r="F9" s="143" t="s">
        <v>111</v>
      </c>
      <c r="G9" s="142"/>
      <c r="H9" s="190"/>
      <c r="I9" s="140"/>
      <c r="J9" s="141"/>
      <c r="K9" s="143"/>
      <c r="L9" s="144"/>
    </row>
    <row r="10" spans="1:12" ht="15" customHeight="1" x14ac:dyDescent="0.25">
      <c r="A10" t="s">
        <v>133</v>
      </c>
      <c r="B10" s="383"/>
      <c r="C10" s="39"/>
      <c r="D10" s="140"/>
      <c r="E10" s="141"/>
      <c r="F10" s="143"/>
      <c r="G10" s="142"/>
      <c r="H10" s="190"/>
      <c r="I10" s="140"/>
      <c r="J10" s="141"/>
      <c r="K10" s="143"/>
      <c r="L10" s="144"/>
    </row>
    <row r="11" spans="1:12" ht="15" customHeight="1" x14ac:dyDescent="0.25">
      <c r="A11" t="s">
        <v>133</v>
      </c>
      <c r="B11" s="383"/>
      <c r="C11" s="145"/>
      <c r="D11" s="140"/>
      <c r="E11" s="141"/>
      <c r="F11" s="143"/>
      <c r="G11" s="142"/>
      <c r="H11" s="190"/>
      <c r="I11" s="140"/>
      <c r="J11" s="141"/>
      <c r="K11" s="143"/>
      <c r="L11" s="144"/>
    </row>
    <row r="12" spans="1:12" ht="15" customHeight="1" x14ac:dyDescent="0.25">
      <c r="A12" t="s">
        <v>133</v>
      </c>
      <c r="B12" s="383"/>
      <c r="C12" s="145"/>
      <c r="D12" s="140"/>
      <c r="E12" s="141"/>
      <c r="F12" s="143"/>
      <c r="G12" s="142"/>
      <c r="H12" s="190"/>
      <c r="I12" s="140"/>
      <c r="J12" s="141"/>
      <c r="K12" s="143"/>
      <c r="L12" s="144"/>
    </row>
    <row r="13" spans="1:12" ht="15" customHeight="1" x14ac:dyDescent="0.25">
      <c r="A13" t="s">
        <v>133</v>
      </c>
      <c r="B13" s="383"/>
      <c r="C13" s="145"/>
      <c r="D13" s="140"/>
      <c r="E13" s="141"/>
      <c r="F13" s="143"/>
      <c r="G13" s="142"/>
      <c r="H13" s="190"/>
      <c r="I13" s="140"/>
      <c r="J13" s="141"/>
      <c r="K13" s="143"/>
      <c r="L13" s="144"/>
    </row>
    <row r="14" spans="1:12" ht="15" customHeight="1" x14ac:dyDescent="0.25">
      <c r="A14" t="s">
        <v>133</v>
      </c>
      <c r="B14" s="383"/>
      <c r="C14" s="145"/>
      <c r="D14" s="140"/>
      <c r="E14" s="141"/>
      <c r="F14" s="143"/>
      <c r="G14" s="142"/>
      <c r="H14" s="190"/>
      <c r="I14" s="140"/>
      <c r="J14" s="141"/>
      <c r="K14" s="143"/>
      <c r="L14" s="144"/>
    </row>
    <row r="15" spans="1:12" ht="15" customHeight="1" x14ac:dyDescent="0.25">
      <c r="A15" t="s">
        <v>133</v>
      </c>
      <c r="B15" s="383"/>
      <c r="C15" s="135"/>
      <c r="D15" s="136"/>
      <c r="E15" s="137"/>
      <c r="F15" s="138"/>
      <c r="G15" s="139"/>
      <c r="H15" s="191"/>
      <c r="I15" s="140"/>
      <c r="J15" s="141"/>
      <c r="K15" s="138"/>
      <c r="L15" s="23"/>
    </row>
    <row r="16" spans="1:12" ht="15" customHeight="1" x14ac:dyDescent="0.25">
      <c r="A16" t="s">
        <v>133</v>
      </c>
      <c r="B16" s="383"/>
      <c r="C16" s="135"/>
      <c r="D16" s="136"/>
      <c r="E16" s="137"/>
      <c r="F16" s="138"/>
      <c r="G16" s="139"/>
      <c r="H16" s="191"/>
      <c r="I16" s="140"/>
      <c r="J16" s="141"/>
      <c r="K16" s="138"/>
      <c r="L16" s="23"/>
    </row>
    <row r="17" spans="1:12" s="126" customFormat="1" ht="15" customHeight="1" x14ac:dyDescent="0.25">
      <c r="B17" s="147"/>
      <c r="C17" s="139"/>
      <c r="D17" s="139"/>
      <c r="E17" s="139"/>
      <c r="F17" s="139"/>
      <c r="G17" s="139"/>
      <c r="H17" s="139"/>
      <c r="I17" s="139"/>
      <c r="J17" s="139"/>
      <c r="K17" s="139"/>
      <c r="L17" s="139"/>
    </row>
    <row r="18" spans="1:12" ht="15" customHeight="1" x14ac:dyDescent="0.25">
      <c r="A18" t="s">
        <v>135</v>
      </c>
      <c r="B18" s="382" t="str">
        <f>A18</f>
        <v>février</v>
      </c>
      <c r="C18" s="97" t="str">
        <f t="shared" ref="C18:F31" si="0">C3</f>
        <v>Impôts communaux</v>
      </c>
      <c r="D18" s="140" t="str">
        <f t="shared" si="0"/>
        <v>Commune de Farvagny</v>
      </c>
      <c r="E18" s="141">
        <f t="shared" si="0"/>
        <v>81.5</v>
      </c>
      <c r="F18" s="143" t="str">
        <f t="shared" si="0"/>
        <v>non</v>
      </c>
      <c r="G18" s="142"/>
      <c r="H18" s="97" t="str">
        <f t="shared" ref="H18:K31" si="1">H3</f>
        <v>Assurance ménage</v>
      </c>
      <c r="I18" s="140" t="str">
        <f t="shared" si="1"/>
        <v>Générali</v>
      </c>
      <c r="J18" s="141">
        <f t="shared" si="1"/>
        <v>12</v>
      </c>
      <c r="K18" s="183" t="str">
        <f t="shared" si="1"/>
        <v>oui</v>
      </c>
      <c r="L18" s="144"/>
    </row>
    <row r="19" spans="1:12" ht="15" customHeight="1" x14ac:dyDescent="0.25">
      <c r="A19" t="s">
        <v>135</v>
      </c>
      <c r="B19" s="383"/>
      <c r="C19" s="97" t="str">
        <f t="shared" si="0"/>
        <v>Impôts cantonaux</v>
      </c>
      <c r="D19" s="140" t="str">
        <f t="shared" si="0"/>
        <v>SCC</v>
      </c>
      <c r="E19" s="141">
        <f t="shared" si="0"/>
        <v>82.3</v>
      </c>
      <c r="F19" s="143" t="str">
        <f t="shared" si="0"/>
        <v>oui</v>
      </c>
      <c r="G19" s="142"/>
      <c r="H19" s="97" t="str">
        <f t="shared" si="1"/>
        <v>Electricité</v>
      </c>
      <c r="I19" s="140" t="str">
        <f t="shared" si="1"/>
        <v>Groupe E</v>
      </c>
      <c r="J19" s="141">
        <f t="shared" si="1"/>
        <v>0</v>
      </c>
      <c r="K19" s="183">
        <f t="shared" si="1"/>
        <v>0</v>
      </c>
      <c r="L19" s="144"/>
    </row>
    <row r="20" spans="1:12" ht="15" customHeight="1" x14ac:dyDescent="0.25">
      <c r="A20" t="s">
        <v>135</v>
      </c>
      <c r="B20" s="383"/>
      <c r="C20" s="97" t="str">
        <f t="shared" si="0"/>
        <v>Téléphone</v>
      </c>
      <c r="D20" s="140">
        <f t="shared" si="0"/>
        <v>0</v>
      </c>
      <c r="E20" s="141">
        <f t="shared" si="0"/>
        <v>0</v>
      </c>
      <c r="F20" s="143">
        <f t="shared" si="0"/>
        <v>0</v>
      </c>
      <c r="G20" s="142"/>
      <c r="H20" s="62" t="str">
        <f t="shared" si="1"/>
        <v>Impôt véhicule</v>
      </c>
      <c r="I20" s="140" t="str">
        <f t="shared" si="1"/>
        <v>OCN</v>
      </c>
      <c r="J20" s="141">
        <f t="shared" si="1"/>
        <v>28</v>
      </c>
      <c r="K20" s="183" t="str">
        <f t="shared" si="1"/>
        <v>oui</v>
      </c>
      <c r="L20" s="144"/>
    </row>
    <row r="21" spans="1:12" ht="15" customHeight="1" x14ac:dyDescent="0.25">
      <c r="A21" t="s">
        <v>135</v>
      </c>
      <c r="B21" s="383"/>
      <c r="C21" s="97">
        <f t="shared" si="0"/>
        <v>0</v>
      </c>
      <c r="D21" s="140">
        <f t="shared" si="0"/>
        <v>0</v>
      </c>
      <c r="E21" s="141">
        <f t="shared" si="0"/>
        <v>0</v>
      </c>
      <c r="F21" s="143">
        <f t="shared" si="0"/>
        <v>0</v>
      </c>
      <c r="G21" s="142"/>
      <c r="H21" s="97" t="str">
        <f t="shared" si="1"/>
        <v>Assurance véhicule</v>
      </c>
      <c r="I21" s="140">
        <f t="shared" si="1"/>
        <v>0</v>
      </c>
      <c r="J21" s="141">
        <f t="shared" si="1"/>
        <v>0</v>
      </c>
      <c r="K21" s="183">
        <f t="shared" si="1"/>
        <v>0</v>
      </c>
      <c r="L21" s="144"/>
    </row>
    <row r="22" spans="1:12" ht="15" customHeight="1" x14ac:dyDescent="0.25">
      <c r="A22" t="s">
        <v>135</v>
      </c>
      <c r="B22" s="383"/>
      <c r="C22" s="97">
        <f t="shared" si="0"/>
        <v>0</v>
      </c>
      <c r="D22" s="140">
        <f t="shared" si="0"/>
        <v>0</v>
      </c>
      <c r="E22" s="141">
        <f t="shared" si="0"/>
        <v>0</v>
      </c>
      <c r="F22" s="143">
        <f t="shared" si="0"/>
        <v>0</v>
      </c>
      <c r="G22" s="142"/>
      <c r="H22" s="97" t="str">
        <f t="shared" si="1"/>
        <v>Billag</v>
      </c>
      <c r="I22" s="140">
        <f t="shared" si="1"/>
        <v>0</v>
      </c>
      <c r="J22" s="141">
        <f t="shared" si="1"/>
        <v>15</v>
      </c>
      <c r="K22" s="183" t="str">
        <f t="shared" si="1"/>
        <v>oui</v>
      </c>
      <c r="L22" s="144"/>
    </row>
    <row r="23" spans="1:12" ht="15" customHeight="1" x14ac:dyDescent="0.25">
      <c r="A23" t="s">
        <v>135</v>
      </c>
      <c r="B23" s="383"/>
      <c r="C23" s="97">
        <f t="shared" si="0"/>
        <v>0</v>
      </c>
      <c r="D23" s="140">
        <f t="shared" si="0"/>
        <v>0</v>
      </c>
      <c r="E23" s="141">
        <f t="shared" si="0"/>
        <v>0</v>
      </c>
      <c r="F23" s="143">
        <f t="shared" si="0"/>
        <v>0</v>
      </c>
      <c r="G23" s="142"/>
      <c r="H23" s="97" t="str">
        <f t="shared" si="1"/>
        <v>kk</v>
      </c>
      <c r="I23" s="140">
        <f t="shared" si="1"/>
        <v>0</v>
      </c>
      <c r="J23" s="141">
        <f t="shared" si="1"/>
        <v>0</v>
      </c>
      <c r="K23" s="143">
        <f t="shared" si="1"/>
        <v>0</v>
      </c>
      <c r="L23" s="144"/>
    </row>
    <row r="24" spans="1:12" ht="15" customHeight="1" x14ac:dyDescent="0.25">
      <c r="A24" t="s">
        <v>135</v>
      </c>
      <c r="B24" s="383"/>
      <c r="C24" s="97" t="str">
        <f t="shared" si="0"/>
        <v>tutu</v>
      </c>
      <c r="D24" s="140">
        <f t="shared" si="0"/>
        <v>0</v>
      </c>
      <c r="E24" s="141">
        <f t="shared" si="0"/>
        <v>12</v>
      </c>
      <c r="F24" s="143" t="str">
        <f t="shared" si="0"/>
        <v>oui</v>
      </c>
      <c r="G24" s="142"/>
      <c r="H24" s="97">
        <f t="shared" si="1"/>
        <v>0</v>
      </c>
      <c r="I24" s="140">
        <f t="shared" si="1"/>
        <v>0</v>
      </c>
      <c r="J24" s="141">
        <f t="shared" si="1"/>
        <v>0</v>
      </c>
      <c r="K24" s="143">
        <f t="shared" si="1"/>
        <v>0</v>
      </c>
      <c r="L24" s="144"/>
    </row>
    <row r="25" spans="1:12" ht="15" customHeight="1" x14ac:dyDescent="0.25">
      <c r="A25" t="s">
        <v>135</v>
      </c>
      <c r="B25" s="383"/>
      <c r="C25" s="97">
        <f t="shared" si="0"/>
        <v>0</v>
      </c>
      <c r="D25" s="140">
        <f t="shared" si="0"/>
        <v>0</v>
      </c>
      <c r="E25" s="141">
        <f t="shared" si="0"/>
        <v>0</v>
      </c>
      <c r="F25" s="143">
        <f t="shared" si="0"/>
        <v>0</v>
      </c>
      <c r="G25" s="142"/>
      <c r="H25" s="97">
        <f t="shared" si="1"/>
        <v>0</v>
      </c>
      <c r="I25" s="140">
        <f t="shared" si="1"/>
        <v>0</v>
      </c>
      <c r="J25" s="141">
        <f t="shared" si="1"/>
        <v>0</v>
      </c>
      <c r="K25" s="143">
        <f t="shared" si="1"/>
        <v>0</v>
      </c>
      <c r="L25" s="144"/>
    </row>
    <row r="26" spans="1:12" ht="15" customHeight="1" x14ac:dyDescent="0.25">
      <c r="A26" t="s">
        <v>135</v>
      </c>
      <c r="B26" s="383"/>
      <c r="C26" s="97">
        <f t="shared" si="0"/>
        <v>0</v>
      </c>
      <c r="D26" s="140">
        <f t="shared" si="0"/>
        <v>0</v>
      </c>
      <c r="E26" s="141">
        <f t="shared" si="0"/>
        <v>0</v>
      </c>
      <c r="F26" s="143">
        <f t="shared" si="0"/>
        <v>0</v>
      </c>
      <c r="G26" s="142"/>
      <c r="H26" s="97">
        <f t="shared" si="1"/>
        <v>0</v>
      </c>
      <c r="I26" s="140">
        <f t="shared" si="1"/>
        <v>0</v>
      </c>
      <c r="J26" s="141">
        <f t="shared" si="1"/>
        <v>0</v>
      </c>
      <c r="K26" s="143">
        <f t="shared" si="1"/>
        <v>0</v>
      </c>
      <c r="L26" s="144"/>
    </row>
    <row r="27" spans="1:12" ht="15" customHeight="1" x14ac:dyDescent="0.25">
      <c r="A27" t="s">
        <v>135</v>
      </c>
      <c r="B27" s="383"/>
      <c r="C27" s="97">
        <f t="shared" si="0"/>
        <v>0</v>
      </c>
      <c r="D27" s="140">
        <f t="shared" si="0"/>
        <v>0</v>
      </c>
      <c r="E27" s="141">
        <f t="shared" si="0"/>
        <v>0</v>
      </c>
      <c r="F27" s="143">
        <f t="shared" si="0"/>
        <v>0</v>
      </c>
      <c r="G27" s="142"/>
      <c r="H27" s="97">
        <f t="shared" si="1"/>
        <v>0</v>
      </c>
      <c r="I27" s="140">
        <f t="shared" si="1"/>
        <v>0</v>
      </c>
      <c r="J27" s="141">
        <f t="shared" si="1"/>
        <v>0</v>
      </c>
      <c r="K27" s="143">
        <f t="shared" si="1"/>
        <v>0</v>
      </c>
      <c r="L27" s="144"/>
    </row>
    <row r="28" spans="1:12" ht="15" customHeight="1" x14ac:dyDescent="0.25">
      <c r="A28" t="s">
        <v>135</v>
      </c>
      <c r="B28" s="383"/>
      <c r="C28" s="97">
        <f t="shared" si="0"/>
        <v>0</v>
      </c>
      <c r="D28" s="140">
        <f t="shared" si="0"/>
        <v>0</v>
      </c>
      <c r="E28" s="141">
        <f t="shared" si="0"/>
        <v>0</v>
      </c>
      <c r="F28" s="143">
        <f t="shared" si="0"/>
        <v>0</v>
      </c>
      <c r="G28" s="142"/>
      <c r="H28" s="97">
        <f t="shared" si="1"/>
        <v>0</v>
      </c>
      <c r="I28" s="140">
        <f t="shared" si="1"/>
        <v>0</v>
      </c>
      <c r="J28" s="141">
        <f t="shared" si="1"/>
        <v>0</v>
      </c>
      <c r="K28" s="143">
        <f t="shared" si="1"/>
        <v>0</v>
      </c>
      <c r="L28" s="144"/>
    </row>
    <row r="29" spans="1:12" ht="15" customHeight="1" x14ac:dyDescent="0.25">
      <c r="A29" t="s">
        <v>135</v>
      </c>
      <c r="B29" s="383"/>
      <c r="C29" s="97">
        <f t="shared" si="0"/>
        <v>0</v>
      </c>
      <c r="D29" s="140">
        <f t="shared" si="0"/>
        <v>0</v>
      </c>
      <c r="E29" s="141">
        <f t="shared" si="0"/>
        <v>0</v>
      </c>
      <c r="F29" s="143">
        <f t="shared" si="0"/>
        <v>0</v>
      </c>
      <c r="G29" s="142"/>
      <c r="H29" s="97">
        <f t="shared" si="1"/>
        <v>0</v>
      </c>
      <c r="I29" s="140">
        <f t="shared" si="1"/>
        <v>0</v>
      </c>
      <c r="J29" s="141">
        <f t="shared" si="1"/>
        <v>0</v>
      </c>
      <c r="K29" s="143">
        <f t="shared" si="1"/>
        <v>0</v>
      </c>
      <c r="L29" s="144"/>
    </row>
    <row r="30" spans="1:12" ht="15" customHeight="1" x14ac:dyDescent="0.25">
      <c r="A30" t="s">
        <v>135</v>
      </c>
      <c r="B30" s="383"/>
      <c r="C30" s="97">
        <f t="shared" si="0"/>
        <v>0</v>
      </c>
      <c r="D30" s="140">
        <f t="shared" si="0"/>
        <v>0</v>
      </c>
      <c r="E30" s="141">
        <f t="shared" si="0"/>
        <v>0</v>
      </c>
      <c r="F30" s="143">
        <f t="shared" si="0"/>
        <v>0</v>
      </c>
      <c r="G30" s="139"/>
      <c r="H30" s="97">
        <f t="shared" si="1"/>
        <v>0</v>
      </c>
      <c r="I30" s="140">
        <f t="shared" si="1"/>
        <v>0</v>
      </c>
      <c r="J30" s="141">
        <f t="shared" si="1"/>
        <v>0</v>
      </c>
      <c r="K30" s="138">
        <f t="shared" si="1"/>
        <v>0</v>
      </c>
      <c r="L30" s="23"/>
    </row>
    <row r="31" spans="1:12" ht="15" customHeight="1" x14ac:dyDescent="0.25">
      <c r="A31" t="s">
        <v>135</v>
      </c>
      <c r="B31" s="383"/>
      <c r="C31" s="97">
        <f t="shared" si="0"/>
        <v>0</v>
      </c>
      <c r="D31" s="140">
        <f t="shared" si="0"/>
        <v>0</v>
      </c>
      <c r="E31" s="141">
        <f t="shared" si="0"/>
        <v>0</v>
      </c>
      <c r="F31" s="143">
        <f t="shared" si="0"/>
        <v>0</v>
      </c>
      <c r="G31" s="139"/>
      <c r="H31" s="97">
        <f t="shared" si="1"/>
        <v>0</v>
      </c>
      <c r="I31" s="140">
        <f t="shared" si="1"/>
        <v>0</v>
      </c>
      <c r="J31" s="141">
        <f t="shared" si="1"/>
        <v>0</v>
      </c>
      <c r="K31" s="138">
        <f t="shared" si="1"/>
        <v>0</v>
      </c>
      <c r="L31" s="23"/>
    </row>
    <row r="32" spans="1:12" s="126" customFormat="1" ht="15" customHeight="1" x14ac:dyDescent="0.25">
      <c r="B32" s="147"/>
      <c r="C32" s="139"/>
      <c r="D32" s="139"/>
      <c r="E32" s="139"/>
      <c r="F32" s="139"/>
      <c r="G32" s="139"/>
      <c r="H32" s="139"/>
      <c r="I32" s="139"/>
      <c r="J32" s="139"/>
      <c r="K32" s="139"/>
      <c r="L32" s="139"/>
    </row>
    <row r="33" spans="1:12" ht="15" customHeight="1" x14ac:dyDescent="0.25">
      <c r="A33" t="s">
        <v>166</v>
      </c>
      <c r="B33" s="382" t="str">
        <f>A33</f>
        <v>mars</v>
      </c>
      <c r="C33" s="97" t="str">
        <f t="shared" ref="C33:F46" si="2">C18</f>
        <v>Impôts communaux</v>
      </c>
      <c r="D33" s="140" t="str">
        <f t="shared" si="2"/>
        <v>Commune de Farvagny</v>
      </c>
      <c r="E33" s="141">
        <f t="shared" si="2"/>
        <v>81.5</v>
      </c>
      <c r="F33" s="143" t="str">
        <f t="shared" si="2"/>
        <v>non</v>
      </c>
      <c r="G33" s="142"/>
      <c r="H33" s="97" t="str">
        <f t="shared" ref="H33:K46" si="3">H18</f>
        <v>Assurance ménage</v>
      </c>
      <c r="I33" s="140" t="str">
        <f t="shared" si="3"/>
        <v>Générali</v>
      </c>
      <c r="J33" s="141">
        <f t="shared" si="3"/>
        <v>12</v>
      </c>
      <c r="K33" s="183" t="str">
        <f t="shared" si="3"/>
        <v>oui</v>
      </c>
      <c r="L33" s="144"/>
    </row>
    <row r="34" spans="1:12" ht="15" customHeight="1" x14ac:dyDescent="0.25">
      <c r="A34" t="s">
        <v>166</v>
      </c>
      <c r="B34" s="383"/>
      <c r="C34" s="97" t="str">
        <f t="shared" si="2"/>
        <v>Impôts cantonaux</v>
      </c>
      <c r="D34" s="140" t="str">
        <f t="shared" si="2"/>
        <v>SCC</v>
      </c>
      <c r="E34" s="141">
        <f t="shared" si="2"/>
        <v>82.3</v>
      </c>
      <c r="F34" s="143" t="str">
        <f t="shared" si="2"/>
        <v>oui</v>
      </c>
      <c r="G34" s="142"/>
      <c r="H34" s="97" t="str">
        <f t="shared" si="3"/>
        <v>Electricité</v>
      </c>
      <c r="I34" s="140" t="str">
        <f t="shared" si="3"/>
        <v>Groupe E</v>
      </c>
      <c r="J34" s="141">
        <f t="shared" si="3"/>
        <v>0</v>
      </c>
      <c r="K34" s="183">
        <f t="shared" si="3"/>
        <v>0</v>
      </c>
      <c r="L34" s="144"/>
    </row>
    <row r="35" spans="1:12" ht="15" customHeight="1" x14ac:dyDescent="0.25">
      <c r="A35" t="s">
        <v>166</v>
      </c>
      <c r="B35" s="383"/>
      <c r="C35" s="97" t="str">
        <f t="shared" si="2"/>
        <v>Téléphone</v>
      </c>
      <c r="D35" s="140">
        <f t="shared" si="2"/>
        <v>0</v>
      </c>
      <c r="E35" s="141">
        <f t="shared" si="2"/>
        <v>0</v>
      </c>
      <c r="F35" s="143">
        <f t="shared" si="2"/>
        <v>0</v>
      </c>
      <c r="G35" s="142"/>
      <c r="H35" s="62" t="str">
        <f t="shared" si="3"/>
        <v>Impôt véhicule</v>
      </c>
      <c r="I35" s="140" t="str">
        <f t="shared" si="3"/>
        <v>OCN</v>
      </c>
      <c r="J35" s="141">
        <f t="shared" si="3"/>
        <v>28</v>
      </c>
      <c r="K35" s="183" t="str">
        <f t="shared" si="3"/>
        <v>oui</v>
      </c>
      <c r="L35" s="144"/>
    </row>
    <row r="36" spans="1:12" ht="15" customHeight="1" x14ac:dyDescent="0.25">
      <c r="A36" t="s">
        <v>166</v>
      </c>
      <c r="B36" s="383"/>
      <c r="C36" s="97">
        <f t="shared" si="2"/>
        <v>0</v>
      </c>
      <c r="D36" s="140">
        <f t="shared" si="2"/>
        <v>0</v>
      </c>
      <c r="E36" s="141">
        <f t="shared" si="2"/>
        <v>0</v>
      </c>
      <c r="F36" s="143">
        <f t="shared" si="2"/>
        <v>0</v>
      </c>
      <c r="G36" s="142"/>
      <c r="H36" s="97" t="str">
        <f t="shared" si="3"/>
        <v>Assurance véhicule</v>
      </c>
      <c r="I36" s="140">
        <f t="shared" si="3"/>
        <v>0</v>
      </c>
      <c r="J36" s="141">
        <f t="shared" si="3"/>
        <v>0</v>
      </c>
      <c r="K36" s="183">
        <f t="shared" si="3"/>
        <v>0</v>
      </c>
      <c r="L36" s="144"/>
    </row>
    <row r="37" spans="1:12" ht="15" customHeight="1" x14ac:dyDescent="0.25">
      <c r="A37" t="s">
        <v>166</v>
      </c>
      <c r="B37" s="383"/>
      <c r="C37" s="97">
        <f t="shared" si="2"/>
        <v>0</v>
      </c>
      <c r="D37" s="140">
        <f t="shared" si="2"/>
        <v>0</v>
      </c>
      <c r="E37" s="141">
        <f t="shared" si="2"/>
        <v>0</v>
      </c>
      <c r="F37" s="143">
        <f t="shared" si="2"/>
        <v>0</v>
      </c>
      <c r="G37" s="142"/>
      <c r="H37" s="97" t="str">
        <f t="shared" si="3"/>
        <v>Billag</v>
      </c>
      <c r="I37" s="140">
        <f t="shared" si="3"/>
        <v>0</v>
      </c>
      <c r="J37" s="141">
        <f t="shared" si="3"/>
        <v>15</v>
      </c>
      <c r="K37" s="183" t="str">
        <f t="shared" si="3"/>
        <v>oui</v>
      </c>
      <c r="L37" s="144"/>
    </row>
    <row r="38" spans="1:12" ht="15" customHeight="1" x14ac:dyDescent="0.25">
      <c r="A38" t="s">
        <v>166</v>
      </c>
      <c r="B38" s="383"/>
      <c r="C38" s="97">
        <f t="shared" si="2"/>
        <v>0</v>
      </c>
      <c r="D38" s="140">
        <f t="shared" si="2"/>
        <v>0</v>
      </c>
      <c r="E38" s="141">
        <f t="shared" si="2"/>
        <v>0</v>
      </c>
      <c r="F38" s="143">
        <f t="shared" si="2"/>
        <v>0</v>
      </c>
      <c r="G38" s="142"/>
      <c r="H38" s="97" t="str">
        <f t="shared" si="3"/>
        <v>kk</v>
      </c>
      <c r="I38" s="140">
        <f t="shared" si="3"/>
        <v>0</v>
      </c>
      <c r="J38" s="141">
        <f t="shared" si="3"/>
        <v>0</v>
      </c>
      <c r="K38" s="143">
        <f t="shared" si="3"/>
        <v>0</v>
      </c>
      <c r="L38" s="144"/>
    </row>
    <row r="39" spans="1:12" ht="15" customHeight="1" x14ac:dyDescent="0.25">
      <c r="A39" t="s">
        <v>166</v>
      </c>
      <c r="B39" s="383"/>
      <c r="C39" s="97" t="str">
        <f t="shared" si="2"/>
        <v>tutu</v>
      </c>
      <c r="D39" s="140">
        <f t="shared" si="2"/>
        <v>0</v>
      </c>
      <c r="E39" s="141">
        <f t="shared" si="2"/>
        <v>12</v>
      </c>
      <c r="F39" s="143" t="str">
        <f t="shared" si="2"/>
        <v>oui</v>
      </c>
      <c r="G39" s="142"/>
      <c r="H39" s="97">
        <f t="shared" si="3"/>
        <v>0</v>
      </c>
      <c r="I39" s="140">
        <f t="shared" si="3"/>
        <v>0</v>
      </c>
      <c r="J39" s="141">
        <f t="shared" si="3"/>
        <v>0</v>
      </c>
      <c r="K39" s="143">
        <f t="shared" si="3"/>
        <v>0</v>
      </c>
      <c r="L39" s="144"/>
    </row>
    <row r="40" spans="1:12" ht="15" customHeight="1" x14ac:dyDescent="0.25">
      <c r="A40" t="s">
        <v>166</v>
      </c>
      <c r="B40" s="383"/>
      <c r="C40" s="97">
        <f t="shared" si="2"/>
        <v>0</v>
      </c>
      <c r="D40" s="140">
        <f t="shared" si="2"/>
        <v>0</v>
      </c>
      <c r="E40" s="141">
        <f t="shared" si="2"/>
        <v>0</v>
      </c>
      <c r="F40" s="143">
        <f t="shared" si="2"/>
        <v>0</v>
      </c>
      <c r="G40" s="142"/>
      <c r="H40" s="97">
        <f t="shared" si="3"/>
        <v>0</v>
      </c>
      <c r="I40" s="140">
        <f t="shared" si="3"/>
        <v>0</v>
      </c>
      <c r="J40" s="141">
        <f t="shared" si="3"/>
        <v>0</v>
      </c>
      <c r="K40" s="143">
        <f t="shared" si="3"/>
        <v>0</v>
      </c>
      <c r="L40" s="144"/>
    </row>
    <row r="41" spans="1:12" ht="15" customHeight="1" x14ac:dyDescent="0.25">
      <c r="A41" t="s">
        <v>166</v>
      </c>
      <c r="B41" s="383"/>
      <c r="C41" s="97">
        <f t="shared" si="2"/>
        <v>0</v>
      </c>
      <c r="D41" s="140">
        <f t="shared" si="2"/>
        <v>0</v>
      </c>
      <c r="E41" s="141">
        <f t="shared" si="2"/>
        <v>0</v>
      </c>
      <c r="F41" s="143">
        <f t="shared" si="2"/>
        <v>0</v>
      </c>
      <c r="G41" s="142"/>
      <c r="H41" s="97">
        <f t="shared" si="3"/>
        <v>0</v>
      </c>
      <c r="I41" s="140">
        <f t="shared" si="3"/>
        <v>0</v>
      </c>
      <c r="J41" s="141">
        <f t="shared" si="3"/>
        <v>0</v>
      </c>
      <c r="K41" s="143">
        <f t="shared" si="3"/>
        <v>0</v>
      </c>
      <c r="L41" s="144"/>
    </row>
    <row r="42" spans="1:12" ht="15" customHeight="1" x14ac:dyDescent="0.25">
      <c r="A42" t="s">
        <v>166</v>
      </c>
      <c r="B42" s="383"/>
      <c r="C42" s="97">
        <f t="shared" si="2"/>
        <v>0</v>
      </c>
      <c r="D42" s="140">
        <f t="shared" si="2"/>
        <v>0</v>
      </c>
      <c r="E42" s="141">
        <f t="shared" si="2"/>
        <v>0</v>
      </c>
      <c r="F42" s="143">
        <f t="shared" si="2"/>
        <v>0</v>
      </c>
      <c r="G42" s="142"/>
      <c r="H42" s="97">
        <f t="shared" si="3"/>
        <v>0</v>
      </c>
      <c r="I42" s="140">
        <f t="shared" si="3"/>
        <v>0</v>
      </c>
      <c r="J42" s="141">
        <f t="shared" si="3"/>
        <v>0</v>
      </c>
      <c r="K42" s="143">
        <f t="shared" si="3"/>
        <v>0</v>
      </c>
      <c r="L42" s="144"/>
    </row>
    <row r="43" spans="1:12" ht="15" customHeight="1" x14ac:dyDescent="0.25">
      <c r="A43" t="s">
        <v>166</v>
      </c>
      <c r="B43" s="383"/>
      <c r="C43" s="97">
        <f t="shared" si="2"/>
        <v>0</v>
      </c>
      <c r="D43" s="140">
        <f t="shared" si="2"/>
        <v>0</v>
      </c>
      <c r="E43" s="141">
        <f t="shared" si="2"/>
        <v>0</v>
      </c>
      <c r="F43" s="143">
        <f t="shared" si="2"/>
        <v>0</v>
      </c>
      <c r="G43" s="142"/>
      <c r="H43" s="97">
        <f t="shared" si="3"/>
        <v>0</v>
      </c>
      <c r="I43" s="140">
        <f t="shared" si="3"/>
        <v>0</v>
      </c>
      <c r="J43" s="141">
        <f t="shared" si="3"/>
        <v>0</v>
      </c>
      <c r="K43" s="143">
        <f t="shared" si="3"/>
        <v>0</v>
      </c>
      <c r="L43" s="144"/>
    </row>
    <row r="44" spans="1:12" ht="15" customHeight="1" x14ac:dyDescent="0.25">
      <c r="A44" t="s">
        <v>166</v>
      </c>
      <c r="B44" s="383"/>
      <c r="C44" s="97">
        <f t="shared" si="2"/>
        <v>0</v>
      </c>
      <c r="D44" s="140">
        <f t="shared" si="2"/>
        <v>0</v>
      </c>
      <c r="E44" s="141">
        <f t="shared" si="2"/>
        <v>0</v>
      </c>
      <c r="F44" s="143">
        <f t="shared" si="2"/>
        <v>0</v>
      </c>
      <c r="G44" s="142"/>
      <c r="H44" s="97">
        <f t="shared" si="3"/>
        <v>0</v>
      </c>
      <c r="I44" s="140">
        <f t="shared" si="3"/>
        <v>0</v>
      </c>
      <c r="J44" s="141">
        <f t="shared" si="3"/>
        <v>0</v>
      </c>
      <c r="K44" s="143">
        <f t="shared" si="3"/>
        <v>0</v>
      </c>
      <c r="L44" s="144"/>
    </row>
    <row r="45" spans="1:12" ht="15" customHeight="1" x14ac:dyDescent="0.25">
      <c r="A45" t="s">
        <v>166</v>
      </c>
      <c r="B45" s="383"/>
      <c r="C45" s="97">
        <f t="shared" si="2"/>
        <v>0</v>
      </c>
      <c r="D45" s="140">
        <f t="shared" si="2"/>
        <v>0</v>
      </c>
      <c r="E45" s="141">
        <f t="shared" si="2"/>
        <v>0</v>
      </c>
      <c r="F45" s="143">
        <f t="shared" si="2"/>
        <v>0</v>
      </c>
      <c r="G45" s="139"/>
      <c r="H45" s="97">
        <f t="shared" si="3"/>
        <v>0</v>
      </c>
      <c r="I45" s="140">
        <f t="shared" si="3"/>
        <v>0</v>
      </c>
      <c r="J45" s="141">
        <f t="shared" si="3"/>
        <v>0</v>
      </c>
      <c r="K45" s="138">
        <f t="shared" si="3"/>
        <v>0</v>
      </c>
      <c r="L45" s="23"/>
    </row>
    <row r="46" spans="1:12" ht="15" customHeight="1" x14ac:dyDescent="0.25">
      <c r="A46" t="s">
        <v>166</v>
      </c>
      <c r="B46" s="383"/>
      <c r="C46" s="97">
        <f t="shared" si="2"/>
        <v>0</v>
      </c>
      <c r="D46" s="140">
        <f t="shared" si="2"/>
        <v>0</v>
      </c>
      <c r="E46" s="141">
        <f t="shared" si="2"/>
        <v>0</v>
      </c>
      <c r="F46" s="143">
        <f t="shared" si="2"/>
        <v>0</v>
      </c>
      <c r="G46" s="139"/>
      <c r="H46" s="97">
        <f t="shared" si="3"/>
        <v>0</v>
      </c>
      <c r="I46" s="140">
        <f t="shared" si="3"/>
        <v>0</v>
      </c>
      <c r="J46" s="141">
        <f t="shared" si="3"/>
        <v>0</v>
      </c>
      <c r="K46" s="138">
        <f t="shared" si="3"/>
        <v>0</v>
      </c>
      <c r="L46" s="23"/>
    </row>
    <row r="47" spans="1:12" s="126" customFormat="1" ht="15" customHeight="1" x14ac:dyDescent="0.25">
      <c r="B47" s="147"/>
      <c r="C47" s="139"/>
      <c r="D47" s="139"/>
      <c r="E47" s="139"/>
      <c r="F47" s="139"/>
      <c r="G47" s="139"/>
      <c r="H47" s="139"/>
      <c r="I47" s="139"/>
      <c r="J47" s="139"/>
      <c r="K47" s="139"/>
      <c r="L47" s="139"/>
    </row>
    <row r="48" spans="1:12" ht="15" customHeight="1" x14ac:dyDescent="0.25">
      <c r="A48" t="s">
        <v>167</v>
      </c>
      <c r="B48" s="382" t="str">
        <f>A48</f>
        <v>avril</v>
      </c>
      <c r="C48" s="97" t="str">
        <f t="shared" ref="C48:F61" si="4">C33</f>
        <v>Impôts communaux</v>
      </c>
      <c r="D48" s="140" t="str">
        <f t="shared" si="4"/>
        <v>Commune de Farvagny</v>
      </c>
      <c r="E48" s="141">
        <f t="shared" si="4"/>
        <v>81.5</v>
      </c>
      <c r="F48" s="143" t="str">
        <f t="shared" si="4"/>
        <v>non</v>
      </c>
      <c r="G48" s="142"/>
      <c r="H48" s="97" t="str">
        <f t="shared" ref="H48:K61" si="5">H33</f>
        <v>Assurance ménage</v>
      </c>
      <c r="I48" s="140" t="str">
        <f t="shared" si="5"/>
        <v>Générali</v>
      </c>
      <c r="J48" s="141">
        <f t="shared" si="5"/>
        <v>12</v>
      </c>
      <c r="K48" s="183" t="str">
        <f t="shared" si="5"/>
        <v>oui</v>
      </c>
      <c r="L48" s="144"/>
    </row>
    <row r="49" spans="1:12" ht="15" customHeight="1" x14ac:dyDescent="0.25">
      <c r="A49" t="s">
        <v>167</v>
      </c>
      <c r="B49" s="383"/>
      <c r="C49" s="97" t="str">
        <f t="shared" si="4"/>
        <v>Impôts cantonaux</v>
      </c>
      <c r="D49" s="140" t="str">
        <f t="shared" si="4"/>
        <v>SCC</v>
      </c>
      <c r="E49" s="141">
        <f t="shared" si="4"/>
        <v>82.3</v>
      </c>
      <c r="F49" s="143" t="str">
        <f t="shared" si="4"/>
        <v>oui</v>
      </c>
      <c r="G49" s="142"/>
      <c r="H49" s="97" t="str">
        <f t="shared" si="5"/>
        <v>Electricité</v>
      </c>
      <c r="I49" s="140" t="str">
        <f t="shared" si="5"/>
        <v>Groupe E</v>
      </c>
      <c r="J49" s="141">
        <f t="shared" si="5"/>
        <v>0</v>
      </c>
      <c r="K49" s="183">
        <f t="shared" si="5"/>
        <v>0</v>
      </c>
      <c r="L49" s="144"/>
    </row>
    <row r="50" spans="1:12" ht="15" customHeight="1" x14ac:dyDescent="0.25">
      <c r="A50" t="s">
        <v>167</v>
      </c>
      <c r="B50" s="383"/>
      <c r="C50" s="97" t="str">
        <f t="shared" si="4"/>
        <v>Téléphone</v>
      </c>
      <c r="D50" s="140">
        <f t="shared" si="4"/>
        <v>0</v>
      </c>
      <c r="E50" s="141">
        <f t="shared" si="4"/>
        <v>0</v>
      </c>
      <c r="F50" s="143">
        <f t="shared" si="4"/>
        <v>0</v>
      </c>
      <c r="G50" s="142"/>
      <c r="H50" s="62" t="str">
        <f t="shared" si="5"/>
        <v>Impôt véhicule</v>
      </c>
      <c r="I50" s="140" t="str">
        <f t="shared" si="5"/>
        <v>OCN</v>
      </c>
      <c r="J50" s="141">
        <f t="shared" si="5"/>
        <v>28</v>
      </c>
      <c r="K50" s="183" t="str">
        <f t="shared" si="5"/>
        <v>oui</v>
      </c>
      <c r="L50" s="144"/>
    </row>
    <row r="51" spans="1:12" ht="15" customHeight="1" x14ac:dyDescent="0.25">
      <c r="A51" t="s">
        <v>167</v>
      </c>
      <c r="B51" s="383"/>
      <c r="C51" s="97">
        <f t="shared" si="4"/>
        <v>0</v>
      </c>
      <c r="D51" s="140">
        <f t="shared" si="4"/>
        <v>0</v>
      </c>
      <c r="E51" s="141">
        <f t="shared" si="4"/>
        <v>0</v>
      </c>
      <c r="F51" s="143">
        <f t="shared" si="4"/>
        <v>0</v>
      </c>
      <c r="G51" s="142"/>
      <c r="H51" s="97" t="str">
        <f t="shared" si="5"/>
        <v>Assurance véhicule</v>
      </c>
      <c r="I51" s="140">
        <f t="shared" si="5"/>
        <v>0</v>
      </c>
      <c r="J51" s="141">
        <f t="shared" si="5"/>
        <v>0</v>
      </c>
      <c r="K51" s="183">
        <f t="shared" si="5"/>
        <v>0</v>
      </c>
      <c r="L51" s="144"/>
    </row>
    <row r="52" spans="1:12" ht="15" customHeight="1" x14ac:dyDescent="0.25">
      <c r="A52" t="s">
        <v>167</v>
      </c>
      <c r="B52" s="383"/>
      <c r="C52" s="97">
        <f t="shared" si="4"/>
        <v>0</v>
      </c>
      <c r="D52" s="140">
        <f t="shared" si="4"/>
        <v>0</v>
      </c>
      <c r="E52" s="141">
        <f t="shared" si="4"/>
        <v>0</v>
      </c>
      <c r="F52" s="143">
        <f t="shared" si="4"/>
        <v>0</v>
      </c>
      <c r="G52" s="142"/>
      <c r="H52" s="97" t="str">
        <f t="shared" si="5"/>
        <v>Billag</v>
      </c>
      <c r="I52" s="140">
        <f t="shared" si="5"/>
        <v>0</v>
      </c>
      <c r="J52" s="141">
        <f t="shared" si="5"/>
        <v>15</v>
      </c>
      <c r="K52" s="183" t="str">
        <f t="shared" si="5"/>
        <v>oui</v>
      </c>
      <c r="L52" s="144"/>
    </row>
    <row r="53" spans="1:12" ht="15" customHeight="1" x14ac:dyDescent="0.25">
      <c r="A53" t="s">
        <v>167</v>
      </c>
      <c r="B53" s="383"/>
      <c r="C53" s="97">
        <f t="shared" si="4"/>
        <v>0</v>
      </c>
      <c r="D53" s="140">
        <f t="shared" si="4"/>
        <v>0</v>
      </c>
      <c r="E53" s="141">
        <f t="shared" si="4"/>
        <v>0</v>
      </c>
      <c r="F53" s="143">
        <f t="shared" si="4"/>
        <v>0</v>
      </c>
      <c r="G53" s="142"/>
      <c r="H53" s="97" t="str">
        <f t="shared" si="5"/>
        <v>kk</v>
      </c>
      <c r="I53" s="140">
        <f t="shared" si="5"/>
        <v>0</v>
      </c>
      <c r="J53" s="141">
        <f t="shared" si="5"/>
        <v>0</v>
      </c>
      <c r="K53" s="143">
        <f t="shared" si="5"/>
        <v>0</v>
      </c>
      <c r="L53" s="144"/>
    </row>
    <row r="54" spans="1:12" ht="15" customHeight="1" x14ac:dyDescent="0.25">
      <c r="A54" t="s">
        <v>167</v>
      </c>
      <c r="B54" s="383"/>
      <c r="C54" s="97" t="str">
        <f t="shared" si="4"/>
        <v>tutu</v>
      </c>
      <c r="D54" s="140">
        <f t="shared" si="4"/>
        <v>0</v>
      </c>
      <c r="E54" s="141">
        <f t="shared" si="4"/>
        <v>12</v>
      </c>
      <c r="F54" s="143" t="str">
        <f t="shared" si="4"/>
        <v>oui</v>
      </c>
      <c r="G54" s="142"/>
      <c r="H54" s="97">
        <f t="shared" si="5"/>
        <v>0</v>
      </c>
      <c r="I54" s="140">
        <f t="shared" si="5"/>
        <v>0</v>
      </c>
      <c r="J54" s="141">
        <f t="shared" si="5"/>
        <v>0</v>
      </c>
      <c r="K54" s="143">
        <f t="shared" si="5"/>
        <v>0</v>
      </c>
      <c r="L54" s="144"/>
    </row>
    <row r="55" spans="1:12" ht="15" customHeight="1" x14ac:dyDescent="0.25">
      <c r="A55" t="s">
        <v>167</v>
      </c>
      <c r="B55" s="383"/>
      <c r="C55" s="97">
        <f t="shared" si="4"/>
        <v>0</v>
      </c>
      <c r="D55" s="140">
        <f t="shared" si="4"/>
        <v>0</v>
      </c>
      <c r="E55" s="141">
        <f t="shared" si="4"/>
        <v>0</v>
      </c>
      <c r="F55" s="143">
        <f t="shared" si="4"/>
        <v>0</v>
      </c>
      <c r="G55" s="142"/>
      <c r="H55" s="97">
        <f t="shared" si="5"/>
        <v>0</v>
      </c>
      <c r="I55" s="140">
        <f t="shared" si="5"/>
        <v>0</v>
      </c>
      <c r="J55" s="141">
        <f t="shared" si="5"/>
        <v>0</v>
      </c>
      <c r="K55" s="143">
        <f t="shared" si="5"/>
        <v>0</v>
      </c>
      <c r="L55" s="144"/>
    </row>
    <row r="56" spans="1:12" ht="15" customHeight="1" x14ac:dyDescent="0.25">
      <c r="A56" t="s">
        <v>167</v>
      </c>
      <c r="B56" s="383"/>
      <c r="C56" s="97">
        <f t="shared" si="4"/>
        <v>0</v>
      </c>
      <c r="D56" s="140">
        <f t="shared" si="4"/>
        <v>0</v>
      </c>
      <c r="E56" s="141">
        <f t="shared" si="4"/>
        <v>0</v>
      </c>
      <c r="F56" s="143">
        <f t="shared" si="4"/>
        <v>0</v>
      </c>
      <c r="G56" s="142"/>
      <c r="H56" s="97">
        <f t="shared" si="5"/>
        <v>0</v>
      </c>
      <c r="I56" s="140">
        <f t="shared" si="5"/>
        <v>0</v>
      </c>
      <c r="J56" s="141">
        <f t="shared" si="5"/>
        <v>0</v>
      </c>
      <c r="K56" s="143">
        <f t="shared" si="5"/>
        <v>0</v>
      </c>
      <c r="L56" s="144"/>
    </row>
    <row r="57" spans="1:12" ht="15" customHeight="1" x14ac:dyDescent="0.25">
      <c r="A57" t="s">
        <v>167</v>
      </c>
      <c r="B57" s="383"/>
      <c r="C57" s="97">
        <f t="shared" si="4"/>
        <v>0</v>
      </c>
      <c r="D57" s="140">
        <f t="shared" si="4"/>
        <v>0</v>
      </c>
      <c r="E57" s="141">
        <f t="shared" si="4"/>
        <v>0</v>
      </c>
      <c r="F57" s="143">
        <f t="shared" si="4"/>
        <v>0</v>
      </c>
      <c r="G57" s="142"/>
      <c r="H57" s="97">
        <f t="shared" si="5"/>
        <v>0</v>
      </c>
      <c r="I57" s="140">
        <f t="shared" si="5"/>
        <v>0</v>
      </c>
      <c r="J57" s="141">
        <f t="shared" si="5"/>
        <v>0</v>
      </c>
      <c r="K57" s="143">
        <f t="shared" si="5"/>
        <v>0</v>
      </c>
      <c r="L57" s="144"/>
    </row>
    <row r="58" spans="1:12" ht="15" customHeight="1" x14ac:dyDescent="0.25">
      <c r="A58" t="s">
        <v>167</v>
      </c>
      <c r="B58" s="383"/>
      <c r="C58" s="97">
        <f t="shared" si="4"/>
        <v>0</v>
      </c>
      <c r="D58" s="140">
        <f t="shared" si="4"/>
        <v>0</v>
      </c>
      <c r="E58" s="141">
        <f t="shared" si="4"/>
        <v>0</v>
      </c>
      <c r="F58" s="143">
        <f t="shared" si="4"/>
        <v>0</v>
      </c>
      <c r="G58" s="142"/>
      <c r="H58" s="97">
        <f t="shared" si="5"/>
        <v>0</v>
      </c>
      <c r="I58" s="140">
        <f t="shared" si="5"/>
        <v>0</v>
      </c>
      <c r="J58" s="141">
        <f t="shared" si="5"/>
        <v>0</v>
      </c>
      <c r="K58" s="143">
        <f t="shared" si="5"/>
        <v>0</v>
      </c>
      <c r="L58" s="144"/>
    </row>
    <row r="59" spans="1:12" ht="15" customHeight="1" x14ac:dyDescent="0.25">
      <c r="A59" t="s">
        <v>167</v>
      </c>
      <c r="B59" s="383"/>
      <c r="C59" s="97">
        <f t="shared" si="4"/>
        <v>0</v>
      </c>
      <c r="D59" s="140">
        <f t="shared" si="4"/>
        <v>0</v>
      </c>
      <c r="E59" s="141">
        <f t="shared" si="4"/>
        <v>0</v>
      </c>
      <c r="F59" s="143">
        <f t="shared" si="4"/>
        <v>0</v>
      </c>
      <c r="G59" s="142"/>
      <c r="H59" s="97">
        <f t="shared" si="5"/>
        <v>0</v>
      </c>
      <c r="I59" s="140">
        <f t="shared" si="5"/>
        <v>0</v>
      </c>
      <c r="J59" s="141">
        <f t="shared" si="5"/>
        <v>0</v>
      </c>
      <c r="K59" s="143">
        <f t="shared" si="5"/>
        <v>0</v>
      </c>
      <c r="L59" s="144"/>
    </row>
    <row r="60" spans="1:12" ht="15" customHeight="1" x14ac:dyDescent="0.25">
      <c r="A60" t="s">
        <v>167</v>
      </c>
      <c r="B60" s="383"/>
      <c r="C60" s="97">
        <f t="shared" si="4"/>
        <v>0</v>
      </c>
      <c r="D60" s="140">
        <f t="shared" si="4"/>
        <v>0</v>
      </c>
      <c r="E60" s="141">
        <f t="shared" si="4"/>
        <v>0</v>
      </c>
      <c r="F60" s="143">
        <f t="shared" si="4"/>
        <v>0</v>
      </c>
      <c r="G60" s="139"/>
      <c r="H60" s="97">
        <f t="shared" si="5"/>
        <v>0</v>
      </c>
      <c r="I60" s="140">
        <f t="shared" si="5"/>
        <v>0</v>
      </c>
      <c r="J60" s="141">
        <f t="shared" si="5"/>
        <v>0</v>
      </c>
      <c r="K60" s="138">
        <f t="shared" si="5"/>
        <v>0</v>
      </c>
      <c r="L60" s="23"/>
    </row>
    <row r="61" spans="1:12" ht="15" customHeight="1" x14ac:dyDescent="0.25">
      <c r="A61" t="s">
        <v>167</v>
      </c>
      <c r="B61" s="383"/>
      <c r="C61" s="97">
        <f t="shared" si="4"/>
        <v>0</v>
      </c>
      <c r="D61" s="140">
        <f t="shared" si="4"/>
        <v>0</v>
      </c>
      <c r="E61" s="141">
        <f t="shared" si="4"/>
        <v>0</v>
      </c>
      <c r="F61" s="143">
        <f t="shared" si="4"/>
        <v>0</v>
      </c>
      <c r="G61" s="139"/>
      <c r="H61" s="97">
        <f t="shared" si="5"/>
        <v>0</v>
      </c>
      <c r="I61" s="140">
        <f t="shared" si="5"/>
        <v>0</v>
      </c>
      <c r="J61" s="141">
        <f t="shared" si="5"/>
        <v>0</v>
      </c>
      <c r="K61" s="138">
        <f t="shared" si="5"/>
        <v>0</v>
      </c>
      <c r="L61" s="23"/>
    </row>
    <row r="62" spans="1:12" s="126" customFormat="1" ht="15" customHeight="1" x14ac:dyDescent="0.25">
      <c r="B62" s="147"/>
      <c r="C62" s="139"/>
      <c r="D62" s="139"/>
      <c r="E62" s="139"/>
      <c r="F62" s="139"/>
      <c r="G62" s="139"/>
      <c r="H62" s="139"/>
      <c r="I62" s="139"/>
      <c r="J62" s="139"/>
      <c r="K62" s="139"/>
      <c r="L62" s="139"/>
    </row>
    <row r="63" spans="1:12" ht="15" customHeight="1" x14ac:dyDescent="0.25">
      <c r="A63" t="s">
        <v>134</v>
      </c>
      <c r="B63" s="382" t="str">
        <f>A63</f>
        <v>mai</v>
      </c>
      <c r="C63" s="97" t="str">
        <f t="shared" ref="C63:F76" si="6">C48</f>
        <v>Impôts communaux</v>
      </c>
      <c r="D63" s="140" t="str">
        <f t="shared" si="6"/>
        <v>Commune de Farvagny</v>
      </c>
      <c r="E63" s="141">
        <f t="shared" si="6"/>
        <v>81.5</v>
      </c>
      <c r="F63" s="143" t="str">
        <f t="shared" si="6"/>
        <v>non</v>
      </c>
      <c r="G63" s="142"/>
      <c r="H63" s="97" t="str">
        <f t="shared" ref="H63:K76" si="7">H48</f>
        <v>Assurance ménage</v>
      </c>
      <c r="I63" s="140" t="str">
        <f t="shared" si="7"/>
        <v>Générali</v>
      </c>
      <c r="J63" s="141">
        <f t="shared" si="7"/>
        <v>12</v>
      </c>
      <c r="K63" s="183" t="str">
        <f t="shared" si="7"/>
        <v>oui</v>
      </c>
      <c r="L63" s="144"/>
    </row>
    <row r="64" spans="1:12" ht="15" customHeight="1" x14ac:dyDescent="0.25">
      <c r="A64" t="s">
        <v>134</v>
      </c>
      <c r="B64" s="383"/>
      <c r="C64" s="97" t="str">
        <f t="shared" si="6"/>
        <v>Impôts cantonaux</v>
      </c>
      <c r="D64" s="140" t="str">
        <f t="shared" si="6"/>
        <v>SCC</v>
      </c>
      <c r="E64" s="141">
        <f t="shared" si="6"/>
        <v>82.3</v>
      </c>
      <c r="F64" s="143" t="str">
        <f t="shared" si="6"/>
        <v>oui</v>
      </c>
      <c r="G64" s="142"/>
      <c r="H64" s="97" t="str">
        <f t="shared" si="7"/>
        <v>Electricité</v>
      </c>
      <c r="I64" s="140" t="str">
        <f t="shared" si="7"/>
        <v>Groupe E</v>
      </c>
      <c r="J64" s="141">
        <f t="shared" si="7"/>
        <v>0</v>
      </c>
      <c r="K64" s="183">
        <f t="shared" si="7"/>
        <v>0</v>
      </c>
      <c r="L64" s="144"/>
    </row>
    <row r="65" spans="1:12" ht="15" customHeight="1" x14ac:dyDescent="0.25">
      <c r="A65" t="s">
        <v>134</v>
      </c>
      <c r="B65" s="383"/>
      <c r="C65" s="97" t="str">
        <f t="shared" si="6"/>
        <v>Téléphone</v>
      </c>
      <c r="D65" s="140">
        <f t="shared" si="6"/>
        <v>0</v>
      </c>
      <c r="E65" s="141">
        <f t="shared" si="6"/>
        <v>0</v>
      </c>
      <c r="F65" s="143">
        <f t="shared" si="6"/>
        <v>0</v>
      </c>
      <c r="G65" s="142"/>
      <c r="H65" s="62" t="str">
        <f t="shared" si="7"/>
        <v>Impôt véhicule</v>
      </c>
      <c r="I65" s="140" t="str">
        <f t="shared" si="7"/>
        <v>OCN</v>
      </c>
      <c r="J65" s="141">
        <f t="shared" si="7"/>
        <v>28</v>
      </c>
      <c r="K65" s="183" t="str">
        <f t="shared" si="7"/>
        <v>oui</v>
      </c>
      <c r="L65" s="144"/>
    </row>
    <row r="66" spans="1:12" ht="15" customHeight="1" x14ac:dyDescent="0.25">
      <c r="A66" t="s">
        <v>134</v>
      </c>
      <c r="B66" s="383"/>
      <c r="C66" s="97">
        <f t="shared" si="6"/>
        <v>0</v>
      </c>
      <c r="D66" s="140">
        <f t="shared" si="6"/>
        <v>0</v>
      </c>
      <c r="E66" s="141">
        <f t="shared" si="6"/>
        <v>0</v>
      </c>
      <c r="F66" s="143">
        <f t="shared" si="6"/>
        <v>0</v>
      </c>
      <c r="G66" s="142"/>
      <c r="H66" s="97" t="str">
        <f t="shared" si="7"/>
        <v>Assurance véhicule</v>
      </c>
      <c r="I66" s="140">
        <f t="shared" si="7"/>
        <v>0</v>
      </c>
      <c r="J66" s="141">
        <f t="shared" si="7"/>
        <v>0</v>
      </c>
      <c r="K66" s="183">
        <f t="shared" si="7"/>
        <v>0</v>
      </c>
      <c r="L66" s="144"/>
    </row>
    <row r="67" spans="1:12" ht="15" customHeight="1" x14ac:dyDescent="0.25">
      <c r="A67" t="s">
        <v>134</v>
      </c>
      <c r="B67" s="383"/>
      <c r="C67" s="97">
        <f t="shared" si="6"/>
        <v>0</v>
      </c>
      <c r="D67" s="140">
        <f t="shared" si="6"/>
        <v>0</v>
      </c>
      <c r="E67" s="141">
        <f t="shared" si="6"/>
        <v>0</v>
      </c>
      <c r="F67" s="143">
        <f t="shared" si="6"/>
        <v>0</v>
      </c>
      <c r="G67" s="142"/>
      <c r="H67" s="97" t="str">
        <f t="shared" si="7"/>
        <v>Billag</v>
      </c>
      <c r="I67" s="140">
        <f t="shared" si="7"/>
        <v>0</v>
      </c>
      <c r="J67" s="141">
        <f t="shared" si="7"/>
        <v>15</v>
      </c>
      <c r="K67" s="183" t="str">
        <f t="shared" si="7"/>
        <v>oui</v>
      </c>
      <c r="L67" s="144"/>
    </row>
    <row r="68" spans="1:12" ht="15" customHeight="1" x14ac:dyDescent="0.25">
      <c r="A68" t="s">
        <v>134</v>
      </c>
      <c r="B68" s="383"/>
      <c r="C68" s="97">
        <f t="shared" si="6"/>
        <v>0</v>
      </c>
      <c r="D68" s="140">
        <f t="shared" si="6"/>
        <v>0</v>
      </c>
      <c r="E68" s="141">
        <f t="shared" si="6"/>
        <v>0</v>
      </c>
      <c r="F68" s="143">
        <f t="shared" si="6"/>
        <v>0</v>
      </c>
      <c r="G68" s="142"/>
      <c r="H68" s="97" t="str">
        <f t="shared" si="7"/>
        <v>kk</v>
      </c>
      <c r="I68" s="140">
        <f t="shared" si="7"/>
        <v>0</v>
      </c>
      <c r="J68" s="141">
        <f t="shared" si="7"/>
        <v>0</v>
      </c>
      <c r="K68" s="143">
        <f t="shared" si="7"/>
        <v>0</v>
      </c>
      <c r="L68" s="144"/>
    </row>
    <row r="69" spans="1:12" ht="15" customHeight="1" x14ac:dyDescent="0.25">
      <c r="A69" t="s">
        <v>134</v>
      </c>
      <c r="B69" s="383"/>
      <c r="C69" s="97" t="str">
        <f t="shared" si="6"/>
        <v>tutu</v>
      </c>
      <c r="D69" s="140">
        <f t="shared" si="6"/>
        <v>0</v>
      </c>
      <c r="E69" s="141">
        <f t="shared" si="6"/>
        <v>12</v>
      </c>
      <c r="F69" s="143" t="str">
        <f t="shared" si="6"/>
        <v>oui</v>
      </c>
      <c r="G69" s="142"/>
      <c r="H69" s="97">
        <f t="shared" si="7"/>
        <v>0</v>
      </c>
      <c r="I69" s="140">
        <f t="shared" si="7"/>
        <v>0</v>
      </c>
      <c r="J69" s="141">
        <f t="shared" si="7"/>
        <v>0</v>
      </c>
      <c r="K69" s="143">
        <f t="shared" si="7"/>
        <v>0</v>
      </c>
      <c r="L69" s="144"/>
    </row>
    <row r="70" spans="1:12" ht="15" customHeight="1" x14ac:dyDescent="0.25">
      <c r="A70" t="s">
        <v>134</v>
      </c>
      <c r="B70" s="383"/>
      <c r="C70" s="97">
        <f t="shared" si="6"/>
        <v>0</v>
      </c>
      <c r="D70" s="140">
        <f t="shared" si="6"/>
        <v>0</v>
      </c>
      <c r="E70" s="141">
        <f t="shared" si="6"/>
        <v>0</v>
      </c>
      <c r="F70" s="143">
        <f t="shared" si="6"/>
        <v>0</v>
      </c>
      <c r="G70" s="142"/>
      <c r="H70" s="97">
        <f t="shared" si="7"/>
        <v>0</v>
      </c>
      <c r="I70" s="140">
        <f t="shared" si="7"/>
        <v>0</v>
      </c>
      <c r="J70" s="141">
        <f t="shared" si="7"/>
        <v>0</v>
      </c>
      <c r="K70" s="143">
        <f t="shared" si="7"/>
        <v>0</v>
      </c>
      <c r="L70" s="144"/>
    </row>
    <row r="71" spans="1:12" ht="15" customHeight="1" x14ac:dyDescent="0.25">
      <c r="A71" t="s">
        <v>134</v>
      </c>
      <c r="B71" s="383"/>
      <c r="C71" s="97">
        <f t="shared" si="6"/>
        <v>0</v>
      </c>
      <c r="D71" s="140">
        <f t="shared" si="6"/>
        <v>0</v>
      </c>
      <c r="E71" s="141">
        <f t="shared" si="6"/>
        <v>0</v>
      </c>
      <c r="F71" s="143">
        <f t="shared" si="6"/>
        <v>0</v>
      </c>
      <c r="G71" s="142"/>
      <c r="H71" s="97">
        <f t="shared" si="7"/>
        <v>0</v>
      </c>
      <c r="I71" s="140">
        <f t="shared" si="7"/>
        <v>0</v>
      </c>
      <c r="J71" s="141">
        <f t="shared" si="7"/>
        <v>0</v>
      </c>
      <c r="K71" s="143">
        <f t="shared" si="7"/>
        <v>0</v>
      </c>
      <c r="L71" s="144"/>
    </row>
    <row r="72" spans="1:12" ht="15" customHeight="1" x14ac:dyDescent="0.25">
      <c r="A72" t="s">
        <v>134</v>
      </c>
      <c r="B72" s="383"/>
      <c r="C72" s="97">
        <f t="shared" si="6"/>
        <v>0</v>
      </c>
      <c r="D72" s="140">
        <f t="shared" si="6"/>
        <v>0</v>
      </c>
      <c r="E72" s="141">
        <f t="shared" si="6"/>
        <v>0</v>
      </c>
      <c r="F72" s="143">
        <f t="shared" si="6"/>
        <v>0</v>
      </c>
      <c r="G72" s="142"/>
      <c r="H72" s="97">
        <f t="shared" si="7"/>
        <v>0</v>
      </c>
      <c r="I72" s="140">
        <f t="shared" si="7"/>
        <v>0</v>
      </c>
      <c r="J72" s="141">
        <f t="shared" si="7"/>
        <v>0</v>
      </c>
      <c r="K72" s="143">
        <f t="shared" si="7"/>
        <v>0</v>
      </c>
      <c r="L72" s="144"/>
    </row>
    <row r="73" spans="1:12" ht="15" customHeight="1" x14ac:dyDescent="0.25">
      <c r="A73" t="s">
        <v>134</v>
      </c>
      <c r="B73" s="383"/>
      <c r="C73" s="97">
        <f t="shared" si="6"/>
        <v>0</v>
      </c>
      <c r="D73" s="140">
        <f t="shared" si="6"/>
        <v>0</v>
      </c>
      <c r="E73" s="141">
        <f t="shared" si="6"/>
        <v>0</v>
      </c>
      <c r="F73" s="143">
        <f t="shared" si="6"/>
        <v>0</v>
      </c>
      <c r="G73" s="142"/>
      <c r="H73" s="97">
        <f t="shared" si="7"/>
        <v>0</v>
      </c>
      <c r="I73" s="140">
        <f t="shared" si="7"/>
        <v>0</v>
      </c>
      <c r="J73" s="141">
        <f t="shared" si="7"/>
        <v>0</v>
      </c>
      <c r="K73" s="143">
        <f t="shared" si="7"/>
        <v>0</v>
      </c>
      <c r="L73" s="144"/>
    </row>
    <row r="74" spans="1:12" ht="15" customHeight="1" x14ac:dyDescent="0.25">
      <c r="A74" t="s">
        <v>134</v>
      </c>
      <c r="B74" s="383"/>
      <c r="C74" s="97">
        <f t="shared" si="6"/>
        <v>0</v>
      </c>
      <c r="D74" s="140">
        <f t="shared" si="6"/>
        <v>0</v>
      </c>
      <c r="E74" s="141">
        <f t="shared" si="6"/>
        <v>0</v>
      </c>
      <c r="F74" s="143">
        <f t="shared" si="6"/>
        <v>0</v>
      </c>
      <c r="G74" s="142"/>
      <c r="H74" s="97">
        <f t="shared" si="7"/>
        <v>0</v>
      </c>
      <c r="I74" s="140">
        <f t="shared" si="7"/>
        <v>0</v>
      </c>
      <c r="J74" s="141">
        <f t="shared" si="7"/>
        <v>0</v>
      </c>
      <c r="K74" s="143">
        <f t="shared" si="7"/>
        <v>0</v>
      </c>
      <c r="L74" s="144"/>
    </row>
    <row r="75" spans="1:12" ht="15" customHeight="1" x14ac:dyDescent="0.25">
      <c r="A75" t="s">
        <v>134</v>
      </c>
      <c r="B75" s="383"/>
      <c r="C75" s="97">
        <f t="shared" si="6"/>
        <v>0</v>
      </c>
      <c r="D75" s="140">
        <f t="shared" si="6"/>
        <v>0</v>
      </c>
      <c r="E75" s="141">
        <f t="shared" si="6"/>
        <v>0</v>
      </c>
      <c r="F75" s="143">
        <f t="shared" si="6"/>
        <v>0</v>
      </c>
      <c r="G75" s="139"/>
      <c r="H75" s="97">
        <f t="shared" si="7"/>
        <v>0</v>
      </c>
      <c r="I75" s="140">
        <f t="shared" si="7"/>
        <v>0</v>
      </c>
      <c r="J75" s="141">
        <f t="shared" si="7"/>
        <v>0</v>
      </c>
      <c r="K75" s="138">
        <f t="shared" si="7"/>
        <v>0</v>
      </c>
      <c r="L75" s="23"/>
    </row>
    <row r="76" spans="1:12" ht="15" customHeight="1" x14ac:dyDescent="0.25">
      <c r="A76" t="s">
        <v>134</v>
      </c>
      <c r="B76" s="383"/>
      <c r="C76" s="97">
        <f t="shared" si="6"/>
        <v>0</v>
      </c>
      <c r="D76" s="140">
        <f t="shared" si="6"/>
        <v>0</v>
      </c>
      <c r="E76" s="141">
        <f t="shared" si="6"/>
        <v>0</v>
      </c>
      <c r="F76" s="143">
        <f t="shared" si="6"/>
        <v>0</v>
      </c>
      <c r="G76" s="139"/>
      <c r="H76" s="97">
        <f t="shared" si="7"/>
        <v>0</v>
      </c>
      <c r="I76" s="140">
        <f t="shared" si="7"/>
        <v>0</v>
      </c>
      <c r="J76" s="141">
        <f t="shared" si="7"/>
        <v>0</v>
      </c>
      <c r="K76" s="138">
        <f t="shared" si="7"/>
        <v>0</v>
      </c>
      <c r="L76" s="23"/>
    </row>
    <row r="77" spans="1:12" s="126" customFormat="1" ht="15" customHeight="1" x14ac:dyDescent="0.25">
      <c r="B77" s="147"/>
      <c r="C77" s="139"/>
      <c r="D77" s="139"/>
      <c r="E77" s="139"/>
      <c r="F77" s="139"/>
      <c r="G77" s="139"/>
      <c r="H77" s="139"/>
      <c r="I77" s="139"/>
      <c r="J77" s="139"/>
      <c r="K77" s="139"/>
      <c r="L77" s="139"/>
    </row>
    <row r="78" spans="1:12" ht="15" customHeight="1" x14ac:dyDescent="0.25">
      <c r="A78" t="s">
        <v>168</v>
      </c>
      <c r="B78" s="382" t="str">
        <f>A78</f>
        <v>juin</v>
      </c>
      <c r="C78" s="97" t="str">
        <f t="shared" ref="C78:F91" si="8">C63</f>
        <v>Impôts communaux</v>
      </c>
      <c r="D78" s="140" t="str">
        <f t="shared" si="8"/>
        <v>Commune de Farvagny</v>
      </c>
      <c r="E78" s="141">
        <f t="shared" si="8"/>
        <v>81.5</v>
      </c>
      <c r="F78" s="143" t="str">
        <f t="shared" si="8"/>
        <v>non</v>
      </c>
      <c r="G78" s="142"/>
      <c r="H78" s="97" t="str">
        <f t="shared" ref="H78:K91" si="9">H63</f>
        <v>Assurance ménage</v>
      </c>
      <c r="I78" s="140" t="str">
        <f t="shared" si="9"/>
        <v>Générali</v>
      </c>
      <c r="J78" s="141">
        <f t="shared" si="9"/>
        <v>12</v>
      </c>
      <c r="K78" s="183" t="str">
        <f t="shared" si="9"/>
        <v>oui</v>
      </c>
      <c r="L78" s="144"/>
    </row>
    <row r="79" spans="1:12" ht="15" customHeight="1" x14ac:dyDescent="0.25">
      <c r="A79" t="s">
        <v>168</v>
      </c>
      <c r="B79" s="383"/>
      <c r="C79" s="97" t="str">
        <f t="shared" si="8"/>
        <v>Impôts cantonaux</v>
      </c>
      <c r="D79" s="140" t="str">
        <f t="shared" si="8"/>
        <v>SCC</v>
      </c>
      <c r="E79" s="141">
        <f t="shared" si="8"/>
        <v>82.3</v>
      </c>
      <c r="F79" s="143" t="str">
        <f t="shared" si="8"/>
        <v>oui</v>
      </c>
      <c r="G79" s="142"/>
      <c r="H79" s="97" t="str">
        <f t="shared" si="9"/>
        <v>Electricité</v>
      </c>
      <c r="I79" s="140" t="str">
        <f t="shared" si="9"/>
        <v>Groupe E</v>
      </c>
      <c r="J79" s="141">
        <f t="shared" si="9"/>
        <v>0</v>
      </c>
      <c r="K79" s="183">
        <f t="shared" si="9"/>
        <v>0</v>
      </c>
      <c r="L79" s="144"/>
    </row>
    <row r="80" spans="1:12" ht="15" customHeight="1" x14ac:dyDescent="0.25">
      <c r="A80" t="s">
        <v>168</v>
      </c>
      <c r="B80" s="383"/>
      <c r="C80" s="97" t="str">
        <f t="shared" si="8"/>
        <v>Téléphone</v>
      </c>
      <c r="D80" s="140">
        <f t="shared" si="8"/>
        <v>0</v>
      </c>
      <c r="E80" s="141">
        <f t="shared" si="8"/>
        <v>0</v>
      </c>
      <c r="F80" s="143">
        <f t="shared" si="8"/>
        <v>0</v>
      </c>
      <c r="G80" s="142"/>
      <c r="H80" s="62" t="str">
        <f t="shared" si="9"/>
        <v>Impôt véhicule</v>
      </c>
      <c r="I80" s="140" t="str">
        <f t="shared" si="9"/>
        <v>OCN</v>
      </c>
      <c r="J80" s="141">
        <f t="shared" si="9"/>
        <v>28</v>
      </c>
      <c r="K80" s="183" t="str">
        <f t="shared" si="9"/>
        <v>oui</v>
      </c>
      <c r="L80" s="144"/>
    </row>
    <row r="81" spans="1:12" ht="15" customHeight="1" x14ac:dyDescent="0.25">
      <c r="A81" t="s">
        <v>168</v>
      </c>
      <c r="B81" s="383"/>
      <c r="C81" s="97">
        <f t="shared" si="8"/>
        <v>0</v>
      </c>
      <c r="D81" s="140">
        <f t="shared" si="8"/>
        <v>0</v>
      </c>
      <c r="E81" s="141">
        <f t="shared" si="8"/>
        <v>0</v>
      </c>
      <c r="F81" s="143">
        <f t="shared" si="8"/>
        <v>0</v>
      </c>
      <c r="G81" s="142"/>
      <c r="H81" s="97" t="str">
        <f t="shared" si="9"/>
        <v>Assurance véhicule</v>
      </c>
      <c r="I81" s="140">
        <f t="shared" si="9"/>
        <v>0</v>
      </c>
      <c r="J81" s="141">
        <f t="shared" si="9"/>
        <v>0</v>
      </c>
      <c r="K81" s="183">
        <f t="shared" si="9"/>
        <v>0</v>
      </c>
      <c r="L81" s="144"/>
    </row>
    <row r="82" spans="1:12" ht="15" customHeight="1" x14ac:dyDescent="0.25">
      <c r="A82" t="s">
        <v>168</v>
      </c>
      <c r="B82" s="383"/>
      <c r="C82" s="97">
        <f t="shared" si="8"/>
        <v>0</v>
      </c>
      <c r="D82" s="140">
        <f t="shared" si="8"/>
        <v>0</v>
      </c>
      <c r="E82" s="141">
        <f t="shared" si="8"/>
        <v>0</v>
      </c>
      <c r="F82" s="143">
        <f t="shared" si="8"/>
        <v>0</v>
      </c>
      <c r="G82" s="142"/>
      <c r="H82" s="97" t="str">
        <f t="shared" si="9"/>
        <v>Billag</v>
      </c>
      <c r="I82" s="140">
        <f t="shared" si="9"/>
        <v>0</v>
      </c>
      <c r="J82" s="141">
        <f t="shared" si="9"/>
        <v>15</v>
      </c>
      <c r="K82" s="183" t="str">
        <f t="shared" si="9"/>
        <v>oui</v>
      </c>
      <c r="L82" s="144"/>
    </row>
    <row r="83" spans="1:12" ht="15" customHeight="1" x14ac:dyDescent="0.25">
      <c r="A83" t="s">
        <v>168</v>
      </c>
      <c r="B83" s="383"/>
      <c r="C83" s="97">
        <f t="shared" si="8"/>
        <v>0</v>
      </c>
      <c r="D83" s="140">
        <f t="shared" si="8"/>
        <v>0</v>
      </c>
      <c r="E83" s="141">
        <f t="shared" si="8"/>
        <v>0</v>
      </c>
      <c r="F83" s="143">
        <f t="shared" si="8"/>
        <v>0</v>
      </c>
      <c r="G83" s="142"/>
      <c r="H83" s="97" t="str">
        <f t="shared" si="9"/>
        <v>kk</v>
      </c>
      <c r="I83" s="140">
        <f t="shared" si="9"/>
        <v>0</v>
      </c>
      <c r="J83" s="141">
        <f t="shared" si="9"/>
        <v>0</v>
      </c>
      <c r="K83" s="143">
        <f t="shared" si="9"/>
        <v>0</v>
      </c>
      <c r="L83" s="144"/>
    </row>
    <row r="84" spans="1:12" ht="15" customHeight="1" x14ac:dyDescent="0.25">
      <c r="A84" t="s">
        <v>168</v>
      </c>
      <c r="B84" s="383"/>
      <c r="C84" s="97" t="str">
        <f t="shared" si="8"/>
        <v>tutu</v>
      </c>
      <c r="D84" s="140">
        <f t="shared" si="8"/>
        <v>0</v>
      </c>
      <c r="E84" s="141">
        <f t="shared" si="8"/>
        <v>12</v>
      </c>
      <c r="F84" s="143" t="str">
        <f t="shared" si="8"/>
        <v>oui</v>
      </c>
      <c r="G84" s="142"/>
      <c r="H84" s="97">
        <f t="shared" si="9"/>
        <v>0</v>
      </c>
      <c r="I84" s="140">
        <f t="shared" si="9"/>
        <v>0</v>
      </c>
      <c r="J84" s="141">
        <f t="shared" si="9"/>
        <v>0</v>
      </c>
      <c r="K84" s="143">
        <f t="shared" si="9"/>
        <v>0</v>
      </c>
      <c r="L84" s="144"/>
    </row>
    <row r="85" spans="1:12" ht="15" customHeight="1" x14ac:dyDescent="0.25">
      <c r="A85" t="s">
        <v>168</v>
      </c>
      <c r="B85" s="383"/>
      <c r="C85" s="97">
        <f t="shared" si="8"/>
        <v>0</v>
      </c>
      <c r="D85" s="140">
        <f t="shared" si="8"/>
        <v>0</v>
      </c>
      <c r="E85" s="141">
        <f t="shared" si="8"/>
        <v>0</v>
      </c>
      <c r="F85" s="143">
        <f t="shared" si="8"/>
        <v>0</v>
      </c>
      <c r="G85" s="142"/>
      <c r="H85" s="97">
        <f t="shared" si="9"/>
        <v>0</v>
      </c>
      <c r="I85" s="140">
        <f t="shared" si="9"/>
        <v>0</v>
      </c>
      <c r="J85" s="141">
        <f t="shared" si="9"/>
        <v>0</v>
      </c>
      <c r="K85" s="143">
        <f t="shared" si="9"/>
        <v>0</v>
      </c>
      <c r="L85" s="144"/>
    </row>
    <row r="86" spans="1:12" ht="15" customHeight="1" x14ac:dyDescent="0.25">
      <c r="A86" t="s">
        <v>168</v>
      </c>
      <c r="B86" s="383"/>
      <c r="C86" s="97">
        <f t="shared" si="8"/>
        <v>0</v>
      </c>
      <c r="D86" s="140">
        <f t="shared" si="8"/>
        <v>0</v>
      </c>
      <c r="E86" s="141">
        <f t="shared" si="8"/>
        <v>0</v>
      </c>
      <c r="F86" s="143">
        <f t="shared" si="8"/>
        <v>0</v>
      </c>
      <c r="G86" s="142"/>
      <c r="H86" s="97">
        <f t="shared" si="9"/>
        <v>0</v>
      </c>
      <c r="I86" s="140">
        <f t="shared" si="9"/>
        <v>0</v>
      </c>
      <c r="J86" s="141">
        <f t="shared" si="9"/>
        <v>0</v>
      </c>
      <c r="K86" s="143">
        <f t="shared" si="9"/>
        <v>0</v>
      </c>
      <c r="L86" s="144"/>
    </row>
    <row r="87" spans="1:12" ht="15" customHeight="1" x14ac:dyDescent="0.25">
      <c r="A87" t="s">
        <v>168</v>
      </c>
      <c r="B87" s="383"/>
      <c r="C87" s="97">
        <f t="shared" si="8"/>
        <v>0</v>
      </c>
      <c r="D87" s="140">
        <f t="shared" si="8"/>
        <v>0</v>
      </c>
      <c r="E87" s="141">
        <f t="shared" si="8"/>
        <v>0</v>
      </c>
      <c r="F87" s="143">
        <f t="shared" si="8"/>
        <v>0</v>
      </c>
      <c r="G87" s="142"/>
      <c r="H87" s="97">
        <f t="shared" si="9"/>
        <v>0</v>
      </c>
      <c r="I87" s="140">
        <f t="shared" si="9"/>
        <v>0</v>
      </c>
      <c r="J87" s="141">
        <f t="shared" si="9"/>
        <v>0</v>
      </c>
      <c r="K87" s="143">
        <f t="shared" si="9"/>
        <v>0</v>
      </c>
      <c r="L87" s="144"/>
    </row>
    <row r="88" spans="1:12" ht="15" customHeight="1" x14ac:dyDescent="0.25">
      <c r="A88" t="s">
        <v>168</v>
      </c>
      <c r="B88" s="383"/>
      <c r="C88" s="97">
        <f t="shared" si="8"/>
        <v>0</v>
      </c>
      <c r="D88" s="140">
        <f t="shared" si="8"/>
        <v>0</v>
      </c>
      <c r="E88" s="141">
        <f t="shared" si="8"/>
        <v>0</v>
      </c>
      <c r="F88" s="143">
        <f t="shared" si="8"/>
        <v>0</v>
      </c>
      <c r="G88" s="142"/>
      <c r="H88" s="97">
        <f t="shared" si="9"/>
        <v>0</v>
      </c>
      <c r="I88" s="140">
        <f t="shared" si="9"/>
        <v>0</v>
      </c>
      <c r="J88" s="141">
        <f t="shared" si="9"/>
        <v>0</v>
      </c>
      <c r="K88" s="143">
        <f t="shared" si="9"/>
        <v>0</v>
      </c>
      <c r="L88" s="144"/>
    </row>
    <row r="89" spans="1:12" ht="15" customHeight="1" x14ac:dyDescent="0.25">
      <c r="A89" t="s">
        <v>168</v>
      </c>
      <c r="B89" s="383"/>
      <c r="C89" s="97">
        <f t="shared" si="8"/>
        <v>0</v>
      </c>
      <c r="D89" s="140">
        <f t="shared" si="8"/>
        <v>0</v>
      </c>
      <c r="E89" s="141">
        <f t="shared" si="8"/>
        <v>0</v>
      </c>
      <c r="F89" s="143">
        <f t="shared" si="8"/>
        <v>0</v>
      </c>
      <c r="G89" s="142"/>
      <c r="H89" s="97">
        <f t="shared" si="9"/>
        <v>0</v>
      </c>
      <c r="I89" s="140">
        <f t="shared" si="9"/>
        <v>0</v>
      </c>
      <c r="J89" s="141">
        <f t="shared" si="9"/>
        <v>0</v>
      </c>
      <c r="K89" s="143">
        <f t="shared" si="9"/>
        <v>0</v>
      </c>
      <c r="L89" s="144"/>
    </row>
    <row r="90" spans="1:12" ht="15" customHeight="1" x14ac:dyDescent="0.25">
      <c r="A90" t="s">
        <v>168</v>
      </c>
      <c r="B90" s="383"/>
      <c r="C90" s="97">
        <f t="shared" si="8"/>
        <v>0</v>
      </c>
      <c r="D90" s="140">
        <f t="shared" si="8"/>
        <v>0</v>
      </c>
      <c r="E90" s="141">
        <f t="shared" si="8"/>
        <v>0</v>
      </c>
      <c r="F90" s="143">
        <f t="shared" si="8"/>
        <v>0</v>
      </c>
      <c r="G90" s="139"/>
      <c r="H90" s="97">
        <f t="shared" si="9"/>
        <v>0</v>
      </c>
      <c r="I90" s="140">
        <f t="shared" si="9"/>
        <v>0</v>
      </c>
      <c r="J90" s="141">
        <f t="shared" si="9"/>
        <v>0</v>
      </c>
      <c r="K90" s="138">
        <f t="shared" si="9"/>
        <v>0</v>
      </c>
      <c r="L90" s="23"/>
    </row>
    <row r="91" spans="1:12" ht="15" customHeight="1" x14ac:dyDescent="0.25">
      <c r="A91" t="s">
        <v>168</v>
      </c>
      <c r="B91" s="383"/>
      <c r="C91" s="97">
        <f t="shared" si="8"/>
        <v>0</v>
      </c>
      <c r="D91" s="140">
        <f t="shared" si="8"/>
        <v>0</v>
      </c>
      <c r="E91" s="141">
        <f t="shared" si="8"/>
        <v>0</v>
      </c>
      <c r="F91" s="143">
        <f t="shared" si="8"/>
        <v>0</v>
      </c>
      <c r="G91" s="139"/>
      <c r="H91" s="97">
        <f t="shared" si="9"/>
        <v>0</v>
      </c>
      <c r="I91" s="140">
        <f t="shared" si="9"/>
        <v>0</v>
      </c>
      <c r="J91" s="141">
        <f t="shared" si="9"/>
        <v>0</v>
      </c>
      <c r="K91" s="138">
        <f t="shared" si="9"/>
        <v>0</v>
      </c>
      <c r="L91" s="23"/>
    </row>
    <row r="92" spans="1:12" s="126" customFormat="1" ht="15" customHeight="1" x14ac:dyDescent="0.25">
      <c r="B92" s="147"/>
      <c r="C92" s="139"/>
      <c r="D92" s="139"/>
      <c r="E92" s="139"/>
      <c r="F92" s="139"/>
      <c r="G92" s="139"/>
      <c r="H92" s="139"/>
      <c r="I92" s="139"/>
      <c r="J92" s="139"/>
      <c r="K92" s="139"/>
      <c r="L92" s="139"/>
    </row>
    <row r="93" spans="1:12" ht="15" customHeight="1" x14ac:dyDescent="0.25">
      <c r="A93" t="s">
        <v>169</v>
      </c>
      <c r="B93" s="382" t="str">
        <f>A93</f>
        <v>juillet</v>
      </c>
      <c r="C93" s="97" t="str">
        <f t="shared" ref="C93:F106" si="10">C78</f>
        <v>Impôts communaux</v>
      </c>
      <c r="D93" s="140" t="str">
        <f t="shared" si="10"/>
        <v>Commune de Farvagny</v>
      </c>
      <c r="E93" s="141">
        <f t="shared" si="10"/>
        <v>81.5</v>
      </c>
      <c r="F93" s="143" t="str">
        <f t="shared" si="10"/>
        <v>non</v>
      </c>
      <c r="G93" s="142"/>
      <c r="H93" s="97" t="str">
        <f t="shared" ref="H93:K106" si="11">H78</f>
        <v>Assurance ménage</v>
      </c>
      <c r="I93" s="140" t="str">
        <f t="shared" si="11"/>
        <v>Générali</v>
      </c>
      <c r="J93" s="141">
        <f t="shared" si="11"/>
        <v>12</v>
      </c>
      <c r="K93" s="183" t="str">
        <f t="shared" si="11"/>
        <v>oui</v>
      </c>
      <c r="L93" s="144"/>
    </row>
    <row r="94" spans="1:12" ht="15" customHeight="1" x14ac:dyDescent="0.25">
      <c r="A94" t="s">
        <v>169</v>
      </c>
      <c r="B94" s="383"/>
      <c r="C94" s="97" t="str">
        <f t="shared" si="10"/>
        <v>Impôts cantonaux</v>
      </c>
      <c r="D94" s="140" t="str">
        <f t="shared" si="10"/>
        <v>SCC</v>
      </c>
      <c r="E94" s="141">
        <f t="shared" si="10"/>
        <v>82.3</v>
      </c>
      <c r="F94" s="143" t="str">
        <f t="shared" si="10"/>
        <v>oui</v>
      </c>
      <c r="G94" s="142"/>
      <c r="H94" s="97" t="str">
        <f t="shared" si="11"/>
        <v>Electricité</v>
      </c>
      <c r="I94" s="140" t="str">
        <f t="shared" si="11"/>
        <v>Groupe E</v>
      </c>
      <c r="J94" s="141">
        <f t="shared" si="11"/>
        <v>0</v>
      </c>
      <c r="K94" s="183">
        <f t="shared" si="11"/>
        <v>0</v>
      </c>
      <c r="L94" s="144"/>
    </row>
    <row r="95" spans="1:12" ht="15" customHeight="1" x14ac:dyDescent="0.25">
      <c r="A95" t="s">
        <v>169</v>
      </c>
      <c r="B95" s="383"/>
      <c r="C95" s="97" t="str">
        <f t="shared" si="10"/>
        <v>Téléphone</v>
      </c>
      <c r="D95" s="140">
        <f t="shared" si="10"/>
        <v>0</v>
      </c>
      <c r="E95" s="141">
        <f t="shared" si="10"/>
        <v>0</v>
      </c>
      <c r="F95" s="143">
        <f t="shared" si="10"/>
        <v>0</v>
      </c>
      <c r="G95" s="142"/>
      <c r="H95" s="62" t="str">
        <f t="shared" si="11"/>
        <v>Impôt véhicule</v>
      </c>
      <c r="I95" s="140" t="str">
        <f t="shared" si="11"/>
        <v>OCN</v>
      </c>
      <c r="J95" s="141">
        <f t="shared" si="11"/>
        <v>28</v>
      </c>
      <c r="K95" s="183" t="str">
        <f t="shared" si="11"/>
        <v>oui</v>
      </c>
      <c r="L95" s="144"/>
    </row>
    <row r="96" spans="1:12" ht="15" customHeight="1" x14ac:dyDescent="0.25">
      <c r="A96" t="s">
        <v>169</v>
      </c>
      <c r="B96" s="383"/>
      <c r="C96" s="97">
        <f t="shared" si="10"/>
        <v>0</v>
      </c>
      <c r="D96" s="140">
        <f t="shared" si="10"/>
        <v>0</v>
      </c>
      <c r="E96" s="141">
        <f t="shared" si="10"/>
        <v>0</v>
      </c>
      <c r="F96" s="143">
        <f t="shared" si="10"/>
        <v>0</v>
      </c>
      <c r="G96" s="142"/>
      <c r="H96" s="97" t="str">
        <f t="shared" si="11"/>
        <v>Assurance véhicule</v>
      </c>
      <c r="I96" s="140">
        <f t="shared" si="11"/>
        <v>0</v>
      </c>
      <c r="J96" s="141">
        <f t="shared" si="11"/>
        <v>0</v>
      </c>
      <c r="K96" s="183">
        <f t="shared" si="11"/>
        <v>0</v>
      </c>
      <c r="L96" s="144"/>
    </row>
    <row r="97" spans="1:12" ht="15" customHeight="1" x14ac:dyDescent="0.25">
      <c r="A97" t="s">
        <v>169</v>
      </c>
      <c r="B97" s="383"/>
      <c r="C97" s="97">
        <f t="shared" si="10"/>
        <v>0</v>
      </c>
      <c r="D97" s="140">
        <f t="shared" si="10"/>
        <v>0</v>
      </c>
      <c r="E97" s="141">
        <f t="shared" si="10"/>
        <v>0</v>
      </c>
      <c r="F97" s="143">
        <f t="shared" si="10"/>
        <v>0</v>
      </c>
      <c r="G97" s="142"/>
      <c r="H97" s="97" t="str">
        <f t="shared" si="11"/>
        <v>Billag</v>
      </c>
      <c r="I97" s="140">
        <f t="shared" si="11"/>
        <v>0</v>
      </c>
      <c r="J97" s="141">
        <f t="shared" si="11"/>
        <v>15</v>
      </c>
      <c r="K97" s="183" t="str">
        <f t="shared" si="11"/>
        <v>oui</v>
      </c>
      <c r="L97" s="144"/>
    </row>
    <row r="98" spans="1:12" ht="15" customHeight="1" x14ac:dyDescent="0.25">
      <c r="A98" t="s">
        <v>169</v>
      </c>
      <c r="B98" s="383"/>
      <c r="C98" s="97">
        <f t="shared" si="10"/>
        <v>0</v>
      </c>
      <c r="D98" s="140">
        <f t="shared" si="10"/>
        <v>0</v>
      </c>
      <c r="E98" s="141">
        <f t="shared" si="10"/>
        <v>0</v>
      </c>
      <c r="F98" s="143">
        <f t="shared" si="10"/>
        <v>0</v>
      </c>
      <c r="G98" s="142"/>
      <c r="H98" s="97" t="str">
        <f t="shared" si="11"/>
        <v>kk</v>
      </c>
      <c r="I98" s="140">
        <f t="shared" si="11"/>
        <v>0</v>
      </c>
      <c r="J98" s="141">
        <f t="shared" si="11"/>
        <v>0</v>
      </c>
      <c r="K98" s="143">
        <f t="shared" si="11"/>
        <v>0</v>
      </c>
      <c r="L98" s="144"/>
    </row>
    <row r="99" spans="1:12" ht="15" customHeight="1" x14ac:dyDescent="0.25">
      <c r="A99" t="s">
        <v>169</v>
      </c>
      <c r="B99" s="383"/>
      <c r="C99" s="97" t="str">
        <f t="shared" si="10"/>
        <v>tutu</v>
      </c>
      <c r="D99" s="140">
        <f t="shared" si="10"/>
        <v>0</v>
      </c>
      <c r="E99" s="141">
        <f t="shared" si="10"/>
        <v>12</v>
      </c>
      <c r="F99" s="143" t="str">
        <f t="shared" si="10"/>
        <v>oui</v>
      </c>
      <c r="G99" s="142"/>
      <c r="H99" s="97">
        <f t="shared" si="11"/>
        <v>0</v>
      </c>
      <c r="I99" s="140">
        <f t="shared" si="11"/>
        <v>0</v>
      </c>
      <c r="J99" s="141">
        <f t="shared" si="11"/>
        <v>0</v>
      </c>
      <c r="K99" s="143">
        <f t="shared" si="11"/>
        <v>0</v>
      </c>
      <c r="L99" s="144"/>
    </row>
    <row r="100" spans="1:12" ht="15" customHeight="1" x14ac:dyDescent="0.25">
      <c r="A100" t="s">
        <v>169</v>
      </c>
      <c r="B100" s="383"/>
      <c r="C100" s="97">
        <f t="shared" si="10"/>
        <v>0</v>
      </c>
      <c r="D100" s="140">
        <f t="shared" si="10"/>
        <v>0</v>
      </c>
      <c r="E100" s="141">
        <f t="shared" si="10"/>
        <v>0</v>
      </c>
      <c r="F100" s="143">
        <f t="shared" si="10"/>
        <v>0</v>
      </c>
      <c r="G100" s="142"/>
      <c r="H100" s="97">
        <f t="shared" si="11"/>
        <v>0</v>
      </c>
      <c r="I100" s="140">
        <f t="shared" si="11"/>
        <v>0</v>
      </c>
      <c r="J100" s="141">
        <f t="shared" si="11"/>
        <v>0</v>
      </c>
      <c r="K100" s="143">
        <f t="shared" si="11"/>
        <v>0</v>
      </c>
      <c r="L100" s="144"/>
    </row>
    <row r="101" spans="1:12" ht="15" customHeight="1" x14ac:dyDescent="0.25">
      <c r="A101" t="s">
        <v>169</v>
      </c>
      <c r="B101" s="383"/>
      <c r="C101" s="97">
        <f t="shared" si="10"/>
        <v>0</v>
      </c>
      <c r="D101" s="140">
        <f t="shared" si="10"/>
        <v>0</v>
      </c>
      <c r="E101" s="141">
        <f t="shared" si="10"/>
        <v>0</v>
      </c>
      <c r="F101" s="143">
        <f t="shared" si="10"/>
        <v>0</v>
      </c>
      <c r="G101" s="142"/>
      <c r="H101" s="97">
        <f t="shared" si="11"/>
        <v>0</v>
      </c>
      <c r="I101" s="140">
        <f t="shared" si="11"/>
        <v>0</v>
      </c>
      <c r="J101" s="141">
        <f t="shared" si="11"/>
        <v>0</v>
      </c>
      <c r="K101" s="143">
        <f t="shared" si="11"/>
        <v>0</v>
      </c>
      <c r="L101" s="144"/>
    </row>
    <row r="102" spans="1:12" ht="15" customHeight="1" x14ac:dyDescent="0.25">
      <c r="A102" t="s">
        <v>169</v>
      </c>
      <c r="B102" s="383"/>
      <c r="C102" s="97">
        <f t="shared" si="10"/>
        <v>0</v>
      </c>
      <c r="D102" s="140">
        <f t="shared" si="10"/>
        <v>0</v>
      </c>
      <c r="E102" s="141">
        <f t="shared" si="10"/>
        <v>0</v>
      </c>
      <c r="F102" s="143">
        <f t="shared" si="10"/>
        <v>0</v>
      </c>
      <c r="G102" s="142"/>
      <c r="H102" s="97">
        <f t="shared" si="11"/>
        <v>0</v>
      </c>
      <c r="I102" s="140">
        <f t="shared" si="11"/>
        <v>0</v>
      </c>
      <c r="J102" s="141">
        <f t="shared" si="11"/>
        <v>0</v>
      </c>
      <c r="K102" s="143">
        <f t="shared" si="11"/>
        <v>0</v>
      </c>
      <c r="L102" s="144"/>
    </row>
    <row r="103" spans="1:12" ht="15" customHeight="1" x14ac:dyDescent="0.25">
      <c r="A103" t="s">
        <v>169</v>
      </c>
      <c r="B103" s="383"/>
      <c r="C103" s="97">
        <f t="shared" si="10"/>
        <v>0</v>
      </c>
      <c r="D103" s="140">
        <f t="shared" si="10"/>
        <v>0</v>
      </c>
      <c r="E103" s="141">
        <f t="shared" si="10"/>
        <v>0</v>
      </c>
      <c r="F103" s="143">
        <f t="shared" si="10"/>
        <v>0</v>
      </c>
      <c r="G103" s="142"/>
      <c r="H103" s="97">
        <f t="shared" si="11"/>
        <v>0</v>
      </c>
      <c r="I103" s="140">
        <f t="shared" si="11"/>
        <v>0</v>
      </c>
      <c r="J103" s="141">
        <f t="shared" si="11"/>
        <v>0</v>
      </c>
      <c r="K103" s="143">
        <f t="shared" si="11"/>
        <v>0</v>
      </c>
      <c r="L103" s="144"/>
    </row>
    <row r="104" spans="1:12" ht="15" customHeight="1" x14ac:dyDescent="0.25">
      <c r="A104" t="s">
        <v>169</v>
      </c>
      <c r="B104" s="383"/>
      <c r="C104" s="97">
        <f t="shared" si="10"/>
        <v>0</v>
      </c>
      <c r="D104" s="140">
        <f t="shared" si="10"/>
        <v>0</v>
      </c>
      <c r="E104" s="141">
        <f t="shared" si="10"/>
        <v>0</v>
      </c>
      <c r="F104" s="143">
        <f t="shared" si="10"/>
        <v>0</v>
      </c>
      <c r="G104" s="142"/>
      <c r="H104" s="97">
        <f t="shared" si="11"/>
        <v>0</v>
      </c>
      <c r="I104" s="140">
        <f t="shared" si="11"/>
        <v>0</v>
      </c>
      <c r="J104" s="141">
        <f t="shared" si="11"/>
        <v>0</v>
      </c>
      <c r="K104" s="143">
        <f t="shared" si="11"/>
        <v>0</v>
      </c>
      <c r="L104" s="144"/>
    </row>
    <row r="105" spans="1:12" ht="15" customHeight="1" x14ac:dyDescent="0.25">
      <c r="A105" t="s">
        <v>169</v>
      </c>
      <c r="B105" s="383"/>
      <c r="C105" s="97">
        <f t="shared" si="10"/>
        <v>0</v>
      </c>
      <c r="D105" s="140">
        <f t="shared" si="10"/>
        <v>0</v>
      </c>
      <c r="E105" s="141">
        <f t="shared" si="10"/>
        <v>0</v>
      </c>
      <c r="F105" s="143">
        <f t="shared" si="10"/>
        <v>0</v>
      </c>
      <c r="G105" s="139"/>
      <c r="H105" s="97">
        <f t="shared" si="11"/>
        <v>0</v>
      </c>
      <c r="I105" s="140">
        <f t="shared" si="11"/>
        <v>0</v>
      </c>
      <c r="J105" s="141">
        <f t="shared" si="11"/>
        <v>0</v>
      </c>
      <c r="K105" s="138">
        <f t="shared" si="11"/>
        <v>0</v>
      </c>
      <c r="L105" s="23"/>
    </row>
    <row r="106" spans="1:12" ht="15" customHeight="1" x14ac:dyDescent="0.25">
      <c r="A106" t="s">
        <v>169</v>
      </c>
      <c r="B106" s="383"/>
      <c r="C106" s="97">
        <f t="shared" si="10"/>
        <v>0</v>
      </c>
      <c r="D106" s="140">
        <f t="shared" si="10"/>
        <v>0</v>
      </c>
      <c r="E106" s="141">
        <f t="shared" si="10"/>
        <v>0</v>
      </c>
      <c r="F106" s="143">
        <f t="shared" si="10"/>
        <v>0</v>
      </c>
      <c r="G106" s="139"/>
      <c r="H106" s="97">
        <f t="shared" si="11"/>
        <v>0</v>
      </c>
      <c r="I106" s="140">
        <f t="shared" si="11"/>
        <v>0</v>
      </c>
      <c r="J106" s="141">
        <f t="shared" si="11"/>
        <v>0</v>
      </c>
      <c r="K106" s="138">
        <f t="shared" si="11"/>
        <v>0</v>
      </c>
      <c r="L106" s="23"/>
    </row>
    <row r="107" spans="1:12" s="126" customFormat="1" ht="15" customHeight="1" x14ac:dyDescent="0.25">
      <c r="B107" s="147"/>
      <c r="C107" s="139"/>
      <c r="D107" s="139"/>
      <c r="E107" s="139"/>
      <c r="F107" s="139"/>
      <c r="G107" s="139"/>
      <c r="H107" s="139"/>
      <c r="I107" s="139"/>
      <c r="J107" s="139"/>
      <c r="K107" s="139"/>
      <c r="L107" s="139"/>
    </row>
    <row r="108" spans="1:12" ht="15" customHeight="1" x14ac:dyDescent="0.25">
      <c r="A108" t="s">
        <v>170</v>
      </c>
      <c r="B108" s="382" t="str">
        <f>A108</f>
        <v>août</v>
      </c>
      <c r="C108" s="97" t="str">
        <f t="shared" ref="C108:F121" si="12">C93</f>
        <v>Impôts communaux</v>
      </c>
      <c r="D108" s="140" t="str">
        <f t="shared" si="12"/>
        <v>Commune de Farvagny</v>
      </c>
      <c r="E108" s="141">
        <f t="shared" si="12"/>
        <v>81.5</v>
      </c>
      <c r="F108" s="143" t="str">
        <f t="shared" si="12"/>
        <v>non</v>
      </c>
      <c r="G108" s="142"/>
      <c r="H108" s="97" t="str">
        <f t="shared" ref="H108:K121" si="13">H93</f>
        <v>Assurance ménage</v>
      </c>
      <c r="I108" s="140" t="str">
        <f t="shared" si="13"/>
        <v>Générali</v>
      </c>
      <c r="J108" s="141">
        <f t="shared" si="13"/>
        <v>12</v>
      </c>
      <c r="K108" s="183" t="str">
        <f t="shared" si="13"/>
        <v>oui</v>
      </c>
      <c r="L108" s="144"/>
    </row>
    <row r="109" spans="1:12" ht="15" customHeight="1" x14ac:dyDescent="0.25">
      <c r="A109" t="s">
        <v>170</v>
      </c>
      <c r="B109" s="383"/>
      <c r="C109" s="97" t="str">
        <f t="shared" si="12"/>
        <v>Impôts cantonaux</v>
      </c>
      <c r="D109" s="140" t="str">
        <f t="shared" si="12"/>
        <v>SCC</v>
      </c>
      <c r="E109" s="141">
        <f t="shared" si="12"/>
        <v>82.3</v>
      </c>
      <c r="F109" s="143" t="str">
        <f t="shared" si="12"/>
        <v>oui</v>
      </c>
      <c r="G109" s="142"/>
      <c r="H109" s="97" t="str">
        <f t="shared" si="13"/>
        <v>Electricité</v>
      </c>
      <c r="I109" s="140" t="str">
        <f t="shared" si="13"/>
        <v>Groupe E</v>
      </c>
      <c r="J109" s="141">
        <f t="shared" si="13"/>
        <v>0</v>
      </c>
      <c r="K109" s="183">
        <f t="shared" si="13"/>
        <v>0</v>
      </c>
      <c r="L109" s="144"/>
    </row>
    <row r="110" spans="1:12" ht="15" customHeight="1" x14ac:dyDescent="0.25">
      <c r="A110" t="s">
        <v>170</v>
      </c>
      <c r="B110" s="383"/>
      <c r="C110" s="97" t="str">
        <f t="shared" si="12"/>
        <v>Téléphone</v>
      </c>
      <c r="D110" s="140">
        <f t="shared" si="12"/>
        <v>0</v>
      </c>
      <c r="E110" s="141">
        <f t="shared" si="12"/>
        <v>0</v>
      </c>
      <c r="F110" s="143">
        <f t="shared" si="12"/>
        <v>0</v>
      </c>
      <c r="G110" s="142"/>
      <c r="H110" s="62" t="str">
        <f t="shared" si="13"/>
        <v>Impôt véhicule</v>
      </c>
      <c r="I110" s="140" t="str">
        <f t="shared" si="13"/>
        <v>OCN</v>
      </c>
      <c r="J110" s="141">
        <f t="shared" si="13"/>
        <v>28</v>
      </c>
      <c r="K110" s="183" t="str">
        <f t="shared" si="13"/>
        <v>oui</v>
      </c>
      <c r="L110" s="144"/>
    </row>
    <row r="111" spans="1:12" ht="15" customHeight="1" x14ac:dyDescent="0.25">
      <c r="A111" t="s">
        <v>170</v>
      </c>
      <c r="B111" s="383"/>
      <c r="C111" s="97">
        <f t="shared" si="12"/>
        <v>0</v>
      </c>
      <c r="D111" s="140">
        <f t="shared" si="12"/>
        <v>0</v>
      </c>
      <c r="E111" s="141">
        <f t="shared" si="12"/>
        <v>0</v>
      </c>
      <c r="F111" s="143">
        <f t="shared" si="12"/>
        <v>0</v>
      </c>
      <c r="G111" s="142"/>
      <c r="H111" s="97" t="str">
        <f t="shared" si="13"/>
        <v>Assurance véhicule</v>
      </c>
      <c r="I111" s="140">
        <f t="shared" si="13"/>
        <v>0</v>
      </c>
      <c r="J111" s="141">
        <f t="shared" si="13"/>
        <v>0</v>
      </c>
      <c r="K111" s="183">
        <f t="shared" si="13"/>
        <v>0</v>
      </c>
      <c r="L111" s="144"/>
    </row>
    <row r="112" spans="1:12" ht="15" customHeight="1" x14ac:dyDescent="0.25">
      <c r="A112" t="s">
        <v>170</v>
      </c>
      <c r="B112" s="383"/>
      <c r="C112" s="97">
        <f t="shared" si="12"/>
        <v>0</v>
      </c>
      <c r="D112" s="140">
        <f t="shared" si="12"/>
        <v>0</v>
      </c>
      <c r="E112" s="141">
        <f t="shared" si="12"/>
        <v>0</v>
      </c>
      <c r="F112" s="143">
        <f t="shared" si="12"/>
        <v>0</v>
      </c>
      <c r="G112" s="142"/>
      <c r="H112" s="97" t="str">
        <f t="shared" si="13"/>
        <v>Billag</v>
      </c>
      <c r="I112" s="140">
        <f t="shared" si="13"/>
        <v>0</v>
      </c>
      <c r="J112" s="141">
        <f t="shared" si="13"/>
        <v>15</v>
      </c>
      <c r="K112" s="183" t="str">
        <f t="shared" si="13"/>
        <v>oui</v>
      </c>
      <c r="L112" s="144"/>
    </row>
    <row r="113" spans="1:12" ht="15" customHeight="1" x14ac:dyDescent="0.25">
      <c r="A113" t="s">
        <v>170</v>
      </c>
      <c r="B113" s="383"/>
      <c r="C113" s="97">
        <f t="shared" si="12"/>
        <v>0</v>
      </c>
      <c r="D113" s="140">
        <f t="shared" si="12"/>
        <v>0</v>
      </c>
      <c r="E113" s="141">
        <f t="shared" si="12"/>
        <v>0</v>
      </c>
      <c r="F113" s="143">
        <f t="shared" si="12"/>
        <v>0</v>
      </c>
      <c r="G113" s="142"/>
      <c r="H113" s="97" t="str">
        <f t="shared" si="13"/>
        <v>kk</v>
      </c>
      <c r="I113" s="140">
        <f t="shared" si="13"/>
        <v>0</v>
      </c>
      <c r="J113" s="141">
        <f t="shared" si="13"/>
        <v>0</v>
      </c>
      <c r="K113" s="143">
        <f t="shared" si="13"/>
        <v>0</v>
      </c>
      <c r="L113" s="144"/>
    </row>
    <row r="114" spans="1:12" ht="15" customHeight="1" x14ac:dyDescent="0.25">
      <c r="A114" t="s">
        <v>170</v>
      </c>
      <c r="B114" s="383"/>
      <c r="C114" s="97" t="str">
        <f t="shared" si="12"/>
        <v>tutu</v>
      </c>
      <c r="D114" s="140">
        <f t="shared" si="12"/>
        <v>0</v>
      </c>
      <c r="E114" s="141">
        <f t="shared" si="12"/>
        <v>12</v>
      </c>
      <c r="F114" s="143" t="str">
        <f t="shared" si="12"/>
        <v>oui</v>
      </c>
      <c r="G114" s="142"/>
      <c r="H114" s="97">
        <f t="shared" si="13"/>
        <v>0</v>
      </c>
      <c r="I114" s="140">
        <f t="shared" si="13"/>
        <v>0</v>
      </c>
      <c r="J114" s="141">
        <f t="shared" si="13"/>
        <v>0</v>
      </c>
      <c r="K114" s="143">
        <f t="shared" si="13"/>
        <v>0</v>
      </c>
      <c r="L114" s="144"/>
    </row>
    <row r="115" spans="1:12" ht="15" customHeight="1" x14ac:dyDescent="0.25">
      <c r="A115" t="s">
        <v>170</v>
      </c>
      <c r="B115" s="383"/>
      <c r="C115" s="97">
        <f t="shared" si="12"/>
        <v>0</v>
      </c>
      <c r="D115" s="140">
        <f t="shared" si="12"/>
        <v>0</v>
      </c>
      <c r="E115" s="141">
        <f t="shared" si="12"/>
        <v>0</v>
      </c>
      <c r="F115" s="143">
        <f t="shared" si="12"/>
        <v>0</v>
      </c>
      <c r="G115" s="142"/>
      <c r="H115" s="97">
        <f t="shared" si="13"/>
        <v>0</v>
      </c>
      <c r="I115" s="140">
        <f t="shared" si="13"/>
        <v>0</v>
      </c>
      <c r="J115" s="141">
        <f t="shared" si="13"/>
        <v>0</v>
      </c>
      <c r="K115" s="143">
        <f t="shared" si="13"/>
        <v>0</v>
      </c>
      <c r="L115" s="144"/>
    </row>
    <row r="116" spans="1:12" ht="15" customHeight="1" x14ac:dyDescent="0.25">
      <c r="A116" t="s">
        <v>170</v>
      </c>
      <c r="B116" s="383"/>
      <c r="C116" s="97">
        <f t="shared" si="12"/>
        <v>0</v>
      </c>
      <c r="D116" s="140">
        <f t="shared" si="12"/>
        <v>0</v>
      </c>
      <c r="E116" s="141">
        <f t="shared" si="12"/>
        <v>0</v>
      </c>
      <c r="F116" s="143">
        <f t="shared" si="12"/>
        <v>0</v>
      </c>
      <c r="G116" s="142"/>
      <c r="H116" s="97">
        <f t="shared" si="13"/>
        <v>0</v>
      </c>
      <c r="I116" s="140">
        <f t="shared" si="13"/>
        <v>0</v>
      </c>
      <c r="J116" s="141">
        <f t="shared" si="13"/>
        <v>0</v>
      </c>
      <c r="K116" s="143">
        <f t="shared" si="13"/>
        <v>0</v>
      </c>
      <c r="L116" s="144"/>
    </row>
    <row r="117" spans="1:12" ht="15" customHeight="1" x14ac:dyDescent="0.25">
      <c r="A117" t="s">
        <v>170</v>
      </c>
      <c r="B117" s="383"/>
      <c r="C117" s="97">
        <f t="shared" si="12"/>
        <v>0</v>
      </c>
      <c r="D117" s="140">
        <f t="shared" si="12"/>
        <v>0</v>
      </c>
      <c r="E117" s="141">
        <f t="shared" si="12"/>
        <v>0</v>
      </c>
      <c r="F117" s="143">
        <f t="shared" si="12"/>
        <v>0</v>
      </c>
      <c r="G117" s="142"/>
      <c r="H117" s="97">
        <f t="shared" si="13"/>
        <v>0</v>
      </c>
      <c r="I117" s="140">
        <f t="shared" si="13"/>
        <v>0</v>
      </c>
      <c r="J117" s="141">
        <f t="shared" si="13"/>
        <v>0</v>
      </c>
      <c r="K117" s="143">
        <f t="shared" si="13"/>
        <v>0</v>
      </c>
      <c r="L117" s="144"/>
    </row>
    <row r="118" spans="1:12" ht="15" customHeight="1" x14ac:dyDescent="0.25">
      <c r="A118" t="s">
        <v>170</v>
      </c>
      <c r="B118" s="383"/>
      <c r="C118" s="97">
        <f t="shared" si="12"/>
        <v>0</v>
      </c>
      <c r="D118" s="140">
        <f t="shared" si="12"/>
        <v>0</v>
      </c>
      <c r="E118" s="141">
        <f t="shared" si="12"/>
        <v>0</v>
      </c>
      <c r="F118" s="143">
        <f t="shared" si="12"/>
        <v>0</v>
      </c>
      <c r="G118" s="142"/>
      <c r="H118" s="97">
        <f t="shared" si="13"/>
        <v>0</v>
      </c>
      <c r="I118" s="140">
        <f t="shared" si="13"/>
        <v>0</v>
      </c>
      <c r="J118" s="141">
        <f t="shared" si="13"/>
        <v>0</v>
      </c>
      <c r="K118" s="143">
        <f t="shared" si="13"/>
        <v>0</v>
      </c>
      <c r="L118" s="144"/>
    </row>
    <row r="119" spans="1:12" ht="15" customHeight="1" x14ac:dyDescent="0.25">
      <c r="A119" t="s">
        <v>170</v>
      </c>
      <c r="B119" s="383"/>
      <c r="C119" s="97">
        <f t="shared" si="12"/>
        <v>0</v>
      </c>
      <c r="D119" s="140">
        <f t="shared" si="12"/>
        <v>0</v>
      </c>
      <c r="E119" s="141">
        <f t="shared" si="12"/>
        <v>0</v>
      </c>
      <c r="F119" s="143">
        <f t="shared" si="12"/>
        <v>0</v>
      </c>
      <c r="G119" s="142"/>
      <c r="H119" s="97">
        <f t="shared" si="13"/>
        <v>0</v>
      </c>
      <c r="I119" s="140">
        <f t="shared" si="13"/>
        <v>0</v>
      </c>
      <c r="J119" s="141">
        <f t="shared" si="13"/>
        <v>0</v>
      </c>
      <c r="K119" s="143">
        <f t="shared" si="13"/>
        <v>0</v>
      </c>
      <c r="L119" s="144"/>
    </row>
    <row r="120" spans="1:12" ht="15" customHeight="1" x14ac:dyDescent="0.25">
      <c r="A120" t="s">
        <v>170</v>
      </c>
      <c r="B120" s="383"/>
      <c r="C120" s="97">
        <f t="shared" si="12"/>
        <v>0</v>
      </c>
      <c r="D120" s="140">
        <f t="shared" si="12"/>
        <v>0</v>
      </c>
      <c r="E120" s="141">
        <f t="shared" si="12"/>
        <v>0</v>
      </c>
      <c r="F120" s="143">
        <f t="shared" si="12"/>
        <v>0</v>
      </c>
      <c r="G120" s="139"/>
      <c r="H120" s="97">
        <f t="shared" si="13"/>
        <v>0</v>
      </c>
      <c r="I120" s="140">
        <f t="shared" si="13"/>
        <v>0</v>
      </c>
      <c r="J120" s="141">
        <f t="shared" si="13"/>
        <v>0</v>
      </c>
      <c r="K120" s="138">
        <f t="shared" si="13"/>
        <v>0</v>
      </c>
      <c r="L120" s="23"/>
    </row>
    <row r="121" spans="1:12" ht="15" customHeight="1" x14ac:dyDescent="0.25">
      <c r="A121" t="s">
        <v>170</v>
      </c>
      <c r="B121" s="383"/>
      <c r="C121" s="97">
        <f t="shared" si="12"/>
        <v>0</v>
      </c>
      <c r="D121" s="140">
        <f t="shared" si="12"/>
        <v>0</v>
      </c>
      <c r="E121" s="141">
        <f t="shared" si="12"/>
        <v>0</v>
      </c>
      <c r="F121" s="143">
        <f t="shared" si="12"/>
        <v>0</v>
      </c>
      <c r="G121" s="139"/>
      <c r="H121" s="97">
        <f t="shared" si="13"/>
        <v>0</v>
      </c>
      <c r="I121" s="140">
        <f t="shared" si="13"/>
        <v>0</v>
      </c>
      <c r="J121" s="141">
        <f t="shared" si="13"/>
        <v>0</v>
      </c>
      <c r="K121" s="138">
        <f t="shared" si="13"/>
        <v>0</v>
      </c>
      <c r="L121" s="23"/>
    </row>
    <row r="122" spans="1:12" s="126" customFormat="1" ht="15" customHeight="1" x14ac:dyDescent="0.25">
      <c r="B122" s="147"/>
      <c r="C122" s="139"/>
      <c r="D122" s="139"/>
      <c r="E122" s="139"/>
      <c r="F122" s="139"/>
      <c r="G122" s="139"/>
      <c r="H122" s="139"/>
      <c r="I122" s="139"/>
      <c r="J122" s="139"/>
      <c r="K122" s="139"/>
      <c r="L122" s="139"/>
    </row>
    <row r="123" spans="1:12" ht="15" customHeight="1" x14ac:dyDescent="0.25">
      <c r="A123" t="s">
        <v>171</v>
      </c>
      <c r="B123" s="382" t="str">
        <f>A123</f>
        <v>septembre</v>
      </c>
      <c r="C123" s="97" t="str">
        <f t="shared" ref="C123:F136" si="14">C108</f>
        <v>Impôts communaux</v>
      </c>
      <c r="D123" s="140" t="str">
        <f t="shared" si="14"/>
        <v>Commune de Farvagny</v>
      </c>
      <c r="E123" s="141">
        <f t="shared" si="14"/>
        <v>81.5</v>
      </c>
      <c r="F123" s="143" t="str">
        <f t="shared" si="14"/>
        <v>non</v>
      </c>
      <c r="G123" s="142"/>
      <c r="H123" s="97" t="str">
        <f t="shared" ref="H123:K136" si="15">H108</f>
        <v>Assurance ménage</v>
      </c>
      <c r="I123" s="140" t="str">
        <f t="shared" si="15"/>
        <v>Générali</v>
      </c>
      <c r="J123" s="141">
        <f t="shared" si="15"/>
        <v>12</v>
      </c>
      <c r="K123" s="183" t="str">
        <f t="shared" si="15"/>
        <v>oui</v>
      </c>
      <c r="L123" s="144"/>
    </row>
    <row r="124" spans="1:12" ht="15" customHeight="1" x14ac:dyDescent="0.25">
      <c r="A124" t="s">
        <v>171</v>
      </c>
      <c r="B124" s="383"/>
      <c r="C124" s="97" t="str">
        <f t="shared" si="14"/>
        <v>Impôts cantonaux</v>
      </c>
      <c r="D124" s="140" t="str">
        <f t="shared" si="14"/>
        <v>SCC</v>
      </c>
      <c r="E124" s="141">
        <f t="shared" si="14"/>
        <v>82.3</v>
      </c>
      <c r="F124" s="143" t="str">
        <f t="shared" si="14"/>
        <v>oui</v>
      </c>
      <c r="G124" s="142"/>
      <c r="H124" s="97" t="str">
        <f t="shared" si="15"/>
        <v>Electricité</v>
      </c>
      <c r="I124" s="140" t="str">
        <f t="shared" si="15"/>
        <v>Groupe E</v>
      </c>
      <c r="J124" s="141">
        <f t="shared" si="15"/>
        <v>0</v>
      </c>
      <c r="K124" s="183">
        <f t="shared" si="15"/>
        <v>0</v>
      </c>
      <c r="L124" s="144"/>
    </row>
    <row r="125" spans="1:12" ht="15" customHeight="1" x14ac:dyDescent="0.25">
      <c r="A125" t="s">
        <v>171</v>
      </c>
      <c r="B125" s="383"/>
      <c r="C125" s="97" t="str">
        <f t="shared" si="14"/>
        <v>Téléphone</v>
      </c>
      <c r="D125" s="140">
        <f t="shared" si="14"/>
        <v>0</v>
      </c>
      <c r="E125" s="141">
        <f t="shared" si="14"/>
        <v>0</v>
      </c>
      <c r="F125" s="143">
        <f t="shared" si="14"/>
        <v>0</v>
      </c>
      <c r="G125" s="142"/>
      <c r="H125" s="62" t="str">
        <f t="shared" si="15"/>
        <v>Impôt véhicule</v>
      </c>
      <c r="I125" s="140" t="str">
        <f t="shared" si="15"/>
        <v>OCN</v>
      </c>
      <c r="J125" s="141">
        <f t="shared" si="15"/>
        <v>28</v>
      </c>
      <c r="K125" s="183" t="str">
        <f t="shared" si="15"/>
        <v>oui</v>
      </c>
      <c r="L125" s="144"/>
    </row>
    <row r="126" spans="1:12" ht="15" customHeight="1" x14ac:dyDescent="0.25">
      <c r="A126" t="s">
        <v>171</v>
      </c>
      <c r="B126" s="383"/>
      <c r="C126" s="97">
        <f t="shared" si="14"/>
        <v>0</v>
      </c>
      <c r="D126" s="140">
        <f t="shared" si="14"/>
        <v>0</v>
      </c>
      <c r="E126" s="141">
        <f t="shared" si="14"/>
        <v>0</v>
      </c>
      <c r="F126" s="143">
        <f t="shared" si="14"/>
        <v>0</v>
      </c>
      <c r="G126" s="142"/>
      <c r="H126" s="97" t="str">
        <f t="shared" si="15"/>
        <v>Assurance véhicule</v>
      </c>
      <c r="I126" s="140">
        <f t="shared" si="15"/>
        <v>0</v>
      </c>
      <c r="J126" s="141">
        <f t="shared" si="15"/>
        <v>0</v>
      </c>
      <c r="K126" s="183">
        <f t="shared" si="15"/>
        <v>0</v>
      </c>
      <c r="L126" s="144"/>
    </row>
    <row r="127" spans="1:12" ht="15" customHeight="1" x14ac:dyDescent="0.25">
      <c r="A127" t="s">
        <v>171</v>
      </c>
      <c r="B127" s="383"/>
      <c r="C127" s="97">
        <f t="shared" si="14"/>
        <v>0</v>
      </c>
      <c r="D127" s="140">
        <f t="shared" si="14"/>
        <v>0</v>
      </c>
      <c r="E127" s="141">
        <f t="shared" si="14"/>
        <v>0</v>
      </c>
      <c r="F127" s="143">
        <f t="shared" si="14"/>
        <v>0</v>
      </c>
      <c r="G127" s="142"/>
      <c r="H127" s="97" t="str">
        <f t="shared" si="15"/>
        <v>Billag</v>
      </c>
      <c r="I127" s="140">
        <f t="shared" si="15"/>
        <v>0</v>
      </c>
      <c r="J127" s="141">
        <f t="shared" si="15"/>
        <v>15</v>
      </c>
      <c r="K127" s="183" t="str">
        <f t="shared" si="15"/>
        <v>oui</v>
      </c>
      <c r="L127" s="144"/>
    </row>
    <row r="128" spans="1:12" ht="15" customHeight="1" x14ac:dyDescent="0.25">
      <c r="A128" t="s">
        <v>171</v>
      </c>
      <c r="B128" s="383"/>
      <c r="C128" s="97">
        <f t="shared" si="14"/>
        <v>0</v>
      </c>
      <c r="D128" s="140">
        <f t="shared" si="14"/>
        <v>0</v>
      </c>
      <c r="E128" s="141">
        <f t="shared" si="14"/>
        <v>0</v>
      </c>
      <c r="F128" s="143">
        <f t="shared" si="14"/>
        <v>0</v>
      </c>
      <c r="G128" s="142"/>
      <c r="H128" s="97" t="str">
        <f t="shared" si="15"/>
        <v>kk</v>
      </c>
      <c r="I128" s="140">
        <f t="shared" si="15"/>
        <v>0</v>
      </c>
      <c r="J128" s="141">
        <f t="shared" si="15"/>
        <v>0</v>
      </c>
      <c r="K128" s="143">
        <f t="shared" si="15"/>
        <v>0</v>
      </c>
      <c r="L128" s="144"/>
    </row>
    <row r="129" spans="1:12" ht="15" customHeight="1" x14ac:dyDescent="0.25">
      <c r="A129" t="s">
        <v>171</v>
      </c>
      <c r="B129" s="383"/>
      <c r="C129" s="97" t="str">
        <f t="shared" si="14"/>
        <v>tutu</v>
      </c>
      <c r="D129" s="140">
        <f t="shared" si="14"/>
        <v>0</v>
      </c>
      <c r="E129" s="141">
        <f t="shared" si="14"/>
        <v>12</v>
      </c>
      <c r="F129" s="143" t="str">
        <f t="shared" si="14"/>
        <v>oui</v>
      </c>
      <c r="G129" s="142"/>
      <c r="H129" s="97">
        <f t="shared" si="15"/>
        <v>0</v>
      </c>
      <c r="I129" s="140">
        <f t="shared" si="15"/>
        <v>0</v>
      </c>
      <c r="J129" s="141">
        <f t="shared" si="15"/>
        <v>0</v>
      </c>
      <c r="K129" s="143">
        <f t="shared" si="15"/>
        <v>0</v>
      </c>
      <c r="L129" s="144"/>
    </row>
    <row r="130" spans="1:12" ht="15" customHeight="1" x14ac:dyDescent="0.25">
      <c r="A130" t="s">
        <v>171</v>
      </c>
      <c r="B130" s="383"/>
      <c r="C130" s="97">
        <f t="shared" si="14"/>
        <v>0</v>
      </c>
      <c r="D130" s="140">
        <f t="shared" si="14"/>
        <v>0</v>
      </c>
      <c r="E130" s="141">
        <f t="shared" si="14"/>
        <v>0</v>
      </c>
      <c r="F130" s="143">
        <f t="shared" si="14"/>
        <v>0</v>
      </c>
      <c r="G130" s="142"/>
      <c r="H130" s="97">
        <f t="shared" si="15"/>
        <v>0</v>
      </c>
      <c r="I130" s="140">
        <f t="shared" si="15"/>
        <v>0</v>
      </c>
      <c r="J130" s="141">
        <f t="shared" si="15"/>
        <v>0</v>
      </c>
      <c r="K130" s="143">
        <f t="shared" si="15"/>
        <v>0</v>
      </c>
      <c r="L130" s="144"/>
    </row>
    <row r="131" spans="1:12" ht="15" customHeight="1" x14ac:dyDescent="0.25">
      <c r="A131" t="s">
        <v>171</v>
      </c>
      <c r="B131" s="383"/>
      <c r="C131" s="97">
        <f t="shared" si="14"/>
        <v>0</v>
      </c>
      <c r="D131" s="140">
        <f t="shared" si="14"/>
        <v>0</v>
      </c>
      <c r="E131" s="141">
        <f t="shared" si="14"/>
        <v>0</v>
      </c>
      <c r="F131" s="143">
        <f t="shared" si="14"/>
        <v>0</v>
      </c>
      <c r="G131" s="142"/>
      <c r="H131" s="97">
        <f t="shared" si="15"/>
        <v>0</v>
      </c>
      <c r="I131" s="140">
        <f t="shared" si="15"/>
        <v>0</v>
      </c>
      <c r="J131" s="141">
        <f t="shared" si="15"/>
        <v>0</v>
      </c>
      <c r="K131" s="143">
        <f t="shared" si="15"/>
        <v>0</v>
      </c>
      <c r="L131" s="144"/>
    </row>
    <row r="132" spans="1:12" ht="15" customHeight="1" x14ac:dyDescent="0.25">
      <c r="A132" t="s">
        <v>171</v>
      </c>
      <c r="B132" s="383"/>
      <c r="C132" s="97">
        <f t="shared" si="14"/>
        <v>0</v>
      </c>
      <c r="D132" s="140">
        <f t="shared" si="14"/>
        <v>0</v>
      </c>
      <c r="E132" s="141">
        <f t="shared" si="14"/>
        <v>0</v>
      </c>
      <c r="F132" s="143">
        <f t="shared" si="14"/>
        <v>0</v>
      </c>
      <c r="G132" s="142"/>
      <c r="H132" s="97">
        <f t="shared" si="15"/>
        <v>0</v>
      </c>
      <c r="I132" s="140">
        <f t="shared" si="15"/>
        <v>0</v>
      </c>
      <c r="J132" s="141">
        <f t="shared" si="15"/>
        <v>0</v>
      </c>
      <c r="K132" s="143">
        <f t="shared" si="15"/>
        <v>0</v>
      </c>
      <c r="L132" s="144"/>
    </row>
    <row r="133" spans="1:12" ht="15" customHeight="1" x14ac:dyDescent="0.25">
      <c r="A133" t="s">
        <v>171</v>
      </c>
      <c r="B133" s="383"/>
      <c r="C133" s="97">
        <f t="shared" si="14"/>
        <v>0</v>
      </c>
      <c r="D133" s="140">
        <f t="shared" si="14"/>
        <v>0</v>
      </c>
      <c r="E133" s="141">
        <f t="shared" si="14"/>
        <v>0</v>
      </c>
      <c r="F133" s="143">
        <f t="shared" si="14"/>
        <v>0</v>
      </c>
      <c r="G133" s="142"/>
      <c r="H133" s="97">
        <f t="shared" si="15"/>
        <v>0</v>
      </c>
      <c r="I133" s="140">
        <f t="shared" si="15"/>
        <v>0</v>
      </c>
      <c r="J133" s="141">
        <f t="shared" si="15"/>
        <v>0</v>
      </c>
      <c r="K133" s="143">
        <f t="shared" si="15"/>
        <v>0</v>
      </c>
      <c r="L133" s="144"/>
    </row>
    <row r="134" spans="1:12" ht="15" customHeight="1" x14ac:dyDescent="0.25">
      <c r="A134" t="s">
        <v>171</v>
      </c>
      <c r="B134" s="383"/>
      <c r="C134" s="97">
        <f t="shared" si="14"/>
        <v>0</v>
      </c>
      <c r="D134" s="140">
        <f t="shared" si="14"/>
        <v>0</v>
      </c>
      <c r="E134" s="141">
        <f t="shared" si="14"/>
        <v>0</v>
      </c>
      <c r="F134" s="143">
        <f t="shared" si="14"/>
        <v>0</v>
      </c>
      <c r="G134" s="142"/>
      <c r="H134" s="97">
        <f t="shared" si="15"/>
        <v>0</v>
      </c>
      <c r="I134" s="140">
        <f t="shared" si="15"/>
        <v>0</v>
      </c>
      <c r="J134" s="141">
        <f t="shared" si="15"/>
        <v>0</v>
      </c>
      <c r="K134" s="143">
        <f t="shared" si="15"/>
        <v>0</v>
      </c>
      <c r="L134" s="144"/>
    </row>
    <row r="135" spans="1:12" ht="15" customHeight="1" x14ac:dyDescent="0.25">
      <c r="A135" t="s">
        <v>171</v>
      </c>
      <c r="B135" s="383"/>
      <c r="C135" s="97">
        <f t="shared" si="14"/>
        <v>0</v>
      </c>
      <c r="D135" s="140">
        <f t="shared" si="14"/>
        <v>0</v>
      </c>
      <c r="E135" s="141">
        <f t="shared" si="14"/>
        <v>0</v>
      </c>
      <c r="F135" s="143">
        <f t="shared" si="14"/>
        <v>0</v>
      </c>
      <c r="G135" s="139"/>
      <c r="H135" s="97">
        <f t="shared" si="15"/>
        <v>0</v>
      </c>
      <c r="I135" s="140">
        <f t="shared" si="15"/>
        <v>0</v>
      </c>
      <c r="J135" s="141">
        <f t="shared" si="15"/>
        <v>0</v>
      </c>
      <c r="K135" s="138">
        <f t="shared" si="15"/>
        <v>0</v>
      </c>
      <c r="L135" s="23"/>
    </row>
    <row r="136" spans="1:12" ht="15" customHeight="1" x14ac:dyDescent="0.25">
      <c r="A136" t="s">
        <v>171</v>
      </c>
      <c r="B136" s="383"/>
      <c r="C136" s="97">
        <f t="shared" si="14"/>
        <v>0</v>
      </c>
      <c r="D136" s="140">
        <f t="shared" si="14"/>
        <v>0</v>
      </c>
      <c r="E136" s="141">
        <f t="shared" si="14"/>
        <v>0</v>
      </c>
      <c r="F136" s="143">
        <f t="shared" si="14"/>
        <v>0</v>
      </c>
      <c r="G136" s="139"/>
      <c r="H136" s="97">
        <f t="shared" si="15"/>
        <v>0</v>
      </c>
      <c r="I136" s="140">
        <f t="shared" si="15"/>
        <v>0</v>
      </c>
      <c r="J136" s="141">
        <f t="shared" si="15"/>
        <v>0</v>
      </c>
      <c r="K136" s="138">
        <f t="shared" si="15"/>
        <v>0</v>
      </c>
      <c r="L136" s="23"/>
    </row>
    <row r="137" spans="1:12" s="126" customFormat="1" ht="15" customHeight="1" x14ac:dyDescent="0.25">
      <c r="B137" s="147"/>
      <c r="C137" s="139"/>
      <c r="D137" s="139"/>
      <c r="E137" s="139"/>
      <c r="F137" s="139"/>
      <c r="G137" s="139"/>
      <c r="H137" s="139"/>
      <c r="I137" s="139"/>
      <c r="J137" s="139"/>
      <c r="K137" s="139"/>
      <c r="L137" s="139"/>
    </row>
    <row r="138" spans="1:12" ht="15" customHeight="1" x14ac:dyDescent="0.25">
      <c r="A138" t="s">
        <v>172</v>
      </c>
      <c r="B138" s="382" t="str">
        <f>A138</f>
        <v>octobre</v>
      </c>
      <c r="C138" s="97" t="str">
        <f t="shared" ref="C138:F151" si="16">C123</f>
        <v>Impôts communaux</v>
      </c>
      <c r="D138" s="140" t="str">
        <f t="shared" si="16"/>
        <v>Commune de Farvagny</v>
      </c>
      <c r="E138" s="141">
        <f t="shared" si="16"/>
        <v>81.5</v>
      </c>
      <c r="F138" s="143" t="str">
        <f t="shared" si="16"/>
        <v>non</v>
      </c>
      <c r="G138" s="142"/>
      <c r="H138" s="97" t="str">
        <f t="shared" ref="H138:K151" si="17">H123</f>
        <v>Assurance ménage</v>
      </c>
      <c r="I138" s="140" t="str">
        <f t="shared" si="17"/>
        <v>Générali</v>
      </c>
      <c r="J138" s="141">
        <f t="shared" si="17"/>
        <v>12</v>
      </c>
      <c r="K138" s="183" t="str">
        <f t="shared" si="17"/>
        <v>oui</v>
      </c>
      <c r="L138" s="144"/>
    </row>
    <row r="139" spans="1:12" ht="15" customHeight="1" x14ac:dyDescent="0.25">
      <c r="A139" t="s">
        <v>172</v>
      </c>
      <c r="B139" s="383"/>
      <c r="C139" s="97" t="str">
        <f t="shared" si="16"/>
        <v>Impôts cantonaux</v>
      </c>
      <c r="D139" s="140" t="str">
        <f t="shared" si="16"/>
        <v>SCC</v>
      </c>
      <c r="E139" s="141">
        <f t="shared" si="16"/>
        <v>82.3</v>
      </c>
      <c r="F139" s="143" t="str">
        <f t="shared" si="16"/>
        <v>oui</v>
      </c>
      <c r="G139" s="142"/>
      <c r="H139" s="97" t="str">
        <f t="shared" si="17"/>
        <v>Electricité</v>
      </c>
      <c r="I139" s="140" t="str">
        <f t="shared" si="17"/>
        <v>Groupe E</v>
      </c>
      <c r="J139" s="141">
        <f t="shared" si="17"/>
        <v>0</v>
      </c>
      <c r="K139" s="183">
        <f t="shared" si="17"/>
        <v>0</v>
      </c>
      <c r="L139" s="144"/>
    </row>
    <row r="140" spans="1:12" ht="15" customHeight="1" x14ac:dyDescent="0.25">
      <c r="A140" t="s">
        <v>172</v>
      </c>
      <c r="B140" s="383"/>
      <c r="C140" s="97" t="str">
        <f t="shared" si="16"/>
        <v>Téléphone</v>
      </c>
      <c r="D140" s="140">
        <f t="shared" si="16"/>
        <v>0</v>
      </c>
      <c r="E140" s="141">
        <f t="shared" si="16"/>
        <v>0</v>
      </c>
      <c r="F140" s="143">
        <f t="shared" si="16"/>
        <v>0</v>
      </c>
      <c r="G140" s="142"/>
      <c r="H140" s="62" t="str">
        <f t="shared" si="17"/>
        <v>Impôt véhicule</v>
      </c>
      <c r="I140" s="140" t="str">
        <f t="shared" si="17"/>
        <v>OCN</v>
      </c>
      <c r="J140" s="141">
        <f t="shared" si="17"/>
        <v>28</v>
      </c>
      <c r="K140" s="183" t="str">
        <f t="shared" si="17"/>
        <v>oui</v>
      </c>
      <c r="L140" s="144"/>
    </row>
    <row r="141" spans="1:12" ht="15" customHeight="1" x14ac:dyDescent="0.25">
      <c r="A141" t="s">
        <v>172</v>
      </c>
      <c r="B141" s="383"/>
      <c r="C141" s="97">
        <f t="shared" si="16"/>
        <v>0</v>
      </c>
      <c r="D141" s="140">
        <f t="shared" si="16"/>
        <v>0</v>
      </c>
      <c r="E141" s="141">
        <f t="shared" si="16"/>
        <v>0</v>
      </c>
      <c r="F141" s="143">
        <f t="shared" si="16"/>
        <v>0</v>
      </c>
      <c r="G141" s="142"/>
      <c r="H141" s="97" t="str">
        <f t="shared" si="17"/>
        <v>Assurance véhicule</v>
      </c>
      <c r="I141" s="140">
        <f t="shared" si="17"/>
        <v>0</v>
      </c>
      <c r="J141" s="141">
        <f t="shared" si="17"/>
        <v>0</v>
      </c>
      <c r="K141" s="183">
        <f t="shared" si="17"/>
        <v>0</v>
      </c>
      <c r="L141" s="144"/>
    </row>
    <row r="142" spans="1:12" ht="15" customHeight="1" x14ac:dyDescent="0.25">
      <c r="A142" t="s">
        <v>172</v>
      </c>
      <c r="B142" s="383"/>
      <c r="C142" s="97">
        <f t="shared" si="16"/>
        <v>0</v>
      </c>
      <c r="D142" s="140">
        <f t="shared" si="16"/>
        <v>0</v>
      </c>
      <c r="E142" s="141">
        <f t="shared" si="16"/>
        <v>0</v>
      </c>
      <c r="F142" s="143">
        <f t="shared" si="16"/>
        <v>0</v>
      </c>
      <c r="G142" s="142"/>
      <c r="H142" s="97" t="str">
        <f t="shared" si="17"/>
        <v>Billag</v>
      </c>
      <c r="I142" s="140">
        <f t="shared" si="17"/>
        <v>0</v>
      </c>
      <c r="J142" s="141">
        <f t="shared" si="17"/>
        <v>15</v>
      </c>
      <c r="K142" s="183" t="str">
        <f t="shared" si="17"/>
        <v>oui</v>
      </c>
      <c r="L142" s="144"/>
    </row>
    <row r="143" spans="1:12" ht="15" customHeight="1" x14ac:dyDescent="0.25">
      <c r="A143" t="s">
        <v>172</v>
      </c>
      <c r="B143" s="383"/>
      <c r="C143" s="97">
        <f t="shared" si="16"/>
        <v>0</v>
      </c>
      <c r="D143" s="140">
        <f t="shared" si="16"/>
        <v>0</v>
      </c>
      <c r="E143" s="141">
        <f t="shared" si="16"/>
        <v>0</v>
      </c>
      <c r="F143" s="143">
        <f t="shared" si="16"/>
        <v>0</v>
      </c>
      <c r="G143" s="142"/>
      <c r="H143" s="97" t="str">
        <f t="shared" si="17"/>
        <v>kk</v>
      </c>
      <c r="I143" s="140">
        <f t="shared" si="17"/>
        <v>0</v>
      </c>
      <c r="J143" s="141">
        <f t="shared" si="17"/>
        <v>0</v>
      </c>
      <c r="K143" s="143">
        <f t="shared" si="17"/>
        <v>0</v>
      </c>
      <c r="L143" s="144"/>
    </row>
    <row r="144" spans="1:12" ht="15" customHeight="1" x14ac:dyDescent="0.25">
      <c r="A144" t="s">
        <v>172</v>
      </c>
      <c r="B144" s="383"/>
      <c r="C144" s="97" t="str">
        <f t="shared" si="16"/>
        <v>tutu</v>
      </c>
      <c r="D144" s="140">
        <f t="shared" si="16"/>
        <v>0</v>
      </c>
      <c r="E144" s="141">
        <f t="shared" si="16"/>
        <v>12</v>
      </c>
      <c r="F144" s="143" t="str">
        <f t="shared" si="16"/>
        <v>oui</v>
      </c>
      <c r="G144" s="142"/>
      <c r="H144" s="97">
        <f t="shared" si="17"/>
        <v>0</v>
      </c>
      <c r="I144" s="140">
        <f t="shared" si="17"/>
        <v>0</v>
      </c>
      <c r="J144" s="141">
        <f t="shared" si="17"/>
        <v>0</v>
      </c>
      <c r="K144" s="143">
        <f t="shared" si="17"/>
        <v>0</v>
      </c>
      <c r="L144" s="144"/>
    </row>
    <row r="145" spans="1:12" ht="15" customHeight="1" x14ac:dyDescent="0.25">
      <c r="A145" t="s">
        <v>172</v>
      </c>
      <c r="B145" s="383"/>
      <c r="C145" s="97">
        <f t="shared" si="16"/>
        <v>0</v>
      </c>
      <c r="D145" s="140">
        <f t="shared" si="16"/>
        <v>0</v>
      </c>
      <c r="E145" s="141">
        <f t="shared" si="16"/>
        <v>0</v>
      </c>
      <c r="F145" s="143">
        <f t="shared" si="16"/>
        <v>0</v>
      </c>
      <c r="G145" s="142"/>
      <c r="H145" s="97">
        <f t="shared" si="17"/>
        <v>0</v>
      </c>
      <c r="I145" s="140">
        <f t="shared" si="17"/>
        <v>0</v>
      </c>
      <c r="J145" s="141">
        <f t="shared" si="17"/>
        <v>0</v>
      </c>
      <c r="K145" s="143">
        <f t="shared" si="17"/>
        <v>0</v>
      </c>
      <c r="L145" s="144"/>
    </row>
    <row r="146" spans="1:12" ht="15" customHeight="1" x14ac:dyDescent="0.25">
      <c r="A146" t="s">
        <v>172</v>
      </c>
      <c r="B146" s="383"/>
      <c r="C146" s="97">
        <f t="shared" si="16"/>
        <v>0</v>
      </c>
      <c r="D146" s="140">
        <f t="shared" si="16"/>
        <v>0</v>
      </c>
      <c r="E146" s="141">
        <f t="shared" si="16"/>
        <v>0</v>
      </c>
      <c r="F146" s="143">
        <f t="shared" si="16"/>
        <v>0</v>
      </c>
      <c r="G146" s="142"/>
      <c r="H146" s="97">
        <f t="shared" si="17"/>
        <v>0</v>
      </c>
      <c r="I146" s="140">
        <f t="shared" si="17"/>
        <v>0</v>
      </c>
      <c r="J146" s="141">
        <f t="shared" si="17"/>
        <v>0</v>
      </c>
      <c r="K146" s="143">
        <f t="shared" si="17"/>
        <v>0</v>
      </c>
      <c r="L146" s="144"/>
    </row>
    <row r="147" spans="1:12" ht="15" customHeight="1" x14ac:dyDescent="0.25">
      <c r="A147" t="s">
        <v>172</v>
      </c>
      <c r="B147" s="383"/>
      <c r="C147" s="97">
        <f t="shared" si="16"/>
        <v>0</v>
      </c>
      <c r="D147" s="140">
        <f t="shared" si="16"/>
        <v>0</v>
      </c>
      <c r="E147" s="141">
        <f t="shared" si="16"/>
        <v>0</v>
      </c>
      <c r="F147" s="143">
        <f t="shared" si="16"/>
        <v>0</v>
      </c>
      <c r="G147" s="142"/>
      <c r="H147" s="97">
        <f t="shared" si="17"/>
        <v>0</v>
      </c>
      <c r="I147" s="140">
        <f t="shared" si="17"/>
        <v>0</v>
      </c>
      <c r="J147" s="141">
        <f t="shared" si="17"/>
        <v>0</v>
      </c>
      <c r="K147" s="143">
        <f t="shared" si="17"/>
        <v>0</v>
      </c>
      <c r="L147" s="144"/>
    </row>
    <row r="148" spans="1:12" ht="15" customHeight="1" x14ac:dyDescent="0.25">
      <c r="A148" t="s">
        <v>172</v>
      </c>
      <c r="B148" s="383"/>
      <c r="C148" s="97">
        <f t="shared" si="16"/>
        <v>0</v>
      </c>
      <c r="D148" s="140">
        <f t="shared" si="16"/>
        <v>0</v>
      </c>
      <c r="E148" s="141">
        <f t="shared" si="16"/>
        <v>0</v>
      </c>
      <c r="F148" s="143">
        <f t="shared" si="16"/>
        <v>0</v>
      </c>
      <c r="G148" s="142"/>
      <c r="H148" s="97">
        <f t="shared" si="17"/>
        <v>0</v>
      </c>
      <c r="I148" s="140">
        <f t="shared" si="17"/>
        <v>0</v>
      </c>
      <c r="J148" s="141">
        <f t="shared" si="17"/>
        <v>0</v>
      </c>
      <c r="K148" s="143">
        <f t="shared" si="17"/>
        <v>0</v>
      </c>
      <c r="L148" s="144"/>
    </row>
    <row r="149" spans="1:12" ht="15" customHeight="1" x14ac:dyDescent="0.25">
      <c r="A149" t="s">
        <v>172</v>
      </c>
      <c r="B149" s="383"/>
      <c r="C149" s="97">
        <f t="shared" si="16"/>
        <v>0</v>
      </c>
      <c r="D149" s="140">
        <f t="shared" si="16"/>
        <v>0</v>
      </c>
      <c r="E149" s="141">
        <f t="shared" si="16"/>
        <v>0</v>
      </c>
      <c r="F149" s="143">
        <f t="shared" si="16"/>
        <v>0</v>
      </c>
      <c r="G149" s="142"/>
      <c r="H149" s="97">
        <f t="shared" si="17"/>
        <v>0</v>
      </c>
      <c r="I149" s="140">
        <f t="shared" si="17"/>
        <v>0</v>
      </c>
      <c r="J149" s="141">
        <f t="shared" si="17"/>
        <v>0</v>
      </c>
      <c r="K149" s="143">
        <f t="shared" si="17"/>
        <v>0</v>
      </c>
      <c r="L149" s="144"/>
    </row>
    <row r="150" spans="1:12" ht="15" customHeight="1" x14ac:dyDescent="0.25">
      <c r="A150" t="s">
        <v>172</v>
      </c>
      <c r="B150" s="383"/>
      <c r="C150" s="97">
        <f t="shared" si="16"/>
        <v>0</v>
      </c>
      <c r="D150" s="140">
        <f t="shared" si="16"/>
        <v>0</v>
      </c>
      <c r="E150" s="141">
        <f t="shared" si="16"/>
        <v>0</v>
      </c>
      <c r="F150" s="143">
        <f t="shared" si="16"/>
        <v>0</v>
      </c>
      <c r="G150" s="139"/>
      <c r="H150" s="97">
        <f t="shared" si="17"/>
        <v>0</v>
      </c>
      <c r="I150" s="140">
        <f t="shared" si="17"/>
        <v>0</v>
      </c>
      <c r="J150" s="141">
        <f t="shared" si="17"/>
        <v>0</v>
      </c>
      <c r="K150" s="138">
        <f t="shared" si="17"/>
        <v>0</v>
      </c>
      <c r="L150" s="23"/>
    </row>
    <row r="151" spans="1:12" ht="15" customHeight="1" x14ac:dyDescent="0.25">
      <c r="A151" t="s">
        <v>172</v>
      </c>
      <c r="B151" s="383"/>
      <c r="C151" s="97">
        <f t="shared" si="16"/>
        <v>0</v>
      </c>
      <c r="D151" s="140">
        <f t="shared" si="16"/>
        <v>0</v>
      </c>
      <c r="E151" s="141">
        <f t="shared" si="16"/>
        <v>0</v>
      </c>
      <c r="F151" s="143">
        <f t="shared" si="16"/>
        <v>0</v>
      </c>
      <c r="G151" s="139"/>
      <c r="H151" s="97">
        <f t="shared" si="17"/>
        <v>0</v>
      </c>
      <c r="I151" s="140">
        <f t="shared" si="17"/>
        <v>0</v>
      </c>
      <c r="J151" s="141">
        <f t="shared" si="17"/>
        <v>0</v>
      </c>
      <c r="K151" s="138">
        <f t="shared" si="17"/>
        <v>0</v>
      </c>
      <c r="L151" s="23"/>
    </row>
    <row r="152" spans="1:12" s="126" customFormat="1" ht="15" customHeight="1" x14ac:dyDescent="0.25">
      <c r="B152" s="147"/>
      <c r="C152" s="139"/>
      <c r="D152" s="139"/>
      <c r="E152" s="139"/>
      <c r="F152" s="139"/>
      <c r="G152" s="139"/>
      <c r="H152" s="139"/>
      <c r="I152" s="139"/>
      <c r="J152" s="139"/>
      <c r="K152" s="139"/>
      <c r="L152" s="139"/>
    </row>
    <row r="153" spans="1:12" ht="15" customHeight="1" x14ac:dyDescent="0.25">
      <c r="A153" t="s">
        <v>173</v>
      </c>
      <c r="B153" s="382" t="str">
        <f>A153</f>
        <v>novembre</v>
      </c>
      <c r="C153" s="97" t="str">
        <f t="shared" ref="C153:F166" si="18">C138</f>
        <v>Impôts communaux</v>
      </c>
      <c r="D153" s="140" t="str">
        <f t="shared" si="18"/>
        <v>Commune de Farvagny</v>
      </c>
      <c r="E153" s="141">
        <f t="shared" si="18"/>
        <v>81.5</v>
      </c>
      <c r="F153" s="143" t="str">
        <f t="shared" si="18"/>
        <v>non</v>
      </c>
      <c r="G153" s="142"/>
      <c r="H153" s="97" t="str">
        <f t="shared" ref="H153:K166" si="19">H138</f>
        <v>Assurance ménage</v>
      </c>
      <c r="I153" s="140" t="str">
        <f t="shared" si="19"/>
        <v>Générali</v>
      </c>
      <c r="J153" s="141">
        <f t="shared" si="19"/>
        <v>12</v>
      </c>
      <c r="K153" s="183" t="str">
        <f t="shared" si="19"/>
        <v>oui</v>
      </c>
      <c r="L153" s="144"/>
    </row>
    <row r="154" spans="1:12" ht="15" customHeight="1" x14ac:dyDescent="0.25">
      <c r="A154" t="s">
        <v>173</v>
      </c>
      <c r="B154" s="383"/>
      <c r="C154" s="97" t="str">
        <f t="shared" si="18"/>
        <v>Impôts cantonaux</v>
      </c>
      <c r="D154" s="140" t="str">
        <f t="shared" si="18"/>
        <v>SCC</v>
      </c>
      <c r="E154" s="141">
        <f t="shared" si="18"/>
        <v>82.3</v>
      </c>
      <c r="F154" s="143" t="str">
        <f t="shared" si="18"/>
        <v>oui</v>
      </c>
      <c r="G154" s="142"/>
      <c r="H154" s="97" t="str">
        <f t="shared" si="19"/>
        <v>Electricité</v>
      </c>
      <c r="I154" s="140" t="str">
        <f t="shared" si="19"/>
        <v>Groupe E</v>
      </c>
      <c r="J154" s="141">
        <f t="shared" si="19"/>
        <v>0</v>
      </c>
      <c r="K154" s="183">
        <f t="shared" si="19"/>
        <v>0</v>
      </c>
      <c r="L154" s="144"/>
    </row>
    <row r="155" spans="1:12" ht="15" customHeight="1" x14ac:dyDescent="0.25">
      <c r="A155" t="s">
        <v>173</v>
      </c>
      <c r="B155" s="383"/>
      <c r="C155" s="97" t="str">
        <f t="shared" si="18"/>
        <v>Téléphone</v>
      </c>
      <c r="D155" s="140">
        <f t="shared" si="18"/>
        <v>0</v>
      </c>
      <c r="E155" s="141">
        <f t="shared" si="18"/>
        <v>0</v>
      </c>
      <c r="F155" s="143">
        <f t="shared" si="18"/>
        <v>0</v>
      </c>
      <c r="G155" s="142"/>
      <c r="H155" s="62" t="str">
        <f t="shared" si="19"/>
        <v>Impôt véhicule</v>
      </c>
      <c r="I155" s="140" t="str">
        <f t="shared" si="19"/>
        <v>OCN</v>
      </c>
      <c r="J155" s="141">
        <f t="shared" si="19"/>
        <v>28</v>
      </c>
      <c r="K155" s="183" t="str">
        <f t="shared" si="19"/>
        <v>oui</v>
      </c>
      <c r="L155" s="144"/>
    </row>
    <row r="156" spans="1:12" ht="15" customHeight="1" x14ac:dyDescent="0.25">
      <c r="A156" t="s">
        <v>173</v>
      </c>
      <c r="B156" s="383"/>
      <c r="C156" s="97">
        <f t="shared" si="18"/>
        <v>0</v>
      </c>
      <c r="D156" s="140">
        <f t="shared" si="18"/>
        <v>0</v>
      </c>
      <c r="E156" s="141">
        <f t="shared" si="18"/>
        <v>0</v>
      </c>
      <c r="F156" s="143">
        <f t="shared" si="18"/>
        <v>0</v>
      </c>
      <c r="G156" s="142"/>
      <c r="H156" s="97" t="str">
        <f t="shared" si="19"/>
        <v>Assurance véhicule</v>
      </c>
      <c r="I156" s="140">
        <f t="shared" si="19"/>
        <v>0</v>
      </c>
      <c r="J156" s="141">
        <f t="shared" si="19"/>
        <v>0</v>
      </c>
      <c r="K156" s="183">
        <f t="shared" si="19"/>
        <v>0</v>
      </c>
      <c r="L156" s="144"/>
    </row>
    <row r="157" spans="1:12" ht="15" customHeight="1" x14ac:dyDescent="0.25">
      <c r="A157" t="s">
        <v>173</v>
      </c>
      <c r="B157" s="383"/>
      <c r="C157" s="97">
        <f t="shared" si="18"/>
        <v>0</v>
      </c>
      <c r="D157" s="140">
        <f t="shared" si="18"/>
        <v>0</v>
      </c>
      <c r="E157" s="141">
        <f t="shared" si="18"/>
        <v>0</v>
      </c>
      <c r="F157" s="143">
        <f t="shared" si="18"/>
        <v>0</v>
      </c>
      <c r="G157" s="142"/>
      <c r="H157" s="97" t="str">
        <f t="shared" si="19"/>
        <v>Billag</v>
      </c>
      <c r="I157" s="140">
        <f t="shared" si="19"/>
        <v>0</v>
      </c>
      <c r="J157" s="141">
        <f t="shared" si="19"/>
        <v>15</v>
      </c>
      <c r="K157" s="183" t="str">
        <f t="shared" si="19"/>
        <v>oui</v>
      </c>
      <c r="L157" s="144"/>
    </row>
    <row r="158" spans="1:12" ht="15" customHeight="1" x14ac:dyDescent="0.25">
      <c r="A158" t="s">
        <v>173</v>
      </c>
      <c r="B158" s="383"/>
      <c r="C158" s="97">
        <f t="shared" si="18"/>
        <v>0</v>
      </c>
      <c r="D158" s="140">
        <f t="shared" si="18"/>
        <v>0</v>
      </c>
      <c r="E158" s="141">
        <f t="shared" si="18"/>
        <v>0</v>
      </c>
      <c r="F158" s="143">
        <f t="shared" si="18"/>
        <v>0</v>
      </c>
      <c r="G158" s="142"/>
      <c r="H158" s="97" t="str">
        <f t="shared" si="19"/>
        <v>kk</v>
      </c>
      <c r="I158" s="140">
        <f t="shared" si="19"/>
        <v>0</v>
      </c>
      <c r="J158" s="141">
        <f t="shared" si="19"/>
        <v>0</v>
      </c>
      <c r="K158" s="143">
        <f t="shared" si="19"/>
        <v>0</v>
      </c>
      <c r="L158" s="144"/>
    </row>
    <row r="159" spans="1:12" ht="15" customHeight="1" x14ac:dyDescent="0.25">
      <c r="A159" t="s">
        <v>173</v>
      </c>
      <c r="B159" s="383"/>
      <c r="C159" s="97" t="str">
        <f t="shared" si="18"/>
        <v>tutu</v>
      </c>
      <c r="D159" s="140">
        <f t="shared" si="18"/>
        <v>0</v>
      </c>
      <c r="E159" s="141">
        <f t="shared" si="18"/>
        <v>12</v>
      </c>
      <c r="F159" s="143" t="str">
        <f t="shared" si="18"/>
        <v>oui</v>
      </c>
      <c r="G159" s="142"/>
      <c r="H159" s="97">
        <f t="shared" si="19"/>
        <v>0</v>
      </c>
      <c r="I159" s="140">
        <f t="shared" si="19"/>
        <v>0</v>
      </c>
      <c r="J159" s="141">
        <f t="shared" si="19"/>
        <v>0</v>
      </c>
      <c r="K159" s="143">
        <f t="shared" si="19"/>
        <v>0</v>
      </c>
      <c r="L159" s="144"/>
    </row>
    <row r="160" spans="1:12" ht="15" customHeight="1" x14ac:dyDescent="0.25">
      <c r="A160" t="s">
        <v>173</v>
      </c>
      <c r="B160" s="383"/>
      <c r="C160" s="97">
        <f t="shared" si="18"/>
        <v>0</v>
      </c>
      <c r="D160" s="140">
        <f t="shared" si="18"/>
        <v>0</v>
      </c>
      <c r="E160" s="141">
        <f t="shared" si="18"/>
        <v>0</v>
      </c>
      <c r="F160" s="143">
        <f t="shared" si="18"/>
        <v>0</v>
      </c>
      <c r="G160" s="142"/>
      <c r="H160" s="97">
        <f t="shared" si="19"/>
        <v>0</v>
      </c>
      <c r="I160" s="140">
        <f t="shared" si="19"/>
        <v>0</v>
      </c>
      <c r="J160" s="141">
        <f t="shared" si="19"/>
        <v>0</v>
      </c>
      <c r="K160" s="143">
        <f t="shared" si="19"/>
        <v>0</v>
      </c>
      <c r="L160" s="144"/>
    </row>
    <row r="161" spans="1:12" ht="15" customHeight="1" x14ac:dyDescent="0.25">
      <c r="A161" t="s">
        <v>173</v>
      </c>
      <c r="B161" s="383"/>
      <c r="C161" s="97">
        <f t="shared" si="18"/>
        <v>0</v>
      </c>
      <c r="D161" s="140">
        <f t="shared" si="18"/>
        <v>0</v>
      </c>
      <c r="E161" s="141">
        <f t="shared" si="18"/>
        <v>0</v>
      </c>
      <c r="F161" s="143">
        <f t="shared" si="18"/>
        <v>0</v>
      </c>
      <c r="G161" s="142"/>
      <c r="H161" s="97">
        <f t="shared" si="19"/>
        <v>0</v>
      </c>
      <c r="I161" s="140">
        <f t="shared" si="19"/>
        <v>0</v>
      </c>
      <c r="J161" s="141">
        <f t="shared" si="19"/>
        <v>0</v>
      </c>
      <c r="K161" s="143">
        <f t="shared" si="19"/>
        <v>0</v>
      </c>
      <c r="L161" s="144"/>
    </row>
    <row r="162" spans="1:12" ht="15" customHeight="1" x14ac:dyDescent="0.25">
      <c r="A162" t="s">
        <v>173</v>
      </c>
      <c r="B162" s="383"/>
      <c r="C162" s="97">
        <f t="shared" si="18"/>
        <v>0</v>
      </c>
      <c r="D162" s="140">
        <f t="shared" si="18"/>
        <v>0</v>
      </c>
      <c r="E162" s="141">
        <f t="shared" si="18"/>
        <v>0</v>
      </c>
      <c r="F162" s="143">
        <f t="shared" si="18"/>
        <v>0</v>
      </c>
      <c r="G162" s="142"/>
      <c r="H162" s="97">
        <f t="shared" si="19"/>
        <v>0</v>
      </c>
      <c r="I162" s="140">
        <f t="shared" si="19"/>
        <v>0</v>
      </c>
      <c r="J162" s="141">
        <f t="shared" si="19"/>
        <v>0</v>
      </c>
      <c r="K162" s="143">
        <f t="shared" si="19"/>
        <v>0</v>
      </c>
      <c r="L162" s="144"/>
    </row>
    <row r="163" spans="1:12" ht="15" customHeight="1" x14ac:dyDescent="0.25">
      <c r="A163" t="s">
        <v>173</v>
      </c>
      <c r="B163" s="383"/>
      <c r="C163" s="97">
        <f t="shared" si="18"/>
        <v>0</v>
      </c>
      <c r="D163" s="140">
        <f t="shared" si="18"/>
        <v>0</v>
      </c>
      <c r="E163" s="141">
        <f t="shared" si="18"/>
        <v>0</v>
      </c>
      <c r="F163" s="143">
        <f t="shared" si="18"/>
        <v>0</v>
      </c>
      <c r="G163" s="142"/>
      <c r="H163" s="97">
        <f t="shared" si="19"/>
        <v>0</v>
      </c>
      <c r="I163" s="140">
        <f t="shared" si="19"/>
        <v>0</v>
      </c>
      <c r="J163" s="141">
        <f t="shared" si="19"/>
        <v>0</v>
      </c>
      <c r="K163" s="143">
        <f t="shared" si="19"/>
        <v>0</v>
      </c>
      <c r="L163" s="144"/>
    </row>
    <row r="164" spans="1:12" ht="15" customHeight="1" x14ac:dyDescent="0.25">
      <c r="A164" t="s">
        <v>173</v>
      </c>
      <c r="B164" s="383"/>
      <c r="C164" s="97">
        <f t="shared" si="18"/>
        <v>0</v>
      </c>
      <c r="D164" s="140">
        <f t="shared" si="18"/>
        <v>0</v>
      </c>
      <c r="E164" s="141">
        <f t="shared" si="18"/>
        <v>0</v>
      </c>
      <c r="F164" s="143">
        <f t="shared" si="18"/>
        <v>0</v>
      </c>
      <c r="G164" s="142"/>
      <c r="H164" s="97">
        <f t="shared" si="19"/>
        <v>0</v>
      </c>
      <c r="I164" s="140">
        <f t="shared" si="19"/>
        <v>0</v>
      </c>
      <c r="J164" s="141">
        <f t="shared" si="19"/>
        <v>0</v>
      </c>
      <c r="K164" s="143">
        <f t="shared" si="19"/>
        <v>0</v>
      </c>
      <c r="L164" s="144"/>
    </row>
    <row r="165" spans="1:12" ht="15" customHeight="1" x14ac:dyDescent="0.25">
      <c r="A165" t="s">
        <v>173</v>
      </c>
      <c r="B165" s="383"/>
      <c r="C165" s="97">
        <f t="shared" si="18"/>
        <v>0</v>
      </c>
      <c r="D165" s="140">
        <f t="shared" si="18"/>
        <v>0</v>
      </c>
      <c r="E165" s="141">
        <f t="shared" si="18"/>
        <v>0</v>
      </c>
      <c r="F165" s="143">
        <f t="shared" si="18"/>
        <v>0</v>
      </c>
      <c r="G165" s="139"/>
      <c r="H165" s="97">
        <f t="shared" si="19"/>
        <v>0</v>
      </c>
      <c r="I165" s="140">
        <f t="shared" si="19"/>
        <v>0</v>
      </c>
      <c r="J165" s="141">
        <f t="shared" si="19"/>
        <v>0</v>
      </c>
      <c r="K165" s="138">
        <f t="shared" si="19"/>
        <v>0</v>
      </c>
      <c r="L165" s="23"/>
    </row>
    <row r="166" spans="1:12" ht="15" customHeight="1" x14ac:dyDescent="0.25">
      <c r="A166" t="s">
        <v>173</v>
      </c>
      <c r="B166" s="383"/>
      <c r="C166" s="97">
        <f t="shared" si="18"/>
        <v>0</v>
      </c>
      <c r="D166" s="140">
        <f t="shared" si="18"/>
        <v>0</v>
      </c>
      <c r="E166" s="141">
        <f t="shared" si="18"/>
        <v>0</v>
      </c>
      <c r="F166" s="143">
        <f t="shared" si="18"/>
        <v>0</v>
      </c>
      <c r="G166" s="139"/>
      <c r="H166" s="97">
        <f t="shared" si="19"/>
        <v>0</v>
      </c>
      <c r="I166" s="140">
        <f t="shared" si="19"/>
        <v>0</v>
      </c>
      <c r="J166" s="141">
        <f t="shared" si="19"/>
        <v>0</v>
      </c>
      <c r="K166" s="138">
        <f t="shared" si="19"/>
        <v>0</v>
      </c>
      <c r="L166" s="23"/>
    </row>
    <row r="167" spans="1:12" s="126" customFormat="1" ht="15" customHeight="1" x14ac:dyDescent="0.25">
      <c r="B167" s="147"/>
      <c r="C167" s="139"/>
      <c r="D167" s="139"/>
      <c r="E167" s="139"/>
      <c r="F167" s="139"/>
      <c r="G167" s="139"/>
      <c r="H167" s="139"/>
      <c r="I167" s="139"/>
      <c r="J167" s="139"/>
      <c r="K167" s="139"/>
      <c r="L167" s="139"/>
    </row>
    <row r="168" spans="1:12" ht="15" customHeight="1" x14ac:dyDescent="0.25">
      <c r="A168" t="s">
        <v>174</v>
      </c>
      <c r="B168" s="382" t="str">
        <f>A168</f>
        <v>décembre</v>
      </c>
      <c r="C168" s="97" t="str">
        <f t="shared" ref="C168:F181" si="20">C153</f>
        <v>Impôts communaux</v>
      </c>
      <c r="D168" s="140" t="str">
        <f t="shared" si="20"/>
        <v>Commune de Farvagny</v>
      </c>
      <c r="E168" s="141">
        <f t="shared" si="20"/>
        <v>81.5</v>
      </c>
      <c r="F168" s="143" t="str">
        <f t="shared" si="20"/>
        <v>non</v>
      </c>
      <c r="G168" s="142"/>
      <c r="H168" s="194" t="str">
        <f t="shared" ref="H168:K181" si="21">H153</f>
        <v>Assurance ménage</v>
      </c>
      <c r="I168" s="140" t="str">
        <f t="shared" si="21"/>
        <v>Générali</v>
      </c>
      <c r="J168" s="141">
        <f t="shared" si="21"/>
        <v>12</v>
      </c>
      <c r="K168" s="183" t="str">
        <f t="shared" si="21"/>
        <v>oui</v>
      </c>
      <c r="L168" s="144"/>
    </row>
    <row r="169" spans="1:12" ht="15" customHeight="1" x14ac:dyDescent="0.25">
      <c r="A169" t="s">
        <v>174</v>
      </c>
      <c r="B169" s="383"/>
      <c r="C169" s="97" t="str">
        <f t="shared" si="20"/>
        <v>Impôts cantonaux</v>
      </c>
      <c r="D169" s="140" t="str">
        <f t="shared" si="20"/>
        <v>SCC</v>
      </c>
      <c r="E169" s="141">
        <f t="shared" si="20"/>
        <v>82.3</v>
      </c>
      <c r="F169" s="143" t="str">
        <f t="shared" si="20"/>
        <v>oui</v>
      </c>
      <c r="G169" s="142"/>
      <c r="H169" s="194" t="str">
        <f t="shared" si="21"/>
        <v>Electricité</v>
      </c>
      <c r="I169" s="140" t="str">
        <f t="shared" si="21"/>
        <v>Groupe E</v>
      </c>
      <c r="J169" s="141">
        <f t="shared" si="21"/>
        <v>0</v>
      </c>
      <c r="K169" s="183">
        <f t="shared" si="21"/>
        <v>0</v>
      </c>
      <c r="L169" s="144"/>
    </row>
    <row r="170" spans="1:12" ht="15" customHeight="1" x14ac:dyDescent="0.25">
      <c r="A170" t="s">
        <v>174</v>
      </c>
      <c r="B170" s="383"/>
      <c r="C170" s="97" t="str">
        <f t="shared" si="20"/>
        <v>Téléphone</v>
      </c>
      <c r="D170" s="140">
        <f t="shared" si="20"/>
        <v>0</v>
      </c>
      <c r="E170" s="141">
        <f t="shared" si="20"/>
        <v>0</v>
      </c>
      <c r="F170" s="143">
        <f t="shared" si="20"/>
        <v>0</v>
      </c>
      <c r="G170" s="142"/>
      <c r="H170" s="195" t="str">
        <f t="shared" si="21"/>
        <v>Impôt véhicule</v>
      </c>
      <c r="I170" s="140" t="str">
        <f t="shared" si="21"/>
        <v>OCN</v>
      </c>
      <c r="J170" s="141">
        <f t="shared" si="21"/>
        <v>28</v>
      </c>
      <c r="K170" s="183" t="str">
        <f t="shared" si="21"/>
        <v>oui</v>
      </c>
      <c r="L170" s="144"/>
    </row>
    <row r="171" spans="1:12" ht="15" customHeight="1" x14ac:dyDescent="0.25">
      <c r="A171" t="s">
        <v>174</v>
      </c>
      <c r="B171" s="383"/>
      <c r="C171" s="97">
        <f t="shared" si="20"/>
        <v>0</v>
      </c>
      <c r="D171" s="140">
        <f t="shared" si="20"/>
        <v>0</v>
      </c>
      <c r="E171" s="141">
        <f t="shared" si="20"/>
        <v>0</v>
      </c>
      <c r="F171" s="143">
        <f t="shared" si="20"/>
        <v>0</v>
      </c>
      <c r="G171" s="142"/>
      <c r="H171" s="194" t="str">
        <f t="shared" si="21"/>
        <v>Assurance véhicule</v>
      </c>
      <c r="I171" s="140">
        <f t="shared" si="21"/>
        <v>0</v>
      </c>
      <c r="J171" s="141">
        <f t="shared" si="21"/>
        <v>0</v>
      </c>
      <c r="K171" s="183">
        <f t="shared" si="21"/>
        <v>0</v>
      </c>
      <c r="L171" s="144"/>
    </row>
    <row r="172" spans="1:12" ht="15" customHeight="1" x14ac:dyDescent="0.25">
      <c r="A172" t="s">
        <v>174</v>
      </c>
      <c r="B172" s="383"/>
      <c r="C172" s="97">
        <f t="shared" si="20"/>
        <v>0</v>
      </c>
      <c r="D172" s="140">
        <f t="shared" si="20"/>
        <v>0</v>
      </c>
      <c r="E172" s="141">
        <f t="shared" si="20"/>
        <v>0</v>
      </c>
      <c r="F172" s="143">
        <f t="shared" si="20"/>
        <v>0</v>
      </c>
      <c r="G172" s="142"/>
      <c r="H172" s="194" t="str">
        <f t="shared" si="21"/>
        <v>Billag</v>
      </c>
      <c r="I172" s="140">
        <f t="shared" si="21"/>
        <v>0</v>
      </c>
      <c r="J172" s="141">
        <f t="shared" si="21"/>
        <v>15</v>
      </c>
      <c r="K172" s="183" t="str">
        <f t="shared" si="21"/>
        <v>oui</v>
      </c>
      <c r="L172" s="144"/>
    </row>
    <row r="173" spans="1:12" ht="15" customHeight="1" x14ac:dyDescent="0.25">
      <c r="A173" t="s">
        <v>174</v>
      </c>
      <c r="B173" s="383"/>
      <c r="C173" s="97">
        <f t="shared" si="20"/>
        <v>0</v>
      </c>
      <c r="D173" s="140">
        <f t="shared" si="20"/>
        <v>0</v>
      </c>
      <c r="E173" s="141">
        <f t="shared" si="20"/>
        <v>0</v>
      </c>
      <c r="F173" s="143">
        <f t="shared" si="20"/>
        <v>0</v>
      </c>
      <c r="G173" s="142"/>
      <c r="H173" s="194" t="str">
        <f t="shared" si="21"/>
        <v>kk</v>
      </c>
      <c r="I173" s="140">
        <f t="shared" si="21"/>
        <v>0</v>
      </c>
      <c r="J173" s="141">
        <f t="shared" si="21"/>
        <v>0</v>
      </c>
      <c r="K173" s="143">
        <f t="shared" si="21"/>
        <v>0</v>
      </c>
      <c r="L173" s="144"/>
    </row>
    <row r="174" spans="1:12" ht="15" customHeight="1" x14ac:dyDescent="0.25">
      <c r="A174" t="s">
        <v>174</v>
      </c>
      <c r="B174" s="383"/>
      <c r="C174" s="97" t="str">
        <f t="shared" si="20"/>
        <v>tutu</v>
      </c>
      <c r="D174" s="140">
        <f t="shared" si="20"/>
        <v>0</v>
      </c>
      <c r="E174" s="141">
        <f t="shared" si="20"/>
        <v>12</v>
      </c>
      <c r="F174" s="143" t="str">
        <f t="shared" si="20"/>
        <v>oui</v>
      </c>
      <c r="G174" s="142"/>
      <c r="H174" s="194">
        <f t="shared" si="21"/>
        <v>0</v>
      </c>
      <c r="I174" s="140">
        <f t="shared" si="21"/>
        <v>0</v>
      </c>
      <c r="J174" s="141">
        <f t="shared" si="21"/>
        <v>0</v>
      </c>
      <c r="K174" s="143">
        <f t="shared" si="21"/>
        <v>0</v>
      </c>
      <c r="L174" s="144"/>
    </row>
    <row r="175" spans="1:12" ht="15" customHeight="1" x14ac:dyDescent="0.25">
      <c r="A175" t="s">
        <v>174</v>
      </c>
      <c r="B175" s="383"/>
      <c r="C175" s="97">
        <f t="shared" si="20"/>
        <v>0</v>
      </c>
      <c r="D175" s="140">
        <f t="shared" si="20"/>
        <v>0</v>
      </c>
      <c r="E175" s="141">
        <f t="shared" si="20"/>
        <v>0</v>
      </c>
      <c r="F175" s="143">
        <f t="shared" si="20"/>
        <v>0</v>
      </c>
      <c r="G175" s="142"/>
      <c r="H175" s="194">
        <f t="shared" si="21"/>
        <v>0</v>
      </c>
      <c r="I175" s="140">
        <f t="shared" si="21"/>
        <v>0</v>
      </c>
      <c r="J175" s="141">
        <f t="shared" si="21"/>
        <v>0</v>
      </c>
      <c r="K175" s="143">
        <f t="shared" si="21"/>
        <v>0</v>
      </c>
      <c r="L175" s="144"/>
    </row>
    <row r="176" spans="1:12" ht="15" customHeight="1" x14ac:dyDescent="0.25">
      <c r="A176" t="s">
        <v>174</v>
      </c>
      <c r="B176" s="383"/>
      <c r="C176" s="97">
        <f t="shared" si="20"/>
        <v>0</v>
      </c>
      <c r="D176" s="140">
        <f t="shared" si="20"/>
        <v>0</v>
      </c>
      <c r="E176" s="141">
        <f t="shared" si="20"/>
        <v>0</v>
      </c>
      <c r="F176" s="143">
        <f t="shared" si="20"/>
        <v>0</v>
      </c>
      <c r="G176" s="142"/>
      <c r="H176" s="194">
        <f t="shared" si="21"/>
        <v>0</v>
      </c>
      <c r="I176" s="140">
        <f t="shared" si="21"/>
        <v>0</v>
      </c>
      <c r="J176" s="141">
        <f t="shared" si="21"/>
        <v>0</v>
      </c>
      <c r="K176" s="143">
        <f t="shared" si="21"/>
        <v>0</v>
      </c>
      <c r="L176" s="144"/>
    </row>
    <row r="177" spans="1:12" ht="15" customHeight="1" x14ac:dyDescent="0.25">
      <c r="A177" t="s">
        <v>174</v>
      </c>
      <c r="B177" s="383"/>
      <c r="C177" s="97">
        <f t="shared" si="20"/>
        <v>0</v>
      </c>
      <c r="D177" s="140">
        <f t="shared" si="20"/>
        <v>0</v>
      </c>
      <c r="E177" s="141">
        <f t="shared" si="20"/>
        <v>0</v>
      </c>
      <c r="F177" s="143">
        <f t="shared" si="20"/>
        <v>0</v>
      </c>
      <c r="G177" s="142"/>
      <c r="H177" s="194">
        <f t="shared" si="21"/>
        <v>0</v>
      </c>
      <c r="I177" s="140">
        <f t="shared" si="21"/>
        <v>0</v>
      </c>
      <c r="J177" s="141">
        <f t="shared" si="21"/>
        <v>0</v>
      </c>
      <c r="K177" s="143">
        <f t="shared" si="21"/>
        <v>0</v>
      </c>
      <c r="L177" s="144"/>
    </row>
    <row r="178" spans="1:12" ht="15" customHeight="1" x14ac:dyDescent="0.25">
      <c r="A178" t="s">
        <v>174</v>
      </c>
      <c r="B178" s="383"/>
      <c r="C178" s="97">
        <f t="shared" si="20"/>
        <v>0</v>
      </c>
      <c r="D178" s="140">
        <f t="shared" si="20"/>
        <v>0</v>
      </c>
      <c r="E178" s="141">
        <f t="shared" si="20"/>
        <v>0</v>
      </c>
      <c r="F178" s="143">
        <f t="shared" si="20"/>
        <v>0</v>
      </c>
      <c r="G178" s="142"/>
      <c r="H178" s="194">
        <f t="shared" si="21"/>
        <v>0</v>
      </c>
      <c r="I178" s="140">
        <f t="shared" si="21"/>
        <v>0</v>
      </c>
      <c r="J178" s="141">
        <f t="shared" si="21"/>
        <v>0</v>
      </c>
      <c r="K178" s="143">
        <f t="shared" si="21"/>
        <v>0</v>
      </c>
      <c r="L178" s="144"/>
    </row>
    <row r="179" spans="1:12" ht="15" customHeight="1" x14ac:dyDescent="0.25">
      <c r="A179" t="s">
        <v>174</v>
      </c>
      <c r="B179" s="383"/>
      <c r="C179" s="97">
        <f t="shared" si="20"/>
        <v>0</v>
      </c>
      <c r="D179" s="140">
        <f t="shared" si="20"/>
        <v>0</v>
      </c>
      <c r="E179" s="141">
        <f t="shared" si="20"/>
        <v>0</v>
      </c>
      <c r="F179" s="143">
        <f t="shared" si="20"/>
        <v>0</v>
      </c>
      <c r="G179" s="142"/>
      <c r="H179" s="194">
        <f t="shared" si="21"/>
        <v>0</v>
      </c>
      <c r="I179" s="140">
        <f t="shared" si="21"/>
        <v>0</v>
      </c>
      <c r="J179" s="141">
        <f t="shared" si="21"/>
        <v>0</v>
      </c>
      <c r="K179" s="143">
        <f t="shared" si="21"/>
        <v>0</v>
      </c>
      <c r="L179" s="144"/>
    </row>
    <row r="180" spans="1:12" ht="15" customHeight="1" x14ac:dyDescent="0.25">
      <c r="A180" t="s">
        <v>174</v>
      </c>
      <c r="B180" s="383"/>
      <c r="C180" s="97">
        <f t="shared" si="20"/>
        <v>0</v>
      </c>
      <c r="D180" s="140">
        <f t="shared" si="20"/>
        <v>0</v>
      </c>
      <c r="E180" s="141">
        <f t="shared" si="20"/>
        <v>0</v>
      </c>
      <c r="F180" s="143">
        <f t="shared" si="20"/>
        <v>0</v>
      </c>
      <c r="G180" s="139"/>
      <c r="H180" s="194">
        <f t="shared" si="21"/>
        <v>0</v>
      </c>
      <c r="I180" s="140">
        <f t="shared" si="21"/>
        <v>0</v>
      </c>
      <c r="J180" s="141">
        <f t="shared" si="21"/>
        <v>0</v>
      </c>
      <c r="K180" s="138">
        <f t="shared" si="21"/>
        <v>0</v>
      </c>
      <c r="L180" s="23"/>
    </row>
    <row r="181" spans="1:12" ht="15" customHeight="1" x14ac:dyDescent="0.25">
      <c r="A181" t="s">
        <v>174</v>
      </c>
      <c r="B181" s="383"/>
      <c r="C181" s="97">
        <f t="shared" si="20"/>
        <v>0</v>
      </c>
      <c r="D181" s="140">
        <f t="shared" si="20"/>
        <v>0</v>
      </c>
      <c r="E181" s="141">
        <f t="shared" si="20"/>
        <v>0</v>
      </c>
      <c r="F181" s="143">
        <f t="shared" si="20"/>
        <v>0</v>
      </c>
      <c r="G181" s="139"/>
      <c r="H181" s="194">
        <f t="shared" si="21"/>
        <v>0</v>
      </c>
      <c r="I181" s="140">
        <f t="shared" si="21"/>
        <v>0</v>
      </c>
      <c r="J181" s="141">
        <f t="shared" si="21"/>
        <v>0</v>
      </c>
      <c r="K181" s="138">
        <f t="shared" si="21"/>
        <v>0</v>
      </c>
      <c r="L181" s="23"/>
    </row>
    <row r="182" spans="1:12" s="126" customFormat="1" ht="15" customHeight="1" x14ac:dyDescent="0.25">
      <c r="B182" s="147"/>
      <c r="C182" s="139"/>
      <c r="D182" s="139"/>
      <c r="E182" s="139"/>
      <c r="F182" s="139"/>
      <c r="G182" s="139"/>
      <c r="H182" s="139"/>
      <c r="I182" s="139"/>
      <c r="J182" s="139"/>
      <c r="K182" s="139"/>
      <c r="L182" s="139"/>
    </row>
    <row r="184" spans="1:12" ht="18.75" x14ac:dyDescent="0.3">
      <c r="C184" s="189" t="s">
        <v>253</v>
      </c>
      <c r="H184" s="189" t="s">
        <v>248</v>
      </c>
    </row>
    <row r="185" spans="1:12" x14ac:dyDescent="0.25">
      <c r="D185" s="140"/>
      <c r="J185" s="193" t="s">
        <v>251</v>
      </c>
      <c r="K185" s="193" t="s">
        <v>252</v>
      </c>
      <c r="L185" s="1" t="s">
        <v>255</v>
      </c>
    </row>
    <row r="186" spans="1:12" x14ac:dyDescent="0.25">
      <c r="C186" s="35" t="str">
        <f t="shared" ref="C186:D198" si="22">C168</f>
        <v>Impôts communaux</v>
      </c>
      <c r="D186" s="97" t="str">
        <f t="shared" si="22"/>
        <v>Commune de Farvagny</v>
      </c>
      <c r="E186" s="25">
        <f>SUMIFS(E3:E181,C3:C181,C186)</f>
        <v>978</v>
      </c>
      <c r="F186" s="143"/>
      <c r="H186" s="35" t="str">
        <f>H3</f>
        <v>Assurance ménage</v>
      </c>
      <c r="I186" s="35" t="str">
        <f t="shared" ref="I186:I199" si="23">I3</f>
        <v>Générali</v>
      </c>
      <c r="J186" s="25">
        <f>SUMIFS(J3:J181,H3:H181,H186)</f>
        <v>144</v>
      </c>
      <c r="K186" s="24"/>
    </row>
    <row r="187" spans="1:12" x14ac:dyDescent="0.25">
      <c r="C187" s="35" t="str">
        <f t="shared" si="22"/>
        <v>Impôts cantonaux</v>
      </c>
      <c r="D187" s="97" t="str">
        <f t="shared" si="22"/>
        <v>SCC</v>
      </c>
      <c r="E187" s="25">
        <f t="shared" ref="E187:E199" si="24">SUMIFS(E4:E182,C4:C182,C187)</f>
        <v>987.5999999999998</v>
      </c>
      <c r="F187" s="143"/>
      <c r="H187" s="35" t="str">
        <f t="shared" ref="H187:H199" si="25">H4</f>
        <v>Electricité</v>
      </c>
      <c r="I187" s="35" t="str">
        <f t="shared" si="23"/>
        <v>Groupe E</v>
      </c>
      <c r="J187" s="25">
        <f t="shared" ref="J187:J199" si="26">SUMIFS(J4:J182,H4:H182,H187)</f>
        <v>0</v>
      </c>
      <c r="K187" s="24"/>
    </row>
    <row r="188" spans="1:12" x14ac:dyDescent="0.25">
      <c r="C188" s="35" t="str">
        <f t="shared" si="22"/>
        <v>Téléphone</v>
      </c>
      <c r="D188" s="97">
        <f t="shared" si="22"/>
        <v>0</v>
      </c>
      <c r="E188" s="25">
        <f t="shared" si="24"/>
        <v>0</v>
      </c>
      <c r="F188" s="143"/>
      <c r="H188" s="35" t="str">
        <f t="shared" si="25"/>
        <v>Impôt véhicule</v>
      </c>
      <c r="I188" s="35" t="str">
        <f t="shared" si="23"/>
        <v>OCN</v>
      </c>
      <c r="J188" s="25">
        <f t="shared" si="26"/>
        <v>336</v>
      </c>
      <c r="K188" s="24"/>
    </row>
    <row r="189" spans="1:12" x14ac:dyDescent="0.25">
      <c r="C189" s="35">
        <f t="shared" si="22"/>
        <v>0</v>
      </c>
      <c r="D189" s="97">
        <f t="shared" si="22"/>
        <v>0</v>
      </c>
      <c r="E189" s="25">
        <f t="shared" si="24"/>
        <v>0</v>
      </c>
      <c r="F189" s="143"/>
      <c r="H189" s="35" t="str">
        <f t="shared" si="25"/>
        <v>Assurance véhicule</v>
      </c>
      <c r="I189" s="35">
        <f t="shared" si="23"/>
        <v>0</v>
      </c>
      <c r="J189" s="25">
        <f t="shared" si="26"/>
        <v>0</v>
      </c>
      <c r="K189" s="24"/>
    </row>
    <row r="190" spans="1:12" x14ac:dyDescent="0.25">
      <c r="C190" s="35">
        <f t="shared" si="22"/>
        <v>0</v>
      </c>
      <c r="D190" s="97">
        <f t="shared" si="22"/>
        <v>0</v>
      </c>
      <c r="E190" s="25">
        <f t="shared" si="24"/>
        <v>0</v>
      </c>
      <c r="F190" s="143"/>
      <c r="H190" s="35" t="str">
        <f t="shared" si="25"/>
        <v>Billag</v>
      </c>
      <c r="I190" s="35">
        <f t="shared" si="23"/>
        <v>0</v>
      </c>
      <c r="J190" s="25">
        <f t="shared" si="26"/>
        <v>180</v>
      </c>
      <c r="K190" s="24"/>
    </row>
    <row r="191" spans="1:12" x14ac:dyDescent="0.25">
      <c r="C191" s="35">
        <f t="shared" si="22"/>
        <v>0</v>
      </c>
      <c r="D191" s="97">
        <f t="shared" si="22"/>
        <v>0</v>
      </c>
      <c r="E191" s="25">
        <f t="shared" si="24"/>
        <v>0</v>
      </c>
      <c r="F191" s="143"/>
      <c r="H191" s="35" t="str">
        <f t="shared" si="25"/>
        <v>kk</v>
      </c>
      <c r="I191" s="35">
        <f t="shared" si="23"/>
        <v>0</v>
      </c>
      <c r="J191" s="25">
        <f t="shared" si="26"/>
        <v>0</v>
      </c>
      <c r="K191" s="24"/>
    </row>
    <row r="192" spans="1:12" x14ac:dyDescent="0.25">
      <c r="C192" s="35" t="str">
        <f t="shared" si="22"/>
        <v>tutu</v>
      </c>
      <c r="D192" s="97">
        <f t="shared" si="22"/>
        <v>0</v>
      </c>
      <c r="E192" s="25">
        <f t="shared" si="24"/>
        <v>144</v>
      </c>
      <c r="F192" s="143"/>
      <c r="H192" s="35">
        <f t="shared" si="25"/>
        <v>0</v>
      </c>
      <c r="I192" s="35">
        <f t="shared" si="23"/>
        <v>0</v>
      </c>
      <c r="J192" s="25">
        <f t="shared" si="26"/>
        <v>0</v>
      </c>
      <c r="K192" s="24"/>
    </row>
    <row r="193" spans="3:11" x14ac:dyDescent="0.25">
      <c r="C193" s="35">
        <f t="shared" si="22"/>
        <v>0</v>
      </c>
      <c r="D193" s="97">
        <f t="shared" si="22"/>
        <v>0</v>
      </c>
      <c r="E193" s="25">
        <f t="shared" si="24"/>
        <v>0</v>
      </c>
      <c r="F193" s="143"/>
      <c r="H193" s="35">
        <f t="shared" si="25"/>
        <v>0</v>
      </c>
      <c r="I193" s="35">
        <f t="shared" si="23"/>
        <v>0</v>
      </c>
      <c r="J193" s="25">
        <f t="shared" si="26"/>
        <v>0</v>
      </c>
      <c r="K193" s="24"/>
    </row>
    <row r="194" spans="3:11" x14ac:dyDescent="0.25">
      <c r="C194" s="35">
        <f t="shared" si="22"/>
        <v>0</v>
      </c>
      <c r="D194" s="97">
        <f t="shared" si="22"/>
        <v>0</v>
      </c>
      <c r="E194" s="25">
        <f t="shared" si="24"/>
        <v>0</v>
      </c>
      <c r="F194" s="143"/>
      <c r="H194" s="35">
        <f t="shared" si="25"/>
        <v>0</v>
      </c>
      <c r="I194" s="35">
        <f t="shared" si="23"/>
        <v>0</v>
      </c>
      <c r="J194" s="25">
        <f t="shared" si="26"/>
        <v>0</v>
      </c>
      <c r="K194" s="24"/>
    </row>
    <row r="195" spans="3:11" x14ac:dyDescent="0.25">
      <c r="C195" s="35">
        <f t="shared" si="22"/>
        <v>0</v>
      </c>
      <c r="D195" s="97">
        <f t="shared" si="22"/>
        <v>0</v>
      </c>
      <c r="E195" s="25">
        <f t="shared" si="24"/>
        <v>0</v>
      </c>
      <c r="F195" s="143"/>
      <c r="H195" s="35">
        <f t="shared" si="25"/>
        <v>0</v>
      </c>
      <c r="I195" s="35">
        <f t="shared" si="23"/>
        <v>0</v>
      </c>
      <c r="J195" s="25">
        <f t="shared" si="26"/>
        <v>0</v>
      </c>
      <c r="K195" s="24"/>
    </row>
    <row r="196" spans="3:11" x14ac:dyDescent="0.25">
      <c r="C196" s="35">
        <f t="shared" si="22"/>
        <v>0</v>
      </c>
      <c r="D196" s="97">
        <f t="shared" si="22"/>
        <v>0</v>
      </c>
      <c r="E196" s="25">
        <f t="shared" si="24"/>
        <v>0</v>
      </c>
      <c r="F196" s="143"/>
      <c r="H196" s="35">
        <f t="shared" si="25"/>
        <v>0</v>
      </c>
      <c r="I196" s="35">
        <f t="shared" si="23"/>
        <v>0</v>
      </c>
      <c r="J196" s="25">
        <f t="shared" si="26"/>
        <v>0</v>
      </c>
      <c r="K196" s="24"/>
    </row>
    <row r="197" spans="3:11" x14ac:dyDescent="0.25">
      <c r="C197" s="35">
        <f t="shared" si="22"/>
        <v>0</v>
      </c>
      <c r="D197" s="97">
        <f t="shared" si="22"/>
        <v>0</v>
      </c>
      <c r="E197" s="25">
        <f t="shared" si="24"/>
        <v>0</v>
      </c>
      <c r="F197" s="143"/>
      <c r="H197" s="35">
        <f t="shared" si="25"/>
        <v>0</v>
      </c>
      <c r="I197" s="35">
        <f t="shared" si="23"/>
        <v>0</v>
      </c>
      <c r="J197" s="25">
        <f t="shared" si="26"/>
        <v>0</v>
      </c>
      <c r="K197" s="24"/>
    </row>
    <row r="198" spans="3:11" x14ac:dyDescent="0.25">
      <c r="C198" s="35">
        <f t="shared" si="22"/>
        <v>0</v>
      </c>
      <c r="D198" s="97">
        <f t="shared" si="22"/>
        <v>0</v>
      </c>
      <c r="E198" s="25">
        <f t="shared" si="24"/>
        <v>0</v>
      </c>
      <c r="F198" s="143"/>
      <c r="H198" s="35">
        <f t="shared" si="25"/>
        <v>0</v>
      </c>
      <c r="I198" s="35">
        <f t="shared" si="23"/>
        <v>0</v>
      </c>
      <c r="J198" s="25">
        <f t="shared" si="26"/>
        <v>0</v>
      </c>
      <c r="K198" s="24"/>
    </row>
    <row r="199" spans="3:11" x14ac:dyDescent="0.25">
      <c r="C199" s="35"/>
      <c r="D199" s="140">
        <f>D184</f>
        <v>0</v>
      </c>
      <c r="E199" s="25">
        <f t="shared" si="24"/>
        <v>0</v>
      </c>
      <c r="F199" s="143"/>
      <c r="H199" s="35">
        <f t="shared" si="25"/>
        <v>0</v>
      </c>
      <c r="I199" s="35">
        <f t="shared" si="23"/>
        <v>0</v>
      </c>
      <c r="J199" s="25">
        <f t="shared" si="26"/>
        <v>0</v>
      </c>
      <c r="K199" s="24"/>
    </row>
    <row r="200" spans="3:11" ht="15.75" thickBot="1" x14ac:dyDescent="0.3">
      <c r="C200" s="192" t="s">
        <v>254</v>
      </c>
      <c r="D200" s="192"/>
      <c r="E200" s="186">
        <f>SUM(E186:E199)</f>
        <v>2109.6</v>
      </c>
      <c r="H200" s="192" t="s">
        <v>250</v>
      </c>
      <c r="I200" s="192"/>
      <c r="J200" s="186">
        <f>SUM(J186:J199)</f>
        <v>660</v>
      </c>
      <c r="K200" s="24"/>
    </row>
    <row r="201" spans="3:11" ht="15.75" thickTop="1" x14ac:dyDescent="0.25"/>
  </sheetData>
  <mergeCells count="12">
    <mergeCell ref="B153:B166"/>
    <mergeCell ref="B168:B181"/>
    <mergeCell ref="B48:B61"/>
    <mergeCell ref="B63:B76"/>
    <mergeCell ref="B78:B91"/>
    <mergeCell ref="B93:B106"/>
    <mergeCell ref="B108:B121"/>
    <mergeCell ref="B3:B16"/>
    <mergeCell ref="B18:B31"/>
    <mergeCell ref="B33:B46"/>
    <mergeCell ref="B123:B136"/>
    <mergeCell ref="B138:B151"/>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E16" sqref="E16"/>
    </sheetView>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K19" sqref="K1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6</vt:i4>
      </vt:variant>
    </vt:vector>
  </HeadingPairs>
  <TitlesOfParts>
    <vt:vector size="19" baseType="lpstr">
      <vt:lpstr>Guide utilisateur</vt:lpstr>
      <vt:lpstr>BU-janv</vt:lpstr>
      <vt:lpstr>BU-fév</vt:lpstr>
      <vt:lpstr>BU-mars</vt:lpstr>
      <vt:lpstr>Les normes-données de base</vt:lpstr>
      <vt:lpstr>Frais de transport</vt:lpstr>
      <vt:lpstr>Ressources</vt:lpstr>
      <vt:lpstr>Supplément</vt:lpstr>
      <vt:lpstr>Frais de logement</vt:lpstr>
      <vt:lpstr>Caisse maladie</vt:lpstr>
      <vt:lpstr>Paiements échelonnés</vt:lpstr>
      <vt:lpstr>PDF Pièces-janv.</vt:lpstr>
      <vt:lpstr>Récap annuelle</vt:lpstr>
      <vt:lpstr>bdlibel</vt:lpstr>
      <vt:lpstr>bdlibel1</vt:lpstr>
      <vt:lpstr>bdlibel3</vt:lpstr>
      <vt:lpstr>bdlibel4</vt:lpstr>
      <vt:lpstr>'BU-janv'!IMBU</vt:lpstr>
      <vt:lpstr>'BU-janv'!Zone_d_impression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Villet</dc:creator>
  <cp:lastModifiedBy>Nicole Villet</cp:lastModifiedBy>
  <cp:lastPrinted>2014-12-14T19:59:46Z</cp:lastPrinted>
  <dcterms:created xsi:type="dcterms:W3CDTF">2014-11-23T16:17:06Z</dcterms:created>
  <dcterms:modified xsi:type="dcterms:W3CDTF">2014-12-14T21:22:05Z</dcterms:modified>
</cp:coreProperties>
</file>