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/>
  <bookViews>
    <workbookView xWindow="0" yWindow="0" windowWidth="24240" windowHeight="13740" tabRatio="773"/>
  </bookViews>
  <sheets>
    <sheet name="Janvier" sheetId="40" r:id="rId1"/>
    <sheet name="Stats année" sheetId="54" r:id="rId2"/>
    <sheet name="Réglages" sheetId="13" r:id="rId3"/>
    <sheet name="Aide et remerciements" sheetId="53" r:id="rId4"/>
  </sheets>
  <definedNames>
    <definedName name="An">Réglages!$J$23</definedName>
    <definedName name="Fériés">Réglages!$N$2:$N$14</definedName>
    <definedName name="Paques">Réglages!$N$3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" i="4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P39"/>
  <c r="Q39"/>
  <c r="R39"/>
  <c r="S40"/>
  <c r="T40"/>
  <c r="U40"/>
  <c r="P38"/>
  <c r="Q38"/>
  <c r="R38"/>
  <c r="S39"/>
  <c r="T39"/>
  <c r="U39"/>
  <c r="P37"/>
  <c r="Q37"/>
  <c r="R37"/>
  <c r="S38"/>
  <c r="T38"/>
  <c r="U38"/>
  <c r="P36"/>
  <c r="Q36"/>
  <c r="R36"/>
  <c r="S37"/>
  <c r="T37"/>
  <c r="U37"/>
  <c r="P35"/>
  <c r="Q35"/>
  <c r="R35"/>
  <c r="S36"/>
  <c r="T36"/>
  <c r="U36"/>
  <c r="P34"/>
  <c r="Q34"/>
  <c r="R34"/>
  <c r="S35"/>
  <c r="T35"/>
  <c r="U35"/>
  <c r="P33"/>
  <c r="Q33"/>
  <c r="R33"/>
  <c r="S34"/>
  <c r="T34"/>
  <c r="U34"/>
  <c r="P32"/>
  <c r="Q32"/>
  <c r="R32"/>
  <c r="S33"/>
  <c r="T33"/>
  <c r="U33"/>
  <c r="P31"/>
  <c r="Q31"/>
  <c r="R31"/>
  <c r="S32"/>
  <c r="T32"/>
  <c r="U32"/>
  <c r="P30"/>
  <c r="Q30"/>
  <c r="R30"/>
  <c r="S31"/>
  <c r="T31"/>
  <c r="U31"/>
  <c r="P29"/>
  <c r="Q29"/>
  <c r="R29"/>
  <c r="S30"/>
  <c r="T30"/>
  <c r="U30"/>
  <c r="P28"/>
  <c r="Q28"/>
  <c r="R28"/>
  <c r="S29"/>
  <c r="T29"/>
  <c r="U29"/>
  <c r="P27"/>
  <c r="Q27"/>
  <c r="R27"/>
  <c r="S28"/>
  <c r="T28"/>
  <c r="U28"/>
  <c r="P26"/>
  <c r="Q26"/>
  <c r="R26"/>
  <c r="S27"/>
  <c r="T27"/>
  <c r="U27"/>
  <c r="P25"/>
  <c r="Q25"/>
  <c r="R25"/>
  <c r="S26"/>
  <c r="T26"/>
  <c r="U26"/>
  <c r="P24"/>
  <c r="Q24"/>
  <c r="R24"/>
  <c r="S25"/>
  <c r="T25"/>
  <c r="U25"/>
  <c r="P23"/>
  <c r="Q23"/>
  <c r="R23"/>
  <c r="S24"/>
  <c r="T24"/>
  <c r="U24"/>
  <c r="P22"/>
  <c r="Q22"/>
  <c r="R22"/>
  <c r="S23"/>
  <c r="T23"/>
  <c r="U23"/>
  <c r="P21"/>
  <c r="Q21"/>
  <c r="R21"/>
  <c r="S22"/>
  <c r="T22"/>
  <c r="U22"/>
  <c r="P20"/>
  <c r="Q20"/>
  <c r="R20"/>
  <c r="S21"/>
  <c r="T21"/>
  <c r="U21"/>
  <c r="P19"/>
  <c r="Q19"/>
  <c r="R19"/>
  <c r="S20"/>
  <c r="T20"/>
  <c r="U20"/>
  <c r="P18"/>
  <c r="Q18"/>
  <c r="R18"/>
  <c r="S19"/>
  <c r="T19"/>
  <c r="U19"/>
  <c r="P17"/>
  <c r="Q17"/>
  <c r="R17"/>
  <c r="S18"/>
  <c r="T18"/>
  <c r="U18"/>
  <c r="P16"/>
  <c r="Q16"/>
  <c r="R16"/>
  <c r="S17"/>
  <c r="T17"/>
  <c r="U17"/>
  <c r="P15"/>
  <c r="Q15"/>
  <c r="R15"/>
  <c r="S16"/>
  <c r="T16"/>
  <c r="U16"/>
  <c r="P14"/>
  <c r="Q14"/>
  <c r="R14"/>
  <c r="S15"/>
  <c r="T15"/>
  <c r="U15"/>
  <c r="P13"/>
  <c r="Q13"/>
  <c r="R13"/>
  <c r="S14"/>
  <c r="T14"/>
  <c r="U14"/>
  <c r="P12"/>
  <c r="Q12"/>
  <c r="R12"/>
  <c r="S13"/>
  <c r="T13"/>
  <c r="U13"/>
  <c r="P11"/>
  <c r="Q11"/>
  <c r="R11"/>
  <c r="S12"/>
  <c r="T12"/>
  <c r="U12"/>
  <c r="I10"/>
  <c r="P10"/>
  <c r="Q10"/>
  <c r="R10"/>
  <c r="S11"/>
  <c r="T11"/>
  <c r="U11"/>
  <c r="S41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D40"/>
  <c r="P40"/>
  <c r="Q40"/>
  <c r="Q9"/>
  <c r="Q8"/>
  <c r="R9"/>
  <c r="R8"/>
  <c r="S9"/>
  <c r="S8"/>
  <c r="T9"/>
  <c r="T8"/>
  <c r="U8"/>
  <c r="R40"/>
  <c r="AB27"/>
  <c r="N2" i="13"/>
  <c r="N3"/>
  <c r="N4"/>
  <c r="N5"/>
  <c r="N6"/>
  <c r="N7"/>
  <c r="N8"/>
  <c r="N9"/>
  <c r="N10"/>
  <c r="N11"/>
  <c r="N12"/>
  <c r="N13"/>
  <c r="N14"/>
  <c r="C27" i="40"/>
  <c r="V27"/>
  <c r="AB28"/>
  <c r="C28"/>
  <c r="V28"/>
  <c r="AB29"/>
  <c r="C29"/>
  <c r="V29"/>
  <c r="AB30"/>
  <c r="C30"/>
  <c r="V30"/>
  <c r="AB32"/>
  <c r="C32"/>
  <c r="V32"/>
  <c r="AB33"/>
  <c r="C33"/>
  <c r="V33"/>
  <c r="AB34"/>
  <c r="C34"/>
  <c r="V34"/>
  <c r="AB35"/>
  <c r="C35"/>
  <c r="V35"/>
  <c r="AB17"/>
  <c r="C17"/>
  <c r="V17"/>
  <c r="AB10"/>
  <c r="C10"/>
  <c r="V10"/>
  <c r="AB11"/>
  <c r="C11"/>
  <c r="V11"/>
  <c r="AB13"/>
  <c r="C13"/>
  <c r="V13"/>
  <c r="AB14"/>
  <c r="C14"/>
  <c r="V14"/>
  <c r="C12"/>
  <c r="AB12"/>
  <c r="V12"/>
  <c r="C15"/>
  <c r="AB15"/>
  <c r="V15"/>
  <c r="C16"/>
  <c r="AB16"/>
  <c r="V16"/>
  <c r="C18"/>
  <c r="AB18"/>
  <c r="V18"/>
  <c r="C19"/>
  <c r="AB19"/>
  <c r="V19"/>
  <c r="C20"/>
  <c r="AB20"/>
  <c r="V20"/>
  <c r="C21"/>
  <c r="AB21"/>
  <c r="V21"/>
  <c r="C22"/>
  <c r="AB22"/>
  <c r="V22"/>
  <c r="C23"/>
  <c r="AB23"/>
  <c r="V23"/>
  <c r="C24"/>
  <c r="AB24"/>
  <c r="V24"/>
  <c r="C25"/>
  <c r="AB25"/>
  <c r="V25"/>
  <c r="C26"/>
  <c r="AB26"/>
  <c r="V26"/>
  <c r="C31"/>
  <c r="AB31"/>
  <c r="V31"/>
  <c r="C36"/>
  <c r="AB36"/>
  <c r="V36"/>
  <c r="C37"/>
  <c r="AB37"/>
  <c r="V37"/>
  <c r="C38"/>
  <c r="AB38"/>
  <c r="V38"/>
  <c r="C39"/>
  <c r="AB39"/>
  <c r="V39"/>
  <c r="C40"/>
  <c r="AB40"/>
  <c r="V40"/>
  <c r="V7"/>
  <c r="AI5"/>
  <c r="AC27"/>
  <c r="W27"/>
  <c r="AC28"/>
  <c r="W28"/>
  <c r="AC29"/>
  <c r="W29"/>
  <c r="AC30"/>
  <c r="W30"/>
  <c r="AC32"/>
  <c r="W32"/>
  <c r="AC33"/>
  <c r="W33"/>
  <c r="AC34"/>
  <c r="W34"/>
  <c r="AC35"/>
  <c r="W35"/>
  <c r="AC17"/>
  <c r="W17"/>
  <c r="AC10"/>
  <c r="W10"/>
  <c r="AC11"/>
  <c r="W11"/>
  <c r="AC13"/>
  <c r="W13"/>
  <c r="AC14"/>
  <c r="W14"/>
  <c r="AC12"/>
  <c r="W12"/>
  <c r="AC15"/>
  <c r="W15"/>
  <c r="AC16"/>
  <c r="W16"/>
  <c r="AC18"/>
  <c r="W18"/>
  <c r="AC19"/>
  <c r="W19"/>
  <c r="AC20"/>
  <c r="W20"/>
  <c r="AC21"/>
  <c r="W21"/>
  <c r="AC22"/>
  <c r="W22"/>
  <c r="AC23"/>
  <c r="W23"/>
  <c r="AC24"/>
  <c r="W24"/>
  <c r="AC25"/>
  <c r="W25"/>
  <c r="AC26"/>
  <c r="W26"/>
  <c r="AC31"/>
  <c r="W31"/>
  <c r="AC36"/>
  <c r="W36"/>
  <c r="AC37"/>
  <c r="W37"/>
  <c r="AC38"/>
  <c r="W38"/>
  <c r="AC39"/>
  <c r="W39"/>
  <c r="AC40"/>
  <c r="W40"/>
  <c r="W7"/>
  <c r="AI6"/>
  <c r="X7"/>
  <c r="AI7"/>
  <c r="Y7"/>
  <c r="AI8"/>
  <c r="Z27"/>
  <c r="Z28"/>
  <c r="Z29"/>
  <c r="Z30"/>
  <c r="Z32"/>
  <c r="Z33"/>
  <c r="Z34"/>
  <c r="Z35"/>
  <c r="Z17"/>
  <c r="Z10"/>
  <c r="Z11"/>
  <c r="Z13"/>
  <c r="Z14"/>
  <c r="Z12"/>
  <c r="Z15"/>
  <c r="Z16"/>
  <c r="Z18"/>
  <c r="Z19"/>
  <c r="Z20"/>
  <c r="Z21"/>
  <c r="Z22"/>
  <c r="Z23"/>
  <c r="Z24"/>
  <c r="Z25"/>
  <c r="Z26"/>
  <c r="Z31"/>
  <c r="Z36"/>
  <c r="Z37"/>
  <c r="Z38"/>
  <c r="Z39"/>
  <c r="Z40"/>
  <c r="Z7"/>
  <c r="AA27"/>
  <c r="AA28"/>
  <c r="AA29"/>
  <c r="AA30"/>
  <c r="AA32"/>
  <c r="AA33"/>
  <c r="AA34"/>
  <c r="AA35"/>
  <c r="AA17"/>
  <c r="AA10"/>
  <c r="AA11"/>
  <c r="AA13"/>
  <c r="AA14"/>
  <c r="AA12"/>
  <c r="AA15"/>
  <c r="AA16"/>
  <c r="AA18"/>
  <c r="AA19"/>
  <c r="AA20"/>
  <c r="AA21"/>
  <c r="AA22"/>
  <c r="AA23"/>
  <c r="AA24"/>
  <c r="AA25"/>
  <c r="AA26"/>
  <c r="AA31"/>
  <c r="AA36"/>
  <c r="AA37"/>
  <c r="AA38"/>
  <c r="AA39"/>
  <c r="AA40"/>
  <c r="AA7"/>
  <c r="Z5"/>
  <c r="AI9"/>
  <c r="AI10"/>
  <c r="N13"/>
  <c r="N10"/>
  <c r="N11"/>
  <c r="N12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I41"/>
  <c r="L16"/>
  <c r="L17"/>
  <c r="L18"/>
  <c r="L19"/>
  <c r="L20"/>
  <c r="L21"/>
  <c r="L10"/>
  <c r="L11"/>
  <c r="L12"/>
  <c r="L13"/>
  <c r="L14"/>
  <c r="L15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AI16"/>
  <c r="L9"/>
  <c r="AJ22"/>
  <c r="AJ23"/>
  <c r="AJ24"/>
  <c r="S15" i="13"/>
  <c r="V23"/>
  <c r="V22"/>
  <c r="V21"/>
  <c r="V20"/>
  <c r="E3" i="40"/>
  <c r="AH24"/>
  <c r="AH23"/>
  <c r="AH22"/>
  <c r="AH21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AF38"/>
  <c r="J21" i="54"/>
  <c r="L21"/>
  <c r="AF36" i="40"/>
  <c r="J20" i="54"/>
  <c r="L20"/>
  <c r="AF10" i="40"/>
  <c r="J9" i="54"/>
  <c r="AF12" i="40"/>
  <c r="J10" i="54"/>
  <c r="L10"/>
  <c r="L9"/>
  <c r="L22"/>
  <c r="G42"/>
  <c r="G40"/>
  <c r="AF34" i="40"/>
  <c r="G38" i="54"/>
  <c r="AF32" i="40"/>
  <c r="G36" i="54"/>
  <c r="AF30" i="40"/>
  <c r="G34" i="54"/>
  <c r="G16"/>
  <c r="G14"/>
  <c r="AF6" i="40"/>
  <c r="G10" i="54"/>
  <c r="AF8" i="40"/>
  <c r="AF4"/>
  <c r="G8" i="54"/>
  <c r="AI17" i="40"/>
  <c r="AC41"/>
  <c r="AB41"/>
  <c r="X41"/>
  <c r="W41"/>
  <c r="V41"/>
  <c r="U41"/>
  <c r="T41"/>
  <c r="R41"/>
  <c r="Q41"/>
  <c r="P41"/>
  <c r="M41"/>
  <c r="K41"/>
  <c r="J41"/>
  <c r="H41"/>
  <c r="G41"/>
  <c r="F41"/>
  <c r="E41"/>
  <c r="D41"/>
  <c r="Y40"/>
  <c r="X40"/>
  <c r="Y39"/>
  <c r="X39"/>
  <c r="Y38"/>
  <c r="X38"/>
  <c r="Y37"/>
  <c r="X37"/>
  <c r="Y36"/>
  <c r="X36"/>
  <c r="Y35"/>
  <c r="X35"/>
  <c r="Y34"/>
  <c r="X34"/>
  <c r="Y33"/>
  <c r="X33"/>
  <c r="Y32"/>
  <c r="X32"/>
  <c r="Y31"/>
  <c r="X31"/>
  <c r="Y30"/>
  <c r="X30"/>
  <c r="Y29"/>
  <c r="X29"/>
  <c r="Y28"/>
  <c r="X28"/>
  <c r="Y27"/>
  <c r="X27"/>
  <c r="Z9"/>
  <c r="Y26"/>
  <c r="X26"/>
  <c r="Y25"/>
  <c r="X25"/>
  <c r="Y24"/>
  <c r="X24"/>
  <c r="Y23"/>
  <c r="X23"/>
  <c r="Y22"/>
  <c r="X22"/>
  <c r="Y21"/>
  <c r="X21"/>
  <c r="Y20"/>
  <c r="X20"/>
  <c r="Y19"/>
  <c r="X19"/>
  <c r="AK16"/>
  <c r="AK17"/>
  <c r="AK18"/>
  <c r="Y18"/>
  <c r="X18"/>
  <c r="Y17"/>
  <c r="X17"/>
  <c r="Y16"/>
  <c r="X16"/>
  <c r="Y15"/>
  <c r="X15"/>
  <c r="Y14"/>
  <c r="X14"/>
  <c r="Y13"/>
  <c r="X13"/>
  <c r="AK8"/>
  <c r="Y12"/>
  <c r="X12"/>
  <c r="Y11"/>
  <c r="X11"/>
  <c r="Y10"/>
  <c r="X10"/>
  <c r="AB9"/>
  <c r="X9"/>
  <c r="V9"/>
  <c r="M9"/>
  <c r="AC7"/>
  <c r="AB7"/>
  <c r="U7"/>
  <c r="T7"/>
  <c r="S7"/>
  <c r="R7"/>
  <c r="Q7"/>
  <c r="P7"/>
  <c r="D6"/>
  <c r="AB5"/>
  <c r="V5"/>
  <c r="M1" i="13"/>
  <c r="Y41" i="40"/>
  <c r="Z41"/>
  <c r="AA41"/>
  <c r="X5"/>
  <c r="AK6"/>
  <c r="AK7"/>
  <c r="AI11"/>
  <c r="AF14"/>
  <c r="AF16"/>
  <c r="G20" i="54"/>
  <c r="AF22" i="40"/>
  <c r="AF28"/>
  <c r="AF26"/>
  <c r="AF24"/>
  <c r="AK5"/>
  <c r="AK9"/>
  <c r="AK10"/>
  <c r="AK12"/>
  <c r="AF18"/>
  <c r="J11" i="54"/>
  <c r="L11"/>
  <c r="AF20" i="40"/>
  <c r="J12" i="54"/>
  <c r="L12"/>
  <c r="J13"/>
  <c r="L13"/>
  <c r="J14"/>
  <c r="L14"/>
  <c r="L16"/>
  <c r="G28"/>
  <c r="G30"/>
  <c r="G32"/>
  <c r="G26"/>
  <c r="G24"/>
  <c r="G22"/>
  <c r="G18"/>
  <c r="G12"/>
  <c r="J15"/>
  <c r="AJ21" i="40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V8" authorId="0">
      <text>
        <r>
          <rPr>
            <b/>
            <sz val="10"/>
            <color indexed="81"/>
            <rFont val="Calibri"/>
            <family val="2"/>
          </rPr>
          <t>Comprend aussi les jours fériés en semaine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X8" authorId="0">
      <text>
        <r>
          <rPr>
            <b/>
            <sz val="10"/>
            <color indexed="81"/>
            <rFont val="Calibri"/>
            <family val="2"/>
          </rPr>
          <t>Comprend aussi les dimanches fériés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AB8" authorId="0">
      <text>
        <r>
          <rPr>
            <b/>
            <sz val="10"/>
            <color indexed="81"/>
            <rFont val="Calibri"/>
            <family val="2"/>
          </rPr>
          <t>Comprend tous les jours travaillés y compris en jour fériés.</t>
        </r>
      </text>
    </comment>
  </commentList>
</comments>
</file>

<file path=xl/sharedStrings.xml><?xml version="1.0" encoding="utf-8"?>
<sst xmlns="http://schemas.openxmlformats.org/spreadsheetml/2006/main" count="205" uniqueCount="132">
  <si>
    <t>Commentaires</t>
  </si>
  <si>
    <t>Jours</t>
  </si>
  <si>
    <t>Total vacations</t>
  </si>
  <si>
    <t>Total jour(s) férié(s)</t>
  </si>
  <si>
    <t>Total dimanche(s)</t>
  </si>
  <si>
    <t>N°</t>
  </si>
  <si>
    <t>Formation</t>
  </si>
  <si>
    <t>Poste</t>
  </si>
  <si>
    <t>SSIAP 1</t>
  </si>
  <si>
    <t>SSIAP 2</t>
  </si>
  <si>
    <t>Acompte :</t>
  </si>
  <si>
    <t>Total</t>
  </si>
  <si>
    <t>Date</t>
  </si>
  <si>
    <t>Site</t>
  </si>
  <si>
    <t>Autre</t>
  </si>
  <si>
    <t>Fériés</t>
  </si>
  <si>
    <t>:: Calcul des montants NET ::</t>
  </si>
  <si>
    <t>:: Calcul des montants BRUTS ::</t>
  </si>
  <si>
    <t>Nuits</t>
  </si>
  <si>
    <t>Dimanche (20%)</t>
  </si>
  <si>
    <t>Dimanche (10%)</t>
  </si>
  <si>
    <t>Férié(s) (100%)</t>
  </si>
  <si>
    <t>Prime habillement</t>
  </si>
  <si>
    <t>Taux</t>
  </si>
  <si>
    <t>Repos compensateur (1%)</t>
  </si>
  <si>
    <t>Code</t>
  </si>
  <si>
    <t>Fonction</t>
  </si>
  <si>
    <t>Maitre chien</t>
  </si>
  <si>
    <t>Journée</t>
  </si>
  <si>
    <t>Soirée</t>
  </si>
  <si>
    <t>Nuit &amp; Matin</t>
  </si>
  <si>
    <t>Détails hrs de la vacation (jour même)</t>
  </si>
  <si>
    <t>Détails hrs de la vacation (lendemain)</t>
  </si>
  <si>
    <t>Hrs supp</t>
  </si>
  <si>
    <t>¾</t>
  </si>
  <si>
    <t>Début</t>
  </si>
  <si>
    <t>Fin</t>
  </si>
  <si>
    <t>Début nuit :</t>
  </si>
  <si>
    <t>Fin nuit :</t>
  </si>
  <si>
    <t>Total heures mois</t>
  </si>
  <si>
    <t>Semaine J</t>
  </si>
  <si>
    <t>Semaine N</t>
  </si>
  <si>
    <t>Férié(s) J</t>
  </si>
  <si>
    <t>Férié(s) N</t>
  </si>
  <si>
    <t>Total jour(s) semaine</t>
  </si>
  <si>
    <t>Supp J</t>
  </si>
  <si>
    <t>Supp N</t>
  </si>
  <si>
    <t>Paniers</t>
  </si>
  <si>
    <t>Chien</t>
  </si>
  <si>
    <t>Dim J</t>
  </si>
  <si>
    <t>Dim N</t>
  </si>
  <si>
    <t>Dimanche(s)</t>
  </si>
  <si>
    <t>Jour(s) férié(s)</t>
  </si>
  <si>
    <t>Semaine</t>
  </si>
  <si>
    <t>Mois entier</t>
  </si>
  <si>
    <t>Primes</t>
  </si>
  <si>
    <t>Site 1</t>
  </si>
  <si>
    <t>Site 2</t>
  </si>
  <si>
    <t>Site 3</t>
  </si>
  <si>
    <t>Site 4</t>
  </si>
  <si>
    <t>T</t>
  </si>
  <si>
    <t>Jours semaine travaillés</t>
  </si>
  <si>
    <t>Total hrs supp</t>
  </si>
  <si>
    <t>Total hrs supp jour</t>
  </si>
  <si>
    <t>Total hrs supp nuit</t>
  </si>
  <si>
    <t>Total paniers repas</t>
  </si>
  <si>
    <t>Total hrs chien</t>
  </si>
  <si>
    <t>Total hrs travaillées</t>
  </si>
  <si>
    <t>Total hrs férié(s)</t>
  </si>
  <si>
    <t>Total hrs férié(s) jour</t>
  </si>
  <si>
    <t>Total hrs férié(s) nuit</t>
  </si>
  <si>
    <t>Total hrs jour</t>
  </si>
  <si>
    <t>Total hrs nuit (10%)</t>
  </si>
  <si>
    <t>Total hrs dim/jour (10%)</t>
  </si>
  <si>
    <t>Total hrs dim/nuit (20%)</t>
  </si>
  <si>
    <t>Total hrs dim travaillés</t>
  </si>
  <si>
    <t>TOTAL :</t>
  </si>
  <si>
    <t>Prime chien</t>
  </si>
  <si>
    <t>Paniers repas</t>
  </si>
  <si>
    <t>CP</t>
  </si>
  <si>
    <t>Jour(s) férié(s) travaillé(s)</t>
  </si>
  <si>
    <t>Dimanche(s) travaillé(s)</t>
  </si>
  <si>
    <t>:: Date de validité ::</t>
  </si>
  <si>
    <t>Carte PRO CNAPS</t>
  </si>
  <si>
    <t>Horaires</t>
  </si>
  <si>
    <t>Inscrire l'année désirée :</t>
  </si>
  <si>
    <t>:: Statistiques complètes ::</t>
  </si>
  <si>
    <t>Prévu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</si>
  <si>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</si>
  <si>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</si>
  <si>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</si>
  <si>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</si>
  <si>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</si>
  <si>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</si>
  <si>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</si>
  <si>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</si>
  <si>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</si>
  <si>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</si>
  <si>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</si>
  <si>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</si>
  <si>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</si>
  <si>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An</t>
  </si>
  <si>
    <t>='Calendrier auto'!$AI$28</t>
  </si>
  <si>
    <t>=Data!$N$2:$N$14</t>
  </si>
  <si>
    <t>Paques</t>
  </si>
  <si>
    <t>=Data!$N$3</t>
  </si>
  <si>
    <t>zones nommées</t>
  </si>
  <si>
    <t>Pour information</t>
  </si>
  <si>
    <t>vacation</t>
  </si>
  <si>
    <t>:: A vos risques et périls ::</t>
  </si>
  <si>
    <t>:: Statistiques détaillées ::</t>
  </si>
  <si>
    <t>:: Statistiques sur l'année ::</t>
  </si>
  <si>
    <t>Carte SST</t>
  </si>
  <si>
    <t>HOBS-BE (Manœuvre)</t>
  </si>
  <si>
    <t>Création de Yann</t>
  </si>
  <si>
    <t>Dernière mise à jour :</t>
  </si>
  <si>
    <t>Décembre 2015</t>
  </si>
  <si>
    <t>Aujourd'hui, nous sommes le :</t>
  </si>
  <si>
    <t>SSIAP 3</t>
  </si>
  <si>
    <t>Jours restants</t>
  </si>
  <si>
    <t>Jours restants :</t>
  </si>
  <si>
    <t>CP = Congés payés</t>
  </si>
  <si>
    <t>Jours fériés</t>
  </si>
  <si>
    <t>Mot de passe pour les feuilles :</t>
  </si>
  <si>
    <t>Ne pas toucher</t>
  </si>
  <si>
    <t>ADS/APS</t>
  </si>
  <si>
    <t>Contact : infoyann@gmail.com</t>
  </si>
  <si>
    <t>Total hrs dimanches</t>
  </si>
  <si>
    <t>Total hrs semaine</t>
  </si>
  <si>
    <t>Total hrs fériés</t>
  </si>
  <si>
    <t>Pour obtenir de l'aide sur l'utilisation de ce planning, veuillez regarder cette vidéo :</t>
  </si>
  <si>
    <r>
      <rPr>
        <b/>
        <sz val="14"/>
        <color theme="1"/>
        <rFont val="Calibri (Corps)"/>
      </rPr>
      <t xml:space="preserve">
:: Remerciements ::</t>
    </r>
    <r>
      <rPr>
        <sz val="11"/>
        <color theme="0"/>
        <rFont val="Calibri"/>
        <family val="2"/>
        <scheme val="minor"/>
      </rPr>
      <t xml:space="preserve">
</t>
    </r>
    <r>
      <rPr>
        <b/>
        <sz val="12"/>
        <color rgb="FF008000"/>
        <rFont val="Calibri (Corps)"/>
      </rPr>
      <t>Forum excel-pratique.com</t>
    </r>
    <r>
      <rPr>
        <b/>
        <sz val="11"/>
        <color theme="0"/>
        <rFont val="Calibri"/>
        <family val="2"/>
        <scheme val="minor"/>
      </rPr>
      <t xml:space="preserve">
</t>
    </r>
    <r>
      <rPr>
        <b/>
        <sz val="12"/>
        <color theme="1" tint="0.249977111117893"/>
        <rFont val="Calibri"/>
        <family val="2"/>
        <scheme val="minor"/>
      </rPr>
      <t>Et en particulier aux membres : 
Banzai64, DjiDji59430, patrick1957, LouReeD, Jean-Eric, R@chid et Raja.
Et merci aussi à TONY34200 du forum excel-downloads.com  pour son ébauche de planning sur lequel j'ai pu prendre pas mal d'idées.</t>
    </r>
    <r>
      <rPr>
        <b/>
        <sz val="12"/>
        <color theme="0"/>
        <rFont val="Calibri"/>
        <family val="2"/>
        <scheme val="minor"/>
      </rPr>
      <t xml:space="preserve">
</t>
    </r>
    <r>
      <rPr>
        <b/>
        <sz val="12"/>
        <color rgb="FF7030A0"/>
        <rFont val="Calibri (Corps)"/>
      </rPr>
      <t xml:space="preserve">Ce planning ne serait pas aussi complet sans leurs aides </t>
    </r>
    <r>
      <rPr>
        <sz val="12"/>
        <color rgb="FF7030A0"/>
        <rFont val="Calibri (Corps)"/>
      </rPr>
      <t>!</t>
    </r>
    <r>
      <rPr>
        <sz val="11"/>
        <color theme="0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</si>
</sst>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>
  <numFmts count="1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\,\ mmmm\ dd\,\ yyyy"/>
    <numFmt numFmtId="165" formatCode="#,##0\ &quot;€&quot;;[Red]#,##0\ &quot;€&quot;"/>
    <numFmt numFmtId="166" formatCode="[$-40C]General"/>
    <numFmt numFmtId="167" formatCode="[h]:mm"/>
    <numFmt numFmtId="168" formatCode="[hh]:mm;;"/>
    <numFmt numFmtId="169" formatCode="[hh]:mm"/>
    <numFmt numFmtId="170" formatCode="hh:mm;;"/>
    <numFmt numFmtId="171" formatCode="h:mm;@"/>
    <numFmt numFmtId="172" formatCode="dddd\ dd\ mmmm\ yyyy"/>
    <numFmt numFmtId="173" formatCode="dd\ mmmm\ yyyy"/>
    <numFmt numFmtId="174" formatCode="0;[Red]0"/>
    <numFmt numFmtId="175" formatCode="[h]:mm;;"/>
  </numFmts>
  <fonts count="85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2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20"/>
      <color theme="0"/>
      <name val="Arial"/>
      <family val="2"/>
    </font>
    <font>
      <sz val="10"/>
      <name val="Arial"/>
      <family val="2"/>
    </font>
    <font>
      <sz val="10"/>
      <color theme="1"/>
      <name val="Arial1"/>
    </font>
    <font>
      <b/>
      <sz val="10"/>
      <name val="Arial"/>
      <family val="2"/>
    </font>
    <font>
      <b/>
      <sz val="11"/>
      <color theme="9"/>
      <name val="Calibri"/>
      <family val="2"/>
      <scheme val="minor"/>
    </font>
    <font>
      <b/>
      <sz val="14"/>
      <color theme="0"/>
      <name val="Arial"/>
      <family val="2"/>
    </font>
    <font>
      <sz val="9"/>
      <color theme="0"/>
      <name val="Arial"/>
      <family val="2"/>
    </font>
    <font>
      <b/>
      <sz val="12"/>
      <color theme="0"/>
      <name val="Calibri"/>
      <family val="2"/>
      <scheme val="minor"/>
    </font>
    <font>
      <sz val="12"/>
      <color rgb="FF9C6500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Georgia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u/>
      <sz val="18"/>
      <color theme="0"/>
      <name val="Georgia"/>
      <family val="1"/>
    </font>
    <font>
      <sz val="16"/>
      <color rgb="FF000000"/>
      <name val="Wingdings"/>
      <charset val="2"/>
    </font>
    <font>
      <sz val="16"/>
      <color theme="0"/>
      <name val="Wingdings"/>
      <charset val="2"/>
    </font>
    <font>
      <sz val="10"/>
      <color theme="0" tint="-4.9989318521683403E-2"/>
      <name val="Arial"/>
      <family val="2"/>
    </font>
    <font>
      <b/>
      <u/>
      <sz val="14"/>
      <color theme="0"/>
      <name val="Georgia"/>
      <family val="1"/>
    </font>
    <font>
      <sz val="14"/>
      <color theme="9"/>
      <name val="Calibri"/>
      <family val="2"/>
      <scheme val="minor"/>
    </font>
    <font>
      <b/>
      <sz val="16"/>
      <color rgb="FFFFFF00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rgb="FF99E352"/>
      <name val="Calibri"/>
      <family val="2"/>
      <scheme val="minor"/>
    </font>
    <font>
      <sz val="10"/>
      <color indexed="81"/>
      <name val="Calibri"/>
      <family val="2"/>
    </font>
    <font>
      <b/>
      <sz val="10"/>
      <color indexed="81"/>
      <name val="Calibri"/>
      <family val="2"/>
    </font>
    <font>
      <b/>
      <sz val="11"/>
      <color rgb="FF000000"/>
      <name val="Arial"/>
      <family val="2"/>
    </font>
    <font>
      <b/>
      <sz val="11"/>
      <color rgb="FFFFFFFF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12"/>
      <color theme="0"/>
      <name val="Arial"/>
      <family val="2"/>
    </font>
    <font>
      <b/>
      <sz val="11"/>
      <color rgb="FFFF0000"/>
      <name val="Arial"/>
      <family val="2"/>
    </font>
    <font>
      <b/>
      <sz val="12"/>
      <color rgb="FF00B050"/>
      <name val="Calibri"/>
      <family val="2"/>
      <scheme val="minor"/>
    </font>
    <font>
      <sz val="10"/>
      <color theme="0"/>
      <name val="Arial"/>
      <family val="2"/>
    </font>
    <font>
      <sz val="12"/>
      <color theme="0"/>
      <name val="Georgia"/>
      <family val="1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9"/>
      <name val="Calibri"/>
      <family val="2"/>
      <scheme val="minor"/>
    </font>
    <font>
      <b/>
      <sz val="11"/>
      <color theme="2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rgb="FF92D050"/>
      <name val="Arial"/>
      <family val="2"/>
    </font>
    <font>
      <b/>
      <sz val="12"/>
      <color rgb="FF92D050"/>
      <name val="Calibri"/>
      <family val="2"/>
      <scheme val="minor"/>
    </font>
    <font>
      <b/>
      <sz val="12"/>
      <color rgb="FF92D050"/>
      <name val="Calibri"/>
      <family val="2"/>
    </font>
    <font>
      <b/>
      <sz val="11"/>
      <color rgb="FF92D05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6"/>
      <color theme="1" tint="0.249977111117893"/>
      <name val="Calibri"/>
      <family val="2"/>
      <scheme val="minor"/>
    </font>
    <font>
      <b/>
      <sz val="11"/>
      <color theme="4" tint="-0.249977111117893"/>
      <name val="Arial"/>
      <family val="2"/>
    </font>
    <font>
      <sz val="12"/>
      <color rgb="FFFFFF00"/>
      <name val="Calibri"/>
      <family val="2"/>
      <scheme val="minor"/>
    </font>
    <font>
      <b/>
      <sz val="14"/>
      <color theme="1"/>
      <name val="Calibri (Corps)"/>
    </font>
    <font>
      <b/>
      <sz val="12"/>
      <color rgb="FF7030A0"/>
      <name val="Calibri (Corps)"/>
    </font>
    <font>
      <sz val="12"/>
      <color rgb="FF7030A0"/>
      <name val="Calibri (Corps)"/>
    </font>
    <font>
      <b/>
      <sz val="11"/>
      <color rgb="FFFF0000"/>
      <name val="Calibri"/>
      <family val="2"/>
      <scheme val="minor"/>
    </font>
    <font>
      <b/>
      <sz val="11"/>
      <color theme="1" tint="0.14999847407452621"/>
      <name val="Arial"/>
      <family val="2"/>
    </font>
    <font>
      <sz val="24"/>
      <color theme="0"/>
      <name val="Chalkduster"/>
    </font>
    <font>
      <sz val="8"/>
      <name val="Calibri"/>
      <family val="2"/>
      <scheme val="minor"/>
    </font>
    <font>
      <b/>
      <sz val="12"/>
      <color rgb="FFFFFFFF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3"/>
      <color theme="0"/>
      <name val="Calibri"/>
      <family val="2"/>
      <scheme val="minor"/>
    </font>
    <font>
      <sz val="11"/>
      <color rgb="FFFFFFFF"/>
      <name val="Calibri"/>
      <family val="2"/>
      <scheme val="minor"/>
    </font>
    <font>
      <sz val="18"/>
      <color rgb="FF92D050"/>
      <name val="Monaco"/>
    </font>
    <font>
      <b/>
      <sz val="11"/>
      <color theme="0" tint="-0.249977111117893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sz val="11"/>
      <color rgb="FFF79646"/>
      <name val="Calibri"/>
      <family val="2"/>
      <scheme val="minor"/>
    </font>
    <font>
      <b/>
      <sz val="12"/>
      <color theme="0" tint="-0.34998626667073579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2"/>
      <color rgb="FF008000"/>
      <name val="Calibri (Corps)"/>
    </font>
    <font>
      <b/>
      <sz val="11"/>
      <color rgb="FF008000"/>
      <name val="Arial"/>
      <family val="2"/>
    </font>
    <font>
      <b/>
      <sz val="12"/>
      <color rgb="FF008000"/>
      <name val="Calibri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7E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7030A0"/>
        <bgColor indexed="64"/>
      </patternFill>
    </fill>
    <fill>
      <patternFill patternType="solid">
        <fgColor rgb="FFD2FDCC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249977111117893"/>
        <bgColor rgb="FF000000"/>
      </patternFill>
    </fill>
    <fill>
      <patternFill patternType="solid">
        <fgColor theme="6"/>
        <bgColor indexed="64"/>
      </patternFill>
    </fill>
    <fill>
      <patternFill patternType="solid">
        <fgColor theme="6"/>
        <bgColor rgb="FF000000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34998626667073579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rgb="FF000000"/>
      </patternFill>
    </fill>
    <fill>
      <patternFill patternType="solid">
        <fgColor rgb="FF9BBB59"/>
        <bgColor rgb="FF000000"/>
      </patternFill>
    </fill>
    <fill>
      <patternFill patternType="solid">
        <fgColor rgb="FF40404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2E46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CFFCC"/>
        <bgColor indexed="64"/>
      </patternFill>
    </fill>
  </fills>
  <borders count="18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 style="hair">
        <color rgb="FF00B050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hair">
        <color rgb="FF00B05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rgb="FF0087E8"/>
      </right>
      <top/>
      <bottom style="hair">
        <color rgb="FF0087E8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theme="1"/>
      </bottom>
      <diagonal/>
    </border>
    <border>
      <left/>
      <right/>
      <top style="medium">
        <color theme="1" tint="0.24994659260841701"/>
      </top>
      <bottom style="thin">
        <color theme="1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theme="1"/>
      </bottom>
      <diagonal/>
    </border>
    <border>
      <left style="medium">
        <color theme="1" tint="0.24994659260841701"/>
      </left>
      <right style="thin">
        <color theme="1" tint="0.499984740745262"/>
      </right>
      <top style="hair">
        <color rgb="FF00B050"/>
      </top>
      <bottom style="hair">
        <color rgb="FF00B050"/>
      </bottom>
      <diagonal/>
    </border>
    <border>
      <left style="thin">
        <color theme="1" tint="0.499984740745262"/>
      </left>
      <right style="medium">
        <color theme="1" tint="0.24994659260841701"/>
      </right>
      <top style="hair">
        <color rgb="FF00B050"/>
      </top>
      <bottom style="hair">
        <color rgb="FF00B050"/>
      </bottom>
      <diagonal/>
    </border>
    <border>
      <left style="medium">
        <color theme="1" tint="0.24994659260841701"/>
      </left>
      <right style="thin">
        <color theme="1" tint="0.499984740745262"/>
      </right>
      <top style="hair">
        <color rgb="FF00B050"/>
      </top>
      <bottom style="medium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 style="medium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rgb="FF00B050"/>
      </top>
      <bottom/>
      <diagonal/>
    </border>
    <border>
      <left style="thin">
        <color theme="1" tint="0.499984740745262"/>
      </left>
      <right style="medium">
        <color theme="1" tint="0.24994659260841701"/>
      </right>
      <top style="hair">
        <color rgb="FF00B050"/>
      </top>
      <bottom/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rgb="FF000000"/>
      </bottom>
      <diagonal/>
    </border>
    <border>
      <left/>
      <right/>
      <top style="medium">
        <color theme="1" tint="0.24994659260841701"/>
      </top>
      <bottom style="thin">
        <color rgb="FF000000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rgb="FF000000"/>
      </bottom>
      <diagonal/>
    </border>
    <border>
      <left style="medium">
        <color theme="1" tint="0.24994659260841701"/>
      </left>
      <right style="thin">
        <color theme="1" tint="0.499984740745262"/>
      </right>
      <top/>
      <bottom style="hair">
        <color rgb="FF00B050"/>
      </bottom>
      <diagonal/>
    </border>
    <border>
      <left style="thin">
        <color theme="1" tint="0.499984740745262"/>
      </left>
      <right style="medium">
        <color theme="1" tint="0.24994659260841701"/>
      </right>
      <top/>
      <bottom style="hair">
        <color rgb="FF00B050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thin">
        <color theme="0"/>
      </bottom>
      <diagonal/>
    </border>
    <border>
      <left/>
      <right/>
      <top style="medium">
        <color theme="1" tint="0.24994659260841701"/>
      </top>
      <bottom style="thin">
        <color theme="0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thin">
        <color theme="0"/>
      </bottom>
      <diagonal/>
    </border>
    <border>
      <left style="medium">
        <color theme="1" tint="0.24994659260841701"/>
      </left>
      <right style="thin">
        <color theme="1" tint="0.499984740745262"/>
      </right>
      <top style="thin">
        <color theme="1"/>
      </top>
      <bottom style="thin">
        <color theme="1" tint="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/>
      </top>
      <bottom style="thin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/>
      </top>
      <bottom style="thin">
        <color theme="1" tint="0.24994659260841701"/>
      </bottom>
      <diagonal/>
    </border>
    <border>
      <left style="thin">
        <color theme="1" tint="0.499984740745262"/>
      </left>
      <right style="medium">
        <color theme="1" tint="0.24994659260841701"/>
      </right>
      <top style="thin">
        <color theme="1"/>
      </top>
      <bottom style="thin">
        <color theme="1" tint="0.24994659260841701"/>
      </bottom>
      <diagonal/>
    </border>
    <border>
      <left style="medium">
        <color theme="1" tint="0.24994659260841701"/>
      </left>
      <right style="thin">
        <color theme="1" tint="0.499984740745262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1" tint="0.499984740745262"/>
      </left>
      <right style="medium">
        <color theme="1" tint="0.24994659260841701"/>
      </right>
      <top style="thin">
        <color rgb="FF000000"/>
      </top>
      <bottom style="thin">
        <color theme="1" tint="0.24994659260841701"/>
      </bottom>
      <diagonal/>
    </border>
    <border>
      <left style="thin">
        <color theme="5" tint="0.39994506668294322"/>
      </left>
      <right style="medium">
        <color theme="5" tint="0.39991454817346722"/>
      </right>
      <top/>
      <bottom style="hair">
        <color rgb="FF0087E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 style="hair">
        <color theme="1"/>
      </bottom>
      <diagonal/>
    </border>
    <border>
      <left/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/>
      <top style="hair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/>
      <top/>
      <bottom style="medium">
        <color theme="1"/>
      </bottom>
      <diagonal/>
    </border>
    <border>
      <left style="thin">
        <color theme="5" tint="0.39994506668294322"/>
      </left>
      <right style="medium">
        <color theme="5" tint="0.39991454817346722"/>
      </right>
      <top style="medium">
        <color theme="1"/>
      </top>
      <bottom style="hair">
        <color rgb="FF0087E8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rgb="FF0087E8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5" tint="0.39994506668294322"/>
      </right>
      <top style="medium">
        <color theme="1"/>
      </top>
      <bottom style="hair">
        <color rgb="FF0087E8"/>
      </bottom>
      <diagonal/>
    </border>
    <border>
      <left style="thin">
        <color rgb="FF0087E8"/>
      </left>
      <right style="thin">
        <color theme="1" tint="0.24994659260841701"/>
      </right>
      <top/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87E8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5" tint="0.39994506668294322"/>
      </right>
      <top style="hair">
        <color rgb="FF0087E8"/>
      </top>
      <bottom style="hair">
        <color rgb="FF0087E8"/>
      </bottom>
      <diagonal/>
    </border>
    <border>
      <left style="thin">
        <color theme="5" tint="0.39988402966399123"/>
      </left>
      <right style="thin">
        <color theme="1" tint="0.24994659260841701"/>
      </right>
      <top style="medium">
        <color theme="1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00B050"/>
      </bottom>
      <diagonal/>
    </border>
    <border>
      <left style="thin">
        <color theme="1" tint="0.24994659260841701"/>
      </left>
      <right style="medium">
        <color theme="1"/>
      </right>
      <top style="medium">
        <color theme="1"/>
      </top>
      <bottom style="hair">
        <color rgb="FF0087E8"/>
      </bottom>
      <diagonal/>
    </border>
    <border>
      <left style="thin">
        <color theme="5" tint="0.39988402966399123"/>
      </left>
      <right style="thin">
        <color theme="1" tint="0.24994659260841701"/>
      </right>
      <top style="hair">
        <color rgb="FF0087E8"/>
      </top>
      <bottom style="hair">
        <color rgb="FF0087E8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B050"/>
      </top>
      <bottom style="hair">
        <color rgb="FF00B050"/>
      </bottom>
      <diagonal/>
    </border>
    <border>
      <left style="thin">
        <color theme="1" tint="0.24994659260841701"/>
      </left>
      <right style="medium">
        <color theme="1"/>
      </right>
      <top style="hair">
        <color rgb="FF0087E8"/>
      </top>
      <bottom style="hair">
        <color rgb="FF0087E8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medium">
        <color rgb="FF404040"/>
      </right>
      <top style="hair">
        <color rgb="FF404040"/>
      </top>
      <bottom style="hair">
        <color rgb="FF404040"/>
      </bottom>
      <diagonal/>
    </border>
    <border>
      <left style="medium">
        <color rgb="FF404040"/>
      </left>
      <right/>
      <top style="hair">
        <color rgb="FF404040"/>
      </top>
      <bottom style="hair">
        <color rgb="FF404040"/>
      </bottom>
      <diagonal/>
    </border>
    <border>
      <left/>
      <right style="thin">
        <color rgb="FF808080"/>
      </right>
      <top style="hair">
        <color rgb="FF404040"/>
      </top>
      <bottom style="hair">
        <color rgb="FF404040"/>
      </bottom>
      <diagonal/>
    </border>
    <border>
      <left style="medium">
        <color rgb="FF404040"/>
      </left>
      <right/>
      <top style="hair">
        <color rgb="FF404040"/>
      </top>
      <bottom style="medium">
        <color rgb="FF404040"/>
      </bottom>
      <diagonal/>
    </border>
    <border>
      <left/>
      <right style="thin">
        <color rgb="FF808080"/>
      </right>
      <top style="hair">
        <color rgb="FF404040"/>
      </top>
      <bottom style="medium">
        <color rgb="FF404040"/>
      </bottom>
      <diagonal/>
    </border>
    <border>
      <left/>
      <right style="medium">
        <color rgb="FF404040"/>
      </right>
      <top style="hair">
        <color rgb="FF404040"/>
      </top>
      <bottom style="medium">
        <color rgb="FF404040"/>
      </bottom>
      <diagonal/>
    </border>
    <border>
      <left style="thin">
        <color rgb="FF808080"/>
      </left>
      <right/>
      <top style="hair">
        <color rgb="FF404040"/>
      </top>
      <bottom style="hair">
        <color rgb="FF404040"/>
      </bottom>
      <diagonal/>
    </border>
    <border>
      <left style="thin">
        <color rgb="FF808080"/>
      </left>
      <right/>
      <top style="hair">
        <color rgb="FF404040"/>
      </top>
      <bottom style="medium">
        <color rgb="FF40404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404040"/>
      </left>
      <right/>
      <top/>
      <bottom style="hair">
        <color rgb="FF404040"/>
      </bottom>
      <diagonal/>
    </border>
    <border>
      <left/>
      <right style="thin">
        <color rgb="FF808080"/>
      </right>
      <top/>
      <bottom style="hair">
        <color rgb="FF404040"/>
      </bottom>
      <diagonal/>
    </border>
    <border>
      <left style="thin">
        <color rgb="FF808080"/>
      </left>
      <right/>
      <top/>
      <bottom style="hair">
        <color rgb="FF404040"/>
      </bottom>
      <diagonal/>
    </border>
    <border>
      <left/>
      <right style="medium">
        <color rgb="FF404040"/>
      </right>
      <top/>
      <bottom style="hair">
        <color rgb="FF40404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rgb="FF404040"/>
      </left>
      <right/>
      <top/>
      <bottom/>
      <diagonal/>
    </border>
    <border>
      <left style="medium">
        <color rgb="FF404040"/>
      </left>
      <right/>
      <top style="medium">
        <color rgb="FF404040"/>
      </top>
      <bottom/>
      <diagonal/>
    </border>
    <border>
      <left style="medium">
        <color rgb="FF404040"/>
      </left>
      <right/>
      <top/>
      <bottom style="medium">
        <color rgb="FF404040"/>
      </bottom>
      <diagonal/>
    </border>
    <border>
      <left style="medium">
        <color rgb="FF404040"/>
      </left>
      <right style="medium">
        <color theme="1"/>
      </right>
      <top style="medium">
        <color rgb="FF404040"/>
      </top>
      <bottom style="medium">
        <color rgb="FF404040"/>
      </bottom>
      <diagonal/>
    </border>
    <border>
      <left style="medium">
        <color theme="1"/>
      </left>
      <right style="medium">
        <color theme="1"/>
      </right>
      <top style="medium">
        <color rgb="FF404040"/>
      </top>
      <bottom style="medium">
        <color rgb="FF404040"/>
      </bottom>
      <diagonal/>
    </border>
    <border>
      <left style="medium">
        <color theme="1"/>
      </left>
      <right style="medium">
        <color theme="1" tint="0.249977111117893"/>
      </right>
      <top style="medium">
        <color rgb="FF404040"/>
      </top>
      <bottom style="medium">
        <color rgb="FF404040"/>
      </bottom>
      <diagonal/>
    </border>
    <border>
      <left/>
      <right style="medium">
        <color theme="1" tint="0.249977111117893"/>
      </right>
      <top style="medium">
        <color rgb="FF404040"/>
      </top>
      <bottom/>
      <diagonal/>
    </border>
    <border>
      <left/>
      <right style="medium">
        <color theme="1" tint="0.249977111117893"/>
      </right>
      <top/>
      <bottom/>
      <diagonal/>
    </border>
    <border>
      <left/>
      <right style="medium">
        <color theme="1" tint="0.249977111117893"/>
      </right>
      <top/>
      <bottom style="medium">
        <color rgb="FF404040"/>
      </bottom>
      <diagonal/>
    </border>
    <border>
      <left style="medium">
        <color theme="1" tint="0.24994659260841701"/>
      </left>
      <right/>
      <top style="hair">
        <color theme="1" tint="0.24994659260841701"/>
      </top>
      <bottom style="medium">
        <color theme="1" tint="0.24994659260841701"/>
      </bottom>
      <diagonal/>
    </border>
    <border>
      <left/>
      <right style="thin">
        <color theme="1" tint="0.499984740745262"/>
      </right>
      <top style="hair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/>
      <top style="hair">
        <color theme="1" tint="0.24994659260841701"/>
      </top>
      <bottom style="hair">
        <color theme="1" tint="0.24994659260841701"/>
      </bottom>
      <diagonal/>
    </border>
    <border>
      <left/>
      <right style="thin">
        <color theme="1" tint="0.499984740745262"/>
      </right>
      <top style="hair">
        <color theme="1" tint="0.24994659260841701"/>
      </top>
      <bottom style="hair">
        <color theme="1" tint="0.24994659260841701"/>
      </bottom>
      <diagonal/>
    </border>
    <border>
      <left style="medium">
        <color theme="1" tint="0.24994659260841701"/>
      </left>
      <right/>
      <top style="thin">
        <color theme="0"/>
      </top>
      <bottom style="hair">
        <color theme="1" tint="0.24994659260841701"/>
      </bottom>
      <diagonal/>
    </border>
    <border>
      <left/>
      <right style="thin">
        <color theme="1" tint="0.499984740745262"/>
      </right>
      <top style="thin">
        <color theme="0"/>
      </top>
      <bottom style="hair">
        <color theme="1" tint="0.24994659260841701"/>
      </bottom>
      <diagonal/>
    </border>
    <border>
      <left style="thin">
        <color theme="1" tint="0.499984740745262"/>
      </left>
      <right/>
      <top style="hair">
        <color theme="1" tint="0.24994659260841701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hair">
        <color theme="1" tint="0.24994659260841701"/>
      </top>
      <bottom style="medium">
        <color theme="1" tint="0.24994659260841701"/>
      </bottom>
      <diagonal/>
    </border>
    <border>
      <left style="thin">
        <color theme="1" tint="0.499984740745262"/>
      </left>
      <right/>
      <top style="hair">
        <color theme="1" tint="0.24994659260841701"/>
      </top>
      <bottom style="hair">
        <color theme="1" tint="0.24994659260841701"/>
      </bottom>
      <diagonal/>
    </border>
    <border>
      <left/>
      <right style="medium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 tint="0.499984740745262"/>
      </left>
      <right/>
      <top style="thin">
        <color theme="0"/>
      </top>
      <bottom style="hair">
        <color theme="1" tint="0.24994659260841701"/>
      </bottom>
      <diagonal/>
    </border>
    <border>
      <left/>
      <right style="medium">
        <color theme="1" tint="0.24994659260841701"/>
      </right>
      <top style="thin">
        <color theme="0"/>
      </top>
      <bottom style="hair">
        <color theme="1" tint="0.2499465926084170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theme="5" tint="0.39991454817346722"/>
      </left>
      <right style="thin">
        <color theme="5" tint="0.39988402966399123"/>
      </right>
      <top style="medium">
        <color theme="1"/>
      </top>
      <bottom style="hair">
        <color rgb="FF3366FF"/>
      </bottom>
      <diagonal/>
    </border>
    <border>
      <left style="medium">
        <color theme="5" tint="0.39991454817346722"/>
      </left>
      <right style="thin">
        <color theme="5" tint="0.39988402966399123"/>
      </right>
      <top style="hair">
        <color rgb="FF3366FF"/>
      </top>
      <bottom style="hair">
        <color rgb="FF3366FF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/>
      <right/>
      <top style="medium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medium">
        <color rgb="FF0087E8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 tint="0.24994659260841701"/>
      </right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87E8"/>
      </top>
      <bottom/>
      <diagonal/>
    </border>
    <border>
      <left style="thin">
        <color theme="1" tint="0.24994659260841701"/>
      </left>
      <right style="thin">
        <color theme="5" tint="0.39994506668294322"/>
      </right>
      <top style="hair">
        <color rgb="FF0087E8"/>
      </top>
      <bottom/>
      <diagonal/>
    </border>
    <border>
      <left style="thin">
        <color theme="5" tint="0.39994506668294322"/>
      </left>
      <right style="medium">
        <color theme="5" tint="0.39991454817346722"/>
      </right>
      <top/>
      <bottom/>
      <diagonal/>
    </border>
    <border>
      <left style="medium">
        <color theme="5" tint="0.39991454817346722"/>
      </left>
      <right style="thin">
        <color theme="5" tint="0.39988402966399123"/>
      </right>
      <top style="hair">
        <color rgb="FF3366FF"/>
      </top>
      <bottom/>
      <diagonal/>
    </border>
    <border>
      <left style="thin">
        <color theme="5" tint="0.39988402966399123"/>
      </left>
      <right style="thin">
        <color theme="1" tint="0.24994659260841701"/>
      </right>
      <top style="hair">
        <color rgb="FF0087E8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00B050"/>
      </top>
      <bottom/>
      <diagonal/>
    </border>
    <border>
      <left style="thin">
        <color theme="1" tint="0.24994659260841701"/>
      </left>
      <right style="medium">
        <color theme="1"/>
      </right>
      <top style="hair">
        <color rgb="FF0087E8"/>
      </top>
      <bottom/>
      <diagonal/>
    </border>
    <border>
      <left/>
      <right/>
      <top style="thin">
        <color theme="1"/>
      </top>
      <bottom style="medium">
        <color theme="1"/>
      </bottom>
      <diagonal/>
    </border>
    <border>
      <left/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hair">
        <color theme="1"/>
      </top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rgb="FF3366FF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3366FF"/>
      </top>
      <bottom style="hair">
        <color rgb="FF3366FF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rgb="FF3366FF"/>
      </top>
      <bottom style="thin">
        <color theme="1"/>
      </bottom>
      <diagonal/>
    </border>
    <border>
      <left style="medium">
        <color theme="1" tint="0.24994659260841701"/>
      </left>
      <right style="thin">
        <color theme="1" tint="0.24994659260841701"/>
      </right>
      <top style="medium">
        <color theme="1"/>
      </top>
      <bottom style="hair">
        <color theme="1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/>
      </top>
      <bottom style="hair">
        <color theme="1"/>
      </bottom>
      <diagonal/>
    </border>
    <border>
      <left style="thin">
        <color theme="1" tint="0.24994659260841701"/>
      </left>
      <right style="medium">
        <color theme="1" tint="0.24994659260841701"/>
      </right>
      <top style="medium">
        <color theme="1"/>
      </top>
      <bottom style="hair">
        <color theme="1"/>
      </bottom>
      <diagonal/>
    </border>
    <border>
      <left style="medium">
        <color theme="1" tint="0.24994659260841701"/>
      </left>
      <right style="thin">
        <color theme="1" tint="0.24994659260841701"/>
      </right>
      <top style="hair">
        <color theme="1"/>
      </top>
      <bottom style="hair">
        <color theme="1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theme="1"/>
      </top>
      <bottom style="hair">
        <color theme="1"/>
      </bottom>
      <diagonal/>
    </border>
    <border>
      <left style="thin">
        <color theme="1" tint="0.24994659260841701"/>
      </left>
      <right style="medium">
        <color theme="1" tint="0.2499465926084170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hair">
        <color theme="1"/>
      </top>
      <bottom style="thin">
        <color theme="1"/>
      </bottom>
      <diagonal/>
    </border>
    <border>
      <left style="medium">
        <color theme="1" tint="0.24994659260841701"/>
      </left>
      <right style="thin">
        <color theme="1" tint="0.24994659260841701"/>
      </right>
      <top style="hair">
        <color theme="1"/>
      </top>
      <bottom style="thin">
        <color theme="1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theme="1"/>
      </top>
      <bottom style="thin">
        <color theme="1"/>
      </bottom>
      <diagonal/>
    </border>
    <border>
      <left style="thin">
        <color theme="1" tint="0.24994659260841701"/>
      </left>
      <right style="medium">
        <color theme="1" tint="0.24994659260841701"/>
      </right>
      <top style="hair">
        <color theme="1"/>
      </top>
      <bottom style="thin">
        <color theme="1"/>
      </bottom>
      <diagonal/>
    </border>
    <border>
      <left style="medium">
        <color theme="1" tint="0.24994659260841701"/>
      </left>
      <right style="thin">
        <color theme="1"/>
      </right>
      <top style="medium">
        <color theme="1"/>
      </top>
      <bottom style="hair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hair">
        <color theme="1"/>
      </bottom>
      <diagonal/>
    </border>
    <border>
      <left style="medium">
        <color theme="1" tint="0.2499465926084170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 tint="0.24994659260841701"/>
      </left>
      <right style="thin">
        <color theme="1"/>
      </right>
      <top style="hair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hair">
        <color theme="1"/>
      </top>
      <bottom style="thin">
        <color theme="1"/>
      </bottom>
      <diagonal/>
    </border>
    <border>
      <left style="thin">
        <color theme="1"/>
      </left>
      <right style="thin">
        <color theme="1" tint="0.24994659260841701"/>
      </right>
      <top style="medium">
        <color theme="1"/>
      </top>
      <bottom style="hair">
        <color theme="1"/>
      </bottom>
      <diagonal/>
    </border>
    <border>
      <left style="thin">
        <color theme="1"/>
      </left>
      <right style="thin">
        <color theme="1" tint="0.2499465926084170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 tint="0.24994659260841701"/>
      </right>
      <top style="hair">
        <color theme="1"/>
      </top>
      <bottom style="thin">
        <color theme="1"/>
      </bottom>
      <diagonal/>
    </border>
  </borders>
  <cellStyleXfs count="47">
    <xf numFmtId="0" fontId="0" fillId="0" borderId="0"/>
    <xf numFmtId="0" fontId="9" fillId="0" borderId="0"/>
    <xf numFmtId="166" fontId="10" fillId="0" borderId="0"/>
    <xf numFmtId="0" fontId="16" fillId="8" borderId="0" applyNumberFormat="0" applyBorder="0" applyAlignment="0" applyProtection="0"/>
    <xf numFmtId="0" fontId="17" fillId="9" borderId="5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441">
    <xf numFmtId="0" fontId="0" fillId="0" borderId="0" xfId="0"/>
    <xf numFmtId="0" fontId="4" fillId="0" borderId="0" xfId="0" applyFont="1" applyAlignment="1">
      <alignment vertical="center"/>
    </xf>
    <xf numFmtId="2" fontId="4" fillId="0" borderId="6" xfId="0" applyNumberFormat="1" applyFont="1" applyBorder="1" applyAlignment="1">
      <alignment horizontal="center" vertical="center"/>
    </xf>
    <xf numFmtId="0" fontId="37" fillId="0" borderId="7" xfId="0" applyNumberFormat="1" applyFont="1" applyBorder="1" applyAlignment="1">
      <alignment horizontal="center" vertical="center"/>
    </xf>
    <xf numFmtId="0" fontId="0" fillId="3" borderId="0" xfId="0" applyFill="1"/>
    <xf numFmtId="0" fontId="0" fillId="0" borderId="8" xfId="0" applyBorder="1"/>
    <xf numFmtId="0" fontId="0" fillId="3" borderId="8" xfId="0" applyFill="1" applyBorder="1"/>
    <xf numFmtId="0" fontId="0" fillId="0" borderId="0" xfId="0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44" fillId="4" borderId="10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2" fontId="4" fillId="0" borderId="20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2" fontId="4" fillId="0" borderId="22" xfId="0" applyNumberFormat="1" applyFont="1" applyBorder="1" applyAlignment="1">
      <alignment horizontal="center" vertical="center"/>
    </xf>
    <xf numFmtId="167" fontId="4" fillId="0" borderId="24" xfId="0" applyNumberFormat="1" applyFont="1" applyBorder="1" applyAlignment="1">
      <alignment horizontal="center" vertical="center"/>
    </xf>
    <xf numFmtId="0" fontId="37" fillId="0" borderId="28" xfId="0" applyFont="1" applyBorder="1" applyAlignment="1">
      <alignment horizontal="center" vertical="center"/>
    </xf>
    <xf numFmtId="0" fontId="37" fillId="0" borderId="29" xfId="0" applyNumberFormat="1" applyFont="1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2" fontId="43" fillId="3" borderId="31" xfId="0" applyNumberFormat="1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2" fontId="4" fillId="0" borderId="29" xfId="0" applyNumberFormat="1" applyFont="1" applyBorder="1" applyAlignment="1">
      <alignment horizontal="center" vertical="center"/>
    </xf>
    <xf numFmtId="0" fontId="28" fillId="15" borderId="3" xfId="0" applyFont="1" applyFill="1" applyBorder="1" applyAlignment="1">
      <alignment vertical="center"/>
    </xf>
    <xf numFmtId="0" fontId="45" fillId="15" borderId="0" xfId="0" applyFont="1" applyFill="1" applyBorder="1" applyAlignment="1">
      <alignment horizontal="center"/>
    </xf>
    <xf numFmtId="0" fontId="24" fillId="15" borderId="3" xfId="0" applyFont="1" applyFill="1" applyBorder="1" applyAlignment="1">
      <alignment vertical="center"/>
    </xf>
    <xf numFmtId="164" fontId="41" fillId="15" borderId="0" xfId="0" applyNumberFormat="1" applyFont="1" applyFill="1" applyBorder="1" applyAlignment="1">
      <alignment horizontal="center" vertical="center"/>
    </xf>
    <xf numFmtId="0" fontId="0" fillId="15" borderId="0" xfId="0" applyFill="1"/>
    <xf numFmtId="0" fontId="19" fillId="15" borderId="0" xfId="0" applyFont="1" applyFill="1" applyBorder="1" applyAlignment="1">
      <alignment vertical="center"/>
    </xf>
    <xf numFmtId="0" fontId="13" fillId="15" borderId="0" xfId="0" applyFont="1" applyFill="1" applyBorder="1" applyAlignment="1">
      <alignment vertical="center"/>
    </xf>
    <xf numFmtId="0" fontId="28" fillId="15" borderId="0" xfId="0" applyFont="1" applyFill="1" applyBorder="1" applyAlignment="1">
      <alignment vertical="center"/>
    </xf>
    <xf numFmtId="0" fontId="46" fillId="15" borderId="0" xfId="0" applyFont="1" applyFill="1" applyBorder="1" applyAlignment="1">
      <alignment horizontal="center" vertical="center"/>
    </xf>
    <xf numFmtId="0" fontId="33" fillId="15" borderId="0" xfId="0" applyFont="1" applyFill="1"/>
    <xf numFmtId="0" fontId="25" fillId="16" borderId="0" xfId="0" applyFont="1" applyFill="1" applyBorder="1" applyAlignment="1">
      <alignment horizontal="center"/>
    </xf>
    <xf numFmtId="0" fontId="8" fillId="15" borderId="0" xfId="0" applyFont="1" applyFill="1" applyBorder="1" applyAlignment="1">
      <alignment horizontal="center" vertical="center"/>
    </xf>
    <xf numFmtId="0" fontId="30" fillId="15" borderId="0" xfId="0" applyFont="1" applyFill="1" applyBorder="1" applyAlignment="1">
      <alignment vertical="center"/>
    </xf>
    <xf numFmtId="0" fontId="0" fillId="15" borderId="0" xfId="0" applyFill="1" applyAlignment="1">
      <alignment horizontal="center" vertical="center"/>
    </xf>
    <xf numFmtId="0" fontId="0" fillId="15" borderId="0" xfId="0" applyNumberFormat="1" applyFill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0" fillId="15" borderId="0" xfId="0" applyFill="1" applyBorder="1" applyAlignment="1">
      <alignment vertical="center"/>
    </xf>
    <xf numFmtId="49" fontId="29" fillId="15" borderId="0" xfId="0" applyNumberFormat="1" applyFont="1" applyFill="1" applyBorder="1" applyAlignment="1">
      <alignment horizontal="center" vertical="center"/>
    </xf>
    <xf numFmtId="0" fontId="0" fillId="15" borderId="0" xfId="0" applyFill="1" applyBorder="1" applyAlignment="1"/>
    <xf numFmtId="0" fontId="0" fillId="15" borderId="0" xfId="0" applyFill="1" applyBorder="1"/>
    <xf numFmtId="0" fontId="20" fillId="15" borderId="0" xfId="23" applyFill="1"/>
    <xf numFmtId="0" fontId="4" fillId="15" borderId="0" xfId="0" applyFont="1" applyFill="1" applyAlignment="1">
      <alignment vertical="center"/>
    </xf>
    <xf numFmtId="0" fontId="1" fillId="15" borderId="0" xfId="0" applyFont="1" applyFill="1" applyBorder="1"/>
    <xf numFmtId="0" fontId="0" fillId="15" borderId="0" xfId="0" applyFill="1" applyAlignment="1">
      <alignment vertical="center"/>
    </xf>
    <xf numFmtId="0" fontId="37" fillId="15" borderId="0" xfId="0" applyFont="1" applyFill="1" applyBorder="1" applyAlignment="1">
      <alignment vertical="center"/>
    </xf>
    <xf numFmtId="167" fontId="40" fillId="15" borderId="0" xfId="0" applyNumberFormat="1" applyFont="1" applyFill="1" applyBorder="1" applyAlignment="1">
      <alignment horizontal="center" vertical="center"/>
    </xf>
    <xf numFmtId="0" fontId="1" fillId="15" borderId="0" xfId="0" applyFont="1" applyFill="1" applyBorder="1" applyAlignment="1">
      <alignment horizontal="center"/>
    </xf>
    <xf numFmtId="0" fontId="4" fillId="15" borderId="0" xfId="0" applyFont="1" applyFill="1" applyBorder="1" applyAlignment="1">
      <alignment horizontal="center"/>
    </xf>
    <xf numFmtId="0" fontId="4" fillId="15" borderId="0" xfId="0" applyFont="1" applyFill="1" applyBorder="1" applyAlignment="1">
      <alignment vertical="center"/>
    </xf>
    <xf numFmtId="0" fontId="37" fillId="16" borderId="0" xfId="0" applyFont="1" applyFill="1" applyBorder="1" applyAlignment="1">
      <alignment vertical="center"/>
    </xf>
    <xf numFmtId="0" fontId="9" fillId="15" borderId="0" xfId="0" applyFont="1" applyFill="1"/>
    <xf numFmtId="20" fontId="46" fillId="12" borderId="45" xfId="0" applyNumberFormat="1" applyFont="1" applyFill="1" applyBorder="1" applyAlignment="1">
      <alignment horizontal="center" vertical="center"/>
    </xf>
    <xf numFmtId="20" fontId="46" fillId="12" borderId="46" xfId="0" applyNumberFormat="1" applyFont="1" applyFill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26" fillId="14" borderId="60" xfId="0" applyFont="1" applyFill="1" applyBorder="1" applyAlignment="1">
      <alignment horizontal="center" vertical="center"/>
    </xf>
    <xf numFmtId="0" fontId="5" fillId="12" borderId="61" xfId="0" applyFont="1" applyFill="1" applyBorder="1" applyAlignment="1">
      <alignment horizontal="center" vertical="center"/>
    </xf>
    <xf numFmtId="0" fontId="5" fillId="12" borderId="62" xfId="0" applyFont="1" applyFill="1" applyBorder="1" applyAlignment="1">
      <alignment horizontal="center" vertical="center"/>
    </xf>
    <xf numFmtId="0" fontId="26" fillId="14" borderId="63" xfId="0" applyFont="1" applyFill="1" applyBorder="1" applyAlignment="1">
      <alignment horizontal="center" vertical="center"/>
    </xf>
    <xf numFmtId="0" fontId="5" fillId="12" borderId="64" xfId="0" applyFont="1" applyFill="1" applyBorder="1" applyAlignment="1">
      <alignment horizontal="center" vertical="center"/>
    </xf>
    <xf numFmtId="0" fontId="46" fillId="12" borderId="54" xfId="0" applyFont="1" applyFill="1" applyBorder="1" applyAlignment="1">
      <alignment horizontal="center" vertical="center"/>
    </xf>
    <xf numFmtId="0" fontId="46" fillId="12" borderId="44" xfId="0" applyFont="1" applyFill="1" applyBorder="1" applyAlignment="1">
      <alignment horizontal="center" vertical="center"/>
    </xf>
    <xf numFmtId="0" fontId="46" fillId="12" borderId="55" xfId="0" applyFont="1" applyFill="1" applyBorder="1" applyAlignment="1">
      <alignment horizontal="center" vertical="center"/>
    </xf>
    <xf numFmtId="0" fontId="18" fillId="12" borderId="44" xfId="0" applyFont="1" applyFill="1" applyBorder="1" applyAlignment="1">
      <alignment horizontal="center" vertical="center"/>
    </xf>
    <xf numFmtId="0" fontId="18" fillId="12" borderId="55" xfId="0" applyFont="1" applyFill="1" applyBorder="1" applyAlignment="1">
      <alignment horizontal="center" vertical="center"/>
    </xf>
    <xf numFmtId="0" fontId="22" fillId="12" borderId="44" xfId="0" applyFont="1" applyFill="1" applyBorder="1" applyAlignment="1">
      <alignment horizontal="center" vertical="center"/>
    </xf>
    <xf numFmtId="0" fontId="18" fillId="12" borderId="54" xfId="0" applyFont="1" applyFill="1" applyBorder="1" applyAlignment="1">
      <alignment horizontal="center" vertical="center"/>
    </xf>
    <xf numFmtId="169" fontId="31" fillId="13" borderId="44" xfId="0" applyNumberFormat="1" applyFont="1" applyFill="1" applyBorder="1" applyAlignment="1">
      <alignment horizontal="center" vertical="center"/>
    </xf>
    <xf numFmtId="169" fontId="31" fillId="13" borderId="55" xfId="0" applyNumberFormat="1" applyFont="1" applyFill="1" applyBorder="1" applyAlignment="1">
      <alignment horizontal="center" vertical="center"/>
    </xf>
    <xf numFmtId="169" fontId="27" fillId="13" borderId="57" xfId="0" applyNumberFormat="1" applyFont="1" applyFill="1" applyBorder="1" applyAlignment="1">
      <alignment horizontal="center" vertical="center"/>
    </xf>
    <xf numFmtId="169" fontId="27" fillId="13" borderId="58" xfId="0" applyNumberFormat="1" applyFont="1" applyFill="1" applyBorder="1" applyAlignment="1">
      <alignment horizontal="center" vertical="center"/>
    </xf>
    <xf numFmtId="168" fontId="53" fillId="17" borderId="44" xfId="3" applyNumberFormat="1" applyFont="1" applyFill="1" applyBorder="1" applyAlignment="1">
      <alignment horizontal="center" vertical="center"/>
    </xf>
    <xf numFmtId="168" fontId="53" fillId="17" borderId="54" xfId="3" applyNumberFormat="1" applyFont="1" applyFill="1" applyBorder="1" applyAlignment="1">
      <alignment horizontal="center" vertical="center"/>
    </xf>
    <xf numFmtId="0" fontId="43" fillId="3" borderId="31" xfId="0" applyFont="1" applyFill="1" applyBorder="1" applyAlignment="1">
      <alignment horizontal="center" vertical="center"/>
    </xf>
    <xf numFmtId="0" fontId="0" fillId="0" borderId="0" xfId="0" applyFill="1" applyAlignment="1" applyProtection="1">
      <alignment horizontal="center" vertical="center"/>
      <protection locked="0"/>
    </xf>
    <xf numFmtId="0" fontId="0" fillId="21" borderId="0" xfId="0" applyFill="1"/>
    <xf numFmtId="0" fontId="0" fillId="11" borderId="0" xfId="0" applyFill="1"/>
    <xf numFmtId="0" fontId="11" fillId="15" borderId="0" xfId="0" applyFont="1" applyFill="1" applyBorder="1" applyAlignment="1" applyProtection="1">
      <alignment horizontal="center"/>
      <protection locked="0"/>
    </xf>
    <xf numFmtId="0" fontId="0" fillId="17" borderId="35" xfId="0" applyFill="1" applyBorder="1" applyAlignment="1">
      <alignment horizontal="center"/>
    </xf>
    <xf numFmtId="0" fontId="26" fillId="19" borderId="36" xfId="0" applyFont="1" applyFill="1" applyBorder="1" applyAlignment="1">
      <alignment horizontal="center" vertical="center"/>
    </xf>
    <xf numFmtId="0" fontId="3" fillId="17" borderId="37" xfId="0" applyFont="1" applyFill="1" applyBorder="1" applyAlignment="1">
      <alignment horizontal="center" vertical="center"/>
    </xf>
    <xf numFmtId="0" fontId="3" fillId="17" borderId="38" xfId="0" applyFont="1" applyFill="1" applyBorder="1" applyAlignment="1">
      <alignment horizontal="center" vertical="center"/>
    </xf>
    <xf numFmtId="0" fontId="39" fillId="19" borderId="39" xfId="0" applyFont="1" applyFill="1" applyBorder="1" applyAlignment="1">
      <alignment horizontal="center" vertical="center"/>
    </xf>
    <xf numFmtId="0" fontId="38" fillId="19" borderId="40" xfId="0" applyFont="1" applyFill="1" applyBorder="1" applyAlignment="1">
      <alignment horizontal="center" vertical="center"/>
    </xf>
    <xf numFmtId="0" fontId="38" fillId="19" borderId="41" xfId="0" applyFont="1" applyFill="1" applyBorder="1" applyAlignment="1">
      <alignment horizontal="center" vertical="center"/>
    </xf>
    <xf numFmtId="2" fontId="37" fillId="0" borderId="22" xfId="0" applyNumberFormat="1" applyFont="1" applyBorder="1" applyAlignment="1">
      <alignment horizontal="center" vertical="center"/>
    </xf>
    <xf numFmtId="0" fontId="0" fillId="3" borderId="0" xfId="0" applyFill="1" applyBorder="1"/>
    <xf numFmtId="0" fontId="46" fillId="15" borderId="0" xfId="0" applyFont="1" applyFill="1" applyBorder="1" applyAlignment="1">
      <alignment vertical="top" wrapText="1"/>
    </xf>
    <xf numFmtId="0" fontId="3" fillId="12" borderId="54" xfId="0" applyFont="1" applyFill="1" applyBorder="1" applyAlignment="1">
      <alignment horizontal="center" vertical="center"/>
    </xf>
    <xf numFmtId="0" fontId="52" fillId="12" borderId="55" xfId="0" applyFont="1" applyFill="1" applyBorder="1" applyAlignment="1">
      <alignment horizontal="center" vertical="center"/>
    </xf>
    <xf numFmtId="169" fontId="52" fillId="12" borderId="55" xfId="0" applyNumberFormat="1" applyFont="1" applyFill="1" applyBorder="1" applyAlignment="1">
      <alignment horizontal="center" vertical="center"/>
    </xf>
    <xf numFmtId="167" fontId="52" fillId="12" borderId="55" xfId="0" applyNumberFormat="1" applyFont="1" applyFill="1" applyBorder="1" applyAlignment="1">
      <alignment horizontal="center" vertical="center"/>
    </xf>
    <xf numFmtId="0" fontId="38" fillId="14" borderId="54" xfId="0" applyFont="1" applyFill="1" applyBorder="1" applyAlignment="1">
      <alignment horizontal="center" vertical="center"/>
    </xf>
    <xf numFmtId="0" fontId="52" fillId="14" borderId="55" xfId="0" applyNumberFormat="1" applyFont="1" applyFill="1" applyBorder="1" applyAlignment="1">
      <alignment horizontal="center" vertical="center"/>
    </xf>
    <xf numFmtId="169" fontId="52" fillId="14" borderId="55" xfId="0" applyNumberFormat="1" applyFont="1" applyFill="1" applyBorder="1" applyAlignment="1">
      <alignment horizontal="center" vertical="center"/>
    </xf>
    <xf numFmtId="0" fontId="52" fillId="12" borderId="55" xfId="0" applyNumberFormat="1" applyFont="1" applyFill="1" applyBorder="1" applyAlignment="1">
      <alignment horizontal="center" vertical="center"/>
    </xf>
    <xf numFmtId="171" fontId="52" fillId="14" borderId="55" xfId="0" applyNumberFormat="1" applyFont="1" applyFill="1" applyBorder="1" applyAlignment="1">
      <alignment horizontal="center" vertical="center"/>
    </xf>
    <xf numFmtId="171" fontId="52" fillId="12" borderId="55" xfId="0" applyNumberFormat="1" applyFont="1" applyFill="1" applyBorder="1" applyAlignment="1">
      <alignment horizontal="center" vertical="center"/>
    </xf>
    <xf numFmtId="0" fontId="3" fillId="12" borderId="54" xfId="0" applyNumberFormat="1" applyFont="1" applyFill="1" applyBorder="1" applyAlignment="1">
      <alignment horizontal="center" vertical="center"/>
    </xf>
    <xf numFmtId="0" fontId="0" fillId="12" borderId="0" xfId="0" applyFill="1"/>
    <xf numFmtId="43" fontId="37" fillId="0" borderId="24" xfId="0" applyNumberFormat="1" applyFont="1" applyBorder="1" applyAlignment="1">
      <alignment horizontal="center" vertical="center"/>
    </xf>
    <xf numFmtId="0" fontId="0" fillId="12" borderId="35" xfId="0" applyFill="1" applyBorder="1" applyAlignment="1">
      <alignment horizontal="center"/>
    </xf>
    <xf numFmtId="0" fontId="26" fillId="14" borderId="36" xfId="0" applyFont="1" applyFill="1" applyBorder="1" applyAlignment="1">
      <alignment horizontal="center" vertical="center"/>
    </xf>
    <xf numFmtId="0" fontId="3" fillId="12" borderId="37" xfId="0" applyFont="1" applyFill="1" applyBorder="1" applyAlignment="1">
      <alignment horizontal="center" vertical="center"/>
    </xf>
    <xf numFmtId="0" fontId="3" fillId="12" borderId="38" xfId="0" applyFont="1" applyFill="1" applyBorder="1" applyAlignment="1">
      <alignment horizontal="center" vertical="center"/>
    </xf>
    <xf numFmtId="0" fontId="39" fillId="14" borderId="39" xfId="0" applyFont="1" applyFill="1" applyBorder="1" applyAlignment="1">
      <alignment horizontal="center" vertical="center"/>
    </xf>
    <xf numFmtId="0" fontId="38" fillId="14" borderId="40" xfId="0" applyFont="1" applyFill="1" applyBorder="1" applyAlignment="1">
      <alignment horizontal="center" vertical="center"/>
    </xf>
    <xf numFmtId="0" fontId="38" fillId="14" borderId="41" xfId="0" applyFont="1" applyFill="1" applyBorder="1" applyAlignment="1">
      <alignment horizontal="center" vertical="center"/>
    </xf>
    <xf numFmtId="0" fontId="42" fillId="0" borderId="7" xfId="0" applyNumberFormat="1" applyFont="1" applyBorder="1" applyAlignment="1" applyProtection="1">
      <alignment horizontal="center" vertical="center"/>
      <protection locked="0"/>
    </xf>
    <xf numFmtId="0" fontId="42" fillId="0" borderId="6" xfId="0" applyFont="1" applyBorder="1" applyAlignment="1" applyProtection="1">
      <alignment horizontal="center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42" fillId="0" borderId="7" xfId="0" applyFont="1" applyBorder="1" applyAlignment="1" applyProtection="1">
      <alignment horizontal="center" vertical="center"/>
      <protection locked="0"/>
    </xf>
    <xf numFmtId="0" fontId="0" fillId="15" borderId="0" xfId="0" applyFill="1" applyProtection="1">
      <protection locked="0"/>
    </xf>
    <xf numFmtId="164" fontId="1" fillId="3" borderId="73" xfId="0" applyNumberFormat="1" applyFont="1" applyFill="1" applyBorder="1" applyAlignment="1" applyProtection="1">
      <alignment horizontal="center" vertical="center"/>
      <protection locked="0"/>
    </xf>
    <xf numFmtId="169" fontId="1" fillId="0" borderId="73" xfId="0" applyNumberFormat="1" applyFont="1" applyBorder="1" applyAlignment="1" applyProtection="1">
      <alignment horizontal="center" vertical="center"/>
      <protection locked="0"/>
    </xf>
    <xf numFmtId="164" fontId="1" fillId="3" borderId="76" xfId="0" applyNumberFormat="1" applyFont="1" applyFill="1" applyBorder="1" applyAlignment="1" applyProtection="1">
      <alignment horizontal="center" vertical="center"/>
      <protection locked="0"/>
    </xf>
    <xf numFmtId="169" fontId="1" fillId="0" borderId="76" xfId="0" applyNumberFormat="1" applyFont="1" applyBorder="1" applyAlignment="1" applyProtection="1">
      <alignment horizontal="center" vertical="center"/>
      <protection locked="0"/>
    </xf>
    <xf numFmtId="171" fontId="64" fillId="6" borderId="74" xfId="0" applyNumberFormat="1" applyFont="1" applyFill="1" applyBorder="1" applyAlignment="1" applyProtection="1">
      <alignment horizontal="center" vertical="center"/>
      <protection locked="0"/>
    </xf>
    <xf numFmtId="169" fontId="64" fillId="6" borderId="65" xfId="0" applyNumberFormat="1" applyFont="1" applyFill="1" applyBorder="1" applyAlignment="1" applyProtection="1">
      <alignment horizontal="center" vertical="center"/>
      <protection locked="0"/>
    </xf>
    <xf numFmtId="171" fontId="64" fillId="6" borderId="77" xfId="0" applyNumberFormat="1" applyFont="1" applyFill="1" applyBorder="1" applyAlignment="1" applyProtection="1">
      <alignment horizontal="center" vertical="center"/>
      <protection locked="0"/>
    </xf>
    <xf numFmtId="169" fontId="64" fillId="6" borderId="42" xfId="0" applyNumberFormat="1" applyFont="1" applyFill="1" applyBorder="1" applyAlignment="1" applyProtection="1">
      <alignment horizontal="center" vertical="center"/>
      <protection locked="0"/>
    </xf>
    <xf numFmtId="0" fontId="4" fillId="3" borderId="80" xfId="0" applyFont="1" applyFill="1" applyBorder="1" applyAlignment="1" applyProtection="1">
      <alignment horizontal="center" vertical="center"/>
      <protection locked="0"/>
    </xf>
    <xf numFmtId="0" fontId="4" fillId="3" borderId="83" xfId="0" applyFont="1" applyFill="1" applyBorder="1" applyAlignment="1" applyProtection="1">
      <alignment horizontal="center" vertical="center"/>
      <protection locked="0"/>
    </xf>
    <xf numFmtId="0" fontId="39" fillId="23" borderId="0" xfId="0" applyFont="1" applyFill="1"/>
    <xf numFmtId="0" fontId="0" fillId="26" borderId="4" xfId="0" applyFill="1" applyBorder="1" applyAlignment="1" applyProtection="1">
      <alignment horizontal="center" vertical="center"/>
      <protection locked="0"/>
    </xf>
    <xf numFmtId="0" fontId="0" fillId="26" borderId="2" xfId="0" applyFill="1" applyBorder="1" applyAlignment="1" applyProtection="1">
      <alignment horizontal="center" vertical="center"/>
      <protection locked="0"/>
    </xf>
    <xf numFmtId="0" fontId="9" fillId="26" borderId="10" xfId="0" applyFont="1" applyFill="1" applyBorder="1" applyAlignment="1" applyProtection="1">
      <alignment horizontal="center" vertical="center"/>
      <protection locked="0"/>
    </xf>
    <xf numFmtId="0" fontId="9" fillId="26" borderId="12" xfId="0" applyFont="1" applyFill="1" applyBorder="1" applyAlignment="1" applyProtection="1">
      <alignment horizontal="center" vertical="center"/>
      <protection locked="0"/>
    </xf>
    <xf numFmtId="0" fontId="9" fillId="26" borderId="13" xfId="0" applyFont="1" applyFill="1" applyBorder="1" applyAlignment="1" applyProtection="1">
      <alignment horizontal="center" vertical="center"/>
      <protection locked="0"/>
    </xf>
    <xf numFmtId="0" fontId="18" fillId="4" borderId="43" xfId="0" applyFon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0" fontId="0" fillId="15" borderId="0" xfId="0" applyFill="1" applyProtection="1"/>
    <xf numFmtId="0" fontId="72" fillId="24" borderId="0" xfId="0" applyFont="1" applyFill="1" applyBorder="1" applyAlignment="1">
      <alignment vertical="center"/>
    </xf>
    <xf numFmtId="0" fontId="72" fillId="16" borderId="0" xfId="0" applyFont="1" applyFill="1" applyBorder="1" applyAlignment="1">
      <alignment vertical="center"/>
    </xf>
    <xf numFmtId="0" fontId="6" fillId="15" borderId="0" xfId="0" applyFont="1" applyFill="1" applyAlignment="1">
      <alignment horizontal="center" vertical="center"/>
    </xf>
    <xf numFmtId="17" fontId="6" fillId="15" borderId="0" xfId="0" applyNumberFormat="1" applyFont="1" applyFill="1" applyAlignment="1">
      <alignment horizontal="center" vertical="center"/>
    </xf>
    <xf numFmtId="0" fontId="9" fillId="15" borderId="0" xfId="0" applyFont="1" applyFill="1" applyBorder="1"/>
    <xf numFmtId="20" fontId="0" fillId="15" borderId="0" xfId="0" applyNumberFormat="1" applyFill="1" applyAlignment="1">
      <alignment horizontal="center" vertical="center"/>
    </xf>
    <xf numFmtId="0" fontId="0" fillId="15" borderId="0" xfId="0" applyFill="1" applyAlignment="1" applyProtection="1">
      <alignment horizontal="center" vertical="center"/>
      <protection locked="0"/>
    </xf>
    <xf numFmtId="0" fontId="39" fillId="16" borderId="0" xfId="0" applyFont="1" applyFill="1"/>
    <xf numFmtId="20" fontId="0" fillId="15" borderId="0" xfId="0" applyNumberFormat="1" applyFill="1"/>
    <xf numFmtId="0" fontId="18" fillId="15" borderId="1" xfId="0" applyFont="1" applyFill="1" applyBorder="1" applyAlignment="1">
      <alignment horizontal="center" vertical="center"/>
    </xf>
    <xf numFmtId="14" fontId="0" fillId="15" borderId="4" xfId="0" applyNumberFormat="1" applyFill="1" applyBorder="1" applyAlignment="1">
      <alignment horizontal="center" vertical="center"/>
    </xf>
    <xf numFmtId="14" fontId="0" fillId="15" borderId="11" xfId="0" applyNumberFormat="1" applyFill="1" applyBorder="1" applyAlignment="1">
      <alignment horizontal="center" vertical="center"/>
    </xf>
    <xf numFmtId="14" fontId="0" fillId="15" borderId="0" xfId="0" applyNumberFormat="1" applyFill="1" applyAlignment="1">
      <alignment horizontal="center" vertical="center"/>
    </xf>
    <xf numFmtId="0" fontId="9" fillId="15" borderId="0" xfId="0" applyFont="1" applyFill="1" applyBorder="1" applyAlignment="1">
      <alignment horizontal="center" vertical="center"/>
    </xf>
    <xf numFmtId="0" fontId="9" fillId="15" borderId="0" xfId="0" applyFont="1" applyFill="1" applyAlignment="1">
      <alignment horizontal="center" vertical="center"/>
    </xf>
    <xf numFmtId="0" fontId="9" fillId="15" borderId="0" xfId="0" applyFont="1" applyFill="1" applyAlignment="1">
      <alignment horizontal="center"/>
    </xf>
    <xf numFmtId="0" fontId="69" fillId="15" borderId="0" xfId="0" applyFont="1" applyFill="1" applyBorder="1" applyAlignment="1">
      <alignment vertical="center"/>
    </xf>
    <xf numFmtId="0" fontId="70" fillId="15" borderId="0" xfId="0" applyFont="1" applyFill="1" applyBorder="1" applyAlignment="1" applyProtection="1">
      <alignment horizontal="center" vertical="center"/>
      <protection locked="0"/>
    </xf>
    <xf numFmtId="0" fontId="57" fillId="15" borderId="0" xfId="0" applyFont="1" applyFill="1" applyBorder="1" applyAlignment="1">
      <alignment vertical="center"/>
    </xf>
    <xf numFmtId="172" fontId="1" fillId="0" borderId="72" xfId="0" applyNumberFormat="1" applyFont="1" applyFill="1" applyBorder="1" applyAlignment="1">
      <alignment horizontal="center" vertical="center"/>
    </xf>
    <xf numFmtId="172" fontId="1" fillId="0" borderId="75" xfId="0" applyNumberFormat="1" applyFont="1" applyFill="1" applyBorder="1" applyAlignment="1">
      <alignment horizontal="center" vertical="center"/>
    </xf>
    <xf numFmtId="0" fontId="6" fillId="3" borderId="116" xfId="0" applyFont="1" applyFill="1" applyBorder="1" applyAlignment="1">
      <alignment horizontal="center" vertical="center"/>
    </xf>
    <xf numFmtId="0" fontId="68" fillId="29" borderId="121" xfId="0" applyFont="1" applyFill="1" applyBorder="1" applyAlignment="1">
      <alignment horizontal="center" vertical="center"/>
    </xf>
    <xf numFmtId="0" fontId="6" fillId="3" borderId="115" xfId="0" applyFont="1" applyFill="1" applyBorder="1" applyAlignment="1">
      <alignment horizontal="center" vertical="center"/>
    </xf>
    <xf numFmtId="0" fontId="68" fillId="29" borderId="122" xfId="0" applyFont="1" applyFill="1" applyBorder="1" applyAlignment="1">
      <alignment horizontal="center" vertical="center"/>
    </xf>
    <xf numFmtId="0" fontId="6" fillId="3" borderId="117" xfId="0" applyFont="1" applyFill="1" applyBorder="1" applyAlignment="1">
      <alignment horizontal="center" vertical="center"/>
    </xf>
    <xf numFmtId="0" fontId="68" fillId="29" borderId="123" xfId="0" applyFont="1" applyFill="1" applyBorder="1" applyAlignment="1">
      <alignment horizontal="center" vertical="center"/>
    </xf>
    <xf numFmtId="0" fontId="71" fillId="15" borderId="0" xfId="0" applyFont="1" applyFill="1" applyBorder="1" applyAlignment="1">
      <alignment vertical="center"/>
    </xf>
    <xf numFmtId="0" fontId="32" fillId="15" borderId="0" xfId="0" applyFont="1" applyFill="1" applyBorder="1" applyAlignment="1">
      <alignment vertical="center"/>
    </xf>
    <xf numFmtId="0" fontId="34" fillId="15" borderId="0" xfId="0" applyFont="1" applyFill="1" applyBorder="1" applyAlignment="1">
      <alignment vertical="center"/>
    </xf>
    <xf numFmtId="172" fontId="18" fillId="2" borderId="95" xfId="0" applyNumberFormat="1" applyFont="1" applyFill="1" applyBorder="1" applyAlignment="1">
      <alignment horizontal="center" vertical="center"/>
    </xf>
    <xf numFmtId="172" fontId="18" fillId="2" borderId="96" xfId="0" applyNumberFormat="1" applyFont="1" applyFill="1" applyBorder="1" applyAlignment="1">
      <alignment horizontal="center" vertical="center"/>
    </xf>
    <xf numFmtId="172" fontId="18" fillId="2" borderId="97" xfId="0" applyNumberFormat="1" applyFont="1" applyFill="1" applyBorder="1" applyAlignment="1">
      <alignment horizontal="center" vertical="center"/>
    </xf>
    <xf numFmtId="0" fontId="6" fillId="20" borderId="43" xfId="0" applyFont="1" applyFill="1" applyBorder="1" applyAlignment="1">
      <alignment horizontal="center"/>
    </xf>
    <xf numFmtId="0" fontId="6" fillId="0" borderId="95" xfId="0" applyFont="1" applyBorder="1" applyAlignment="1">
      <alignment horizontal="center" vertical="center"/>
    </xf>
    <xf numFmtId="0" fontId="6" fillId="0" borderId="96" xfId="0" applyFont="1" applyBorder="1" applyAlignment="1">
      <alignment horizontal="center" vertical="center"/>
    </xf>
    <xf numFmtId="0" fontId="6" fillId="0" borderId="97" xfId="0" applyFont="1" applyBorder="1" applyAlignment="1">
      <alignment horizontal="center" vertical="center"/>
    </xf>
    <xf numFmtId="0" fontId="6" fillId="20" borderId="10" xfId="0" applyFont="1" applyFill="1" applyBorder="1" applyAlignment="1">
      <alignment horizontal="center"/>
    </xf>
    <xf numFmtId="0" fontId="70" fillId="15" borderId="0" xfId="0" applyFont="1" applyFill="1" applyBorder="1" applyAlignment="1" applyProtection="1">
      <alignment horizontal="center" vertical="center"/>
    </xf>
    <xf numFmtId="0" fontId="9" fillId="15" borderId="0" xfId="0" applyFont="1" applyFill="1" applyBorder="1" applyAlignment="1" applyProtection="1">
      <alignment horizontal="center" vertical="center"/>
    </xf>
    <xf numFmtId="0" fontId="6" fillId="15" borderId="0" xfId="0" applyFont="1" applyFill="1" applyAlignment="1" applyProtection="1">
      <alignment horizontal="center" vertical="center"/>
      <protection locked="0"/>
    </xf>
    <xf numFmtId="0" fontId="63" fillId="15" borderId="0" xfId="0" applyFont="1" applyFill="1" applyBorder="1" applyAlignment="1">
      <alignment vertical="center"/>
    </xf>
    <xf numFmtId="0" fontId="46" fillId="12" borderId="144" xfId="0" applyFont="1" applyFill="1" applyBorder="1" applyAlignment="1">
      <alignment horizontal="center" vertical="center"/>
    </xf>
    <xf numFmtId="0" fontId="12" fillId="12" borderId="146" xfId="0" applyFont="1" applyFill="1" applyBorder="1" applyAlignment="1">
      <alignment horizontal="center" vertical="center"/>
    </xf>
    <xf numFmtId="0" fontId="12" fillId="12" borderId="147" xfId="0" applyFont="1" applyFill="1" applyBorder="1" applyAlignment="1">
      <alignment horizontal="center" vertical="center"/>
    </xf>
    <xf numFmtId="0" fontId="49" fillId="12" borderId="59" xfId="0" applyFont="1" applyFill="1" applyBorder="1" applyAlignment="1">
      <alignment horizontal="center" vertical="center"/>
    </xf>
    <xf numFmtId="0" fontId="55" fillId="17" borderId="57" xfId="0" applyFont="1" applyFill="1" applyBorder="1" applyAlignment="1">
      <alignment horizontal="center" vertical="center"/>
    </xf>
    <xf numFmtId="0" fontId="50" fillId="12" borderId="148" xfId="0" applyFont="1" applyFill="1" applyBorder="1" applyAlignment="1">
      <alignment horizontal="center" vertical="center"/>
    </xf>
    <xf numFmtId="0" fontId="50" fillId="12" borderId="61" xfId="0" applyFont="1" applyFill="1" applyBorder="1" applyAlignment="1">
      <alignment horizontal="center" vertical="center"/>
    </xf>
    <xf numFmtId="0" fontId="5" fillId="12" borderId="51" xfId="0" applyFont="1" applyFill="1" applyBorder="1" applyAlignment="1">
      <alignment horizontal="center" vertical="center"/>
    </xf>
    <xf numFmtId="0" fontId="14" fillId="12" borderId="62" xfId="0" applyFont="1" applyFill="1" applyBorder="1" applyAlignment="1">
      <alignment horizontal="center" vertical="center"/>
    </xf>
    <xf numFmtId="0" fontId="2" fillId="12" borderId="54" xfId="0" applyFont="1" applyFill="1" applyBorder="1" applyAlignment="1">
      <alignment horizontal="center" vertical="center"/>
    </xf>
    <xf numFmtId="0" fontId="3" fillId="12" borderId="149" xfId="0" applyNumberFormat="1" applyFont="1" applyFill="1" applyBorder="1" applyAlignment="1">
      <alignment horizontal="center" vertical="center"/>
    </xf>
    <xf numFmtId="0" fontId="2" fillId="12" borderId="150" xfId="0" applyFont="1" applyFill="1" applyBorder="1" applyAlignment="1">
      <alignment horizontal="center" vertical="center"/>
    </xf>
    <xf numFmtId="0" fontId="42" fillId="12" borderId="56" xfId="0" applyNumberFormat="1" applyFont="1" applyFill="1" applyBorder="1" applyAlignment="1">
      <alignment horizontal="center" vertical="center"/>
    </xf>
    <xf numFmtId="172" fontId="1" fillId="0" borderId="151" xfId="0" applyNumberFormat="1" applyFont="1" applyFill="1" applyBorder="1" applyAlignment="1">
      <alignment horizontal="center" vertical="center"/>
    </xf>
    <xf numFmtId="164" fontId="1" fillId="3" borderId="152" xfId="0" applyNumberFormat="1" applyFont="1" applyFill="1" applyBorder="1" applyAlignment="1" applyProtection="1">
      <alignment horizontal="center" vertical="center"/>
      <protection locked="0"/>
    </xf>
    <xf numFmtId="169" fontId="1" fillId="0" borderId="152" xfId="0" applyNumberFormat="1" applyFont="1" applyBorder="1" applyAlignment="1" applyProtection="1">
      <alignment horizontal="center" vertical="center"/>
      <protection locked="0"/>
    </xf>
    <xf numFmtId="171" fontId="64" fillId="6" borderId="153" xfId="0" applyNumberFormat="1" applyFont="1" applyFill="1" applyBorder="1" applyAlignment="1" applyProtection="1">
      <alignment horizontal="center" vertical="center"/>
      <protection locked="0"/>
    </xf>
    <xf numFmtId="169" fontId="64" fillId="6" borderId="154" xfId="0" applyNumberFormat="1" applyFont="1" applyFill="1" applyBorder="1" applyAlignment="1" applyProtection="1">
      <alignment horizontal="center" vertical="center"/>
      <protection locked="0"/>
    </xf>
    <xf numFmtId="0" fontId="4" fillId="3" borderId="158" xfId="0" applyFont="1" applyFill="1" applyBorder="1" applyAlignment="1" applyProtection="1">
      <alignment horizontal="center" vertical="center"/>
      <protection locked="0"/>
    </xf>
    <xf numFmtId="0" fontId="52" fillId="12" borderId="57" xfId="0" applyNumberFormat="1" applyFont="1" applyFill="1" applyBorder="1" applyAlignment="1">
      <alignment horizontal="center" vertical="center"/>
    </xf>
    <xf numFmtId="170" fontId="52" fillId="12" borderId="57" xfId="0" applyNumberFormat="1" applyFont="1" applyFill="1" applyBorder="1" applyAlignment="1">
      <alignment horizontal="center" vertical="center"/>
    </xf>
    <xf numFmtId="174" fontId="52" fillId="12" borderId="57" xfId="0" applyNumberFormat="1" applyFont="1" applyFill="1" applyBorder="1" applyAlignment="1">
      <alignment horizontal="center" vertical="center"/>
    </xf>
    <xf numFmtId="0" fontId="52" fillId="12" borderId="58" xfId="0" applyNumberFormat="1" applyFont="1" applyFill="1" applyBorder="1" applyAlignment="1">
      <alignment horizontal="center" vertical="center"/>
    </xf>
    <xf numFmtId="168" fontId="52" fillId="12" borderId="56" xfId="0" applyNumberFormat="1" applyFont="1" applyFill="1" applyBorder="1" applyAlignment="1">
      <alignment horizontal="center" vertical="center"/>
    </xf>
    <xf numFmtId="0" fontId="5" fillId="12" borderId="161" xfId="0" applyFont="1" applyFill="1" applyBorder="1" applyAlignment="1">
      <alignment horizontal="center" vertical="center"/>
    </xf>
    <xf numFmtId="168" fontId="55" fillId="17" borderId="145" xfId="0" applyNumberFormat="1" applyFont="1" applyFill="1" applyBorder="1" applyAlignment="1">
      <alignment horizontal="center" vertical="center"/>
    </xf>
    <xf numFmtId="168" fontId="52" fillId="12" borderId="57" xfId="0" applyNumberFormat="1" applyFont="1" applyFill="1" applyBorder="1" applyAlignment="1">
      <alignment horizontal="center" vertical="center"/>
    </xf>
    <xf numFmtId="168" fontId="52" fillId="12" borderId="159" xfId="0" applyNumberFormat="1" applyFont="1" applyFill="1" applyBorder="1" applyAlignment="1">
      <alignment horizontal="center" vertical="center"/>
    </xf>
    <xf numFmtId="168" fontId="52" fillId="12" borderId="160" xfId="0" applyNumberFormat="1" applyFont="1" applyFill="1" applyBorder="1" applyAlignment="1">
      <alignment horizontal="center" vertical="center"/>
    </xf>
    <xf numFmtId="168" fontId="52" fillId="12" borderId="55" xfId="0" applyNumberFormat="1" applyFont="1" applyFill="1" applyBorder="1" applyAlignment="1">
      <alignment horizontal="center" vertical="center"/>
    </xf>
    <xf numFmtId="168" fontId="52" fillId="14" borderId="55" xfId="0" applyNumberFormat="1" applyFont="1" applyFill="1" applyBorder="1" applyAlignment="1">
      <alignment horizontal="center" vertical="center"/>
    </xf>
    <xf numFmtId="168" fontId="53" fillId="17" borderId="44" xfId="0" applyNumberFormat="1" applyFont="1" applyFill="1" applyBorder="1" applyAlignment="1">
      <alignment horizontal="center" vertical="center"/>
    </xf>
    <xf numFmtId="174" fontId="1" fillId="6" borderId="142" xfId="0" applyNumberFormat="1" applyFont="1" applyFill="1" applyBorder="1" applyAlignment="1">
      <alignment horizontal="center" vertical="center"/>
    </xf>
    <xf numFmtId="174" fontId="1" fillId="6" borderId="143" xfId="0" applyNumberFormat="1" applyFont="1" applyFill="1" applyBorder="1" applyAlignment="1">
      <alignment horizontal="center" vertical="center"/>
    </xf>
    <xf numFmtId="174" fontId="1" fillId="6" borderId="155" xfId="0" applyNumberFormat="1" applyFont="1" applyFill="1" applyBorder="1" applyAlignment="1">
      <alignment horizontal="center" vertical="center"/>
    </xf>
    <xf numFmtId="44" fontId="37" fillId="0" borderId="24" xfId="0" applyNumberFormat="1" applyFont="1" applyBorder="1" applyAlignment="1">
      <alignment horizontal="center" vertical="center"/>
    </xf>
    <xf numFmtId="44" fontId="43" fillId="3" borderId="31" xfId="0" applyNumberFormat="1" applyFont="1" applyFill="1" applyBorder="1" applyAlignment="1">
      <alignment horizontal="center" vertical="center"/>
    </xf>
    <xf numFmtId="44" fontId="37" fillId="0" borderId="29" xfId="0" applyNumberFormat="1" applyFont="1" applyBorder="1" applyAlignment="1">
      <alignment horizontal="center" vertical="center"/>
    </xf>
    <xf numFmtId="168" fontId="4" fillId="0" borderId="24" xfId="0" applyNumberFormat="1" applyFont="1" applyBorder="1" applyAlignment="1">
      <alignment horizontal="center" vertical="center"/>
    </xf>
    <xf numFmtId="44" fontId="4" fillId="0" borderId="29" xfId="0" applyNumberFormat="1" applyFont="1" applyBorder="1" applyAlignment="1">
      <alignment horizontal="center" vertical="center"/>
    </xf>
    <xf numFmtId="44" fontId="4" fillId="0" borderId="20" xfId="0" applyNumberFormat="1" applyFont="1" applyBorder="1" applyAlignment="1">
      <alignment horizontal="center" vertical="center"/>
    </xf>
    <xf numFmtId="0" fontId="26" fillId="14" borderId="163" xfId="0" applyFont="1" applyFill="1" applyBorder="1" applyAlignment="1">
      <alignment horizontal="center" vertical="center"/>
    </xf>
    <xf numFmtId="165" fontId="59" fillId="12" borderId="162" xfId="0" applyNumberFormat="1" applyFont="1" applyFill="1" applyBorder="1" applyAlignment="1" applyProtection="1">
      <alignment horizontal="center" vertical="center"/>
      <protection locked="0"/>
    </xf>
    <xf numFmtId="167" fontId="24" fillId="15" borderId="3" xfId="0" applyNumberFormat="1" applyFont="1" applyFill="1" applyBorder="1" applyAlignment="1">
      <alignment vertical="center"/>
    </xf>
    <xf numFmtId="167" fontId="0" fillId="15" borderId="0" xfId="0" applyNumberFormat="1" applyFill="1"/>
    <xf numFmtId="167" fontId="0" fillId="15" borderId="0" xfId="0" applyNumberFormat="1" applyFill="1" applyBorder="1" applyAlignment="1">
      <alignment vertical="center"/>
    </xf>
    <xf numFmtId="167" fontId="0" fillId="15" borderId="0" xfId="0" applyNumberFormat="1" applyFill="1" applyBorder="1" applyAlignment="1"/>
    <xf numFmtId="167" fontId="26" fillId="14" borderId="60" xfId="0" applyNumberFormat="1" applyFont="1" applyFill="1" applyBorder="1" applyAlignment="1">
      <alignment horizontal="center" vertical="center"/>
    </xf>
    <xf numFmtId="167" fontId="5" fillId="12" borderId="61" xfId="0" applyNumberFormat="1" applyFont="1" applyFill="1" applyBorder="1" applyAlignment="1">
      <alignment horizontal="center" vertical="center"/>
    </xf>
    <xf numFmtId="167" fontId="0" fillId="0" borderId="0" xfId="0" applyNumberFormat="1"/>
    <xf numFmtId="167" fontId="83" fillId="5" borderId="164" xfId="0" applyNumberFormat="1" applyFont="1" applyFill="1" applyBorder="1" applyAlignment="1">
      <alignment horizontal="center" vertical="center"/>
    </xf>
    <xf numFmtId="167" fontId="83" fillId="5" borderId="165" xfId="0" applyNumberFormat="1" applyFont="1" applyFill="1" applyBorder="1" applyAlignment="1">
      <alignment horizontal="center" vertical="center"/>
    </xf>
    <xf numFmtId="167" fontId="83" fillId="5" borderId="166" xfId="0" applyNumberFormat="1" applyFont="1" applyFill="1" applyBorder="1" applyAlignment="1">
      <alignment horizontal="center" vertical="center"/>
    </xf>
    <xf numFmtId="169" fontId="51" fillId="17" borderId="54" xfId="0" applyNumberFormat="1" applyFont="1" applyFill="1" applyBorder="1" applyAlignment="1">
      <alignment horizontal="center" vertical="center"/>
    </xf>
    <xf numFmtId="169" fontId="51" fillId="17" borderId="44" xfId="0" applyNumberFormat="1" applyFont="1" applyFill="1" applyBorder="1" applyAlignment="1">
      <alignment horizontal="center" vertical="center"/>
    </xf>
    <xf numFmtId="169" fontId="51" fillId="17" borderId="55" xfId="0" applyNumberFormat="1" applyFont="1" applyFill="1" applyBorder="1" applyAlignment="1">
      <alignment horizontal="center" vertical="center"/>
    </xf>
    <xf numFmtId="169" fontId="31" fillId="13" borderId="54" xfId="0" applyNumberFormat="1" applyFont="1" applyFill="1" applyBorder="1" applyAlignment="1">
      <alignment horizontal="center" vertical="center"/>
    </xf>
    <xf numFmtId="169" fontId="27" fillId="13" borderId="56" xfId="0" applyNumberFormat="1" applyFont="1" applyFill="1" applyBorder="1" applyAlignment="1">
      <alignment horizontal="center" vertical="center"/>
    </xf>
    <xf numFmtId="168" fontId="58" fillId="18" borderId="167" xfId="0" applyNumberFormat="1" applyFont="1" applyFill="1" applyBorder="1" applyAlignment="1">
      <alignment horizontal="center" vertical="center"/>
    </xf>
    <xf numFmtId="168" fontId="58" fillId="18" borderId="168" xfId="0" applyNumberFormat="1" applyFont="1" applyFill="1" applyBorder="1" applyAlignment="1">
      <alignment horizontal="center" vertical="center"/>
    </xf>
    <xf numFmtId="168" fontId="58" fillId="18" borderId="169" xfId="0" applyNumberFormat="1" applyFont="1" applyFill="1" applyBorder="1" applyAlignment="1">
      <alignment horizontal="center" vertical="center"/>
    </xf>
    <xf numFmtId="168" fontId="58" fillId="18" borderId="48" xfId="0" applyNumberFormat="1" applyFont="1" applyFill="1" applyBorder="1" applyAlignment="1">
      <alignment horizontal="center" vertical="center"/>
    </xf>
    <xf numFmtId="168" fontId="58" fillId="18" borderId="170" xfId="0" applyNumberFormat="1" applyFont="1" applyFill="1" applyBorder="1" applyAlignment="1">
      <alignment horizontal="center" vertical="center"/>
    </xf>
    <xf numFmtId="168" fontId="58" fillId="18" borderId="171" xfId="0" applyNumberFormat="1" applyFont="1" applyFill="1" applyBorder="1" applyAlignment="1">
      <alignment horizontal="center" vertical="center"/>
    </xf>
    <xf numFmtId="168" fontId="58" fillId="18" borderId="172" xfId="0" applyNumberFormat="1" applyFont="1" applyFill="1" applyBorder="1" applyAlignment="1">
      <alignment horizontal="center" vertical="center"/>
    </xf>
    <xf numFmtId="168" fontId="58" fillId="18" borderId="173" xfId="0" applyNumberFormat="1" applyFont="1" applyFill="1" applyBorder="1" applyAlignment="1">
      <alignment horizontal="center" vertical="center"/>
    </xf>
    <xf numFmtId="168" fontId="58" fillId="18" borderId="174" xfId="0" applyNumberFormat="1" applyFont="1" applyFill="1" applyBorder="1" applyAlignment="1">
      <alignment horizontal="center" vertical="center"/>
    </xf>
    <xf numFmtId="168" fontId="58" fillId="18" borderId="175" xfId="0" applyNumberFormat="1" applyFont="1" applyFill="1" applyBorder="1" applyAlignment="1">
      <alignment horizontal="center" vertical="center"/>
    </xf>
    <xf numFmtId="168" fontId="58" fillId="18" borderId="176" xfId="0" applyNumberFormat="1" applyFont="1" applyFill="1" applyBorder="1" applyAlignment="1">
      <alignment horizontal="center" vertical="center"/>
    </xf>
    <xf numFmtId="168" fontId="84" fillId="11" borderId="79" xfId="4" applyNumberFormat="1" applyFont="1" applyFill="1" applyBorder="1" applyAlignment="1">
      <alignment horizontal="center" vertical="center"/>
    </xf>
    <xf numFmtId="168" fontId="84" fillId="11" borderId="82" xfId="4" applyNumberFormat="1" applyFont="1" applyFill="1" applyBorder="1" applyAlignment="1">
      <alignment horizontal="center" vertical="center"/>
    </xf>
    <xf numFmtId="168" fontId="84" fillId="11" borderId="157" xfId="4" applyNumberFormat="1" applyFont="1" applyFill="1" applyBorder="1" applyAlignment="1">
      <alignment horizontal="center" vertical="center"/>
    </xf>
    <xf numFmtId="168" fontId="1" fillId="6" borderId="81" xfId="0" applyNumberFormat="1" applyFont="1" applyFill="1" applyBorder="1" applyAlignment="1">
      <alignment horizontal="center" vertical="center"/>
    </xf>
    <xf numFmtId="168" fontId="1" fillId="6" borderId="78" xfId="0" applyNumberFormat="1" applyFont="1" applyFill="1" applyBorder="1" applyAlignment="1">
      <alignment horizontal="center" vertical="center"/>
    </xf>
    <xf numFmtId="168" fontId="1" fillId="6" borderId="156" xfId="0" applyNumberFormat="1" applyFont="1" applyFill="1" applyBorder="1" applyAlignment="1">
      <alignment horizontal="center" vertical="center"/>
    </xf>
    <xf numFmtId="175" fontId="52" fillId="12" borderId="57" xfId="0" applyNumberFormat="1" applyFont="1" applyFill="1" applyBorder="1" applyAlignment="1">
      <alignment horizontal="center" vertical="center"/>
    </xf>
    <xf numFmtId="168" fontId="58" fillId="18" borderId="47" xfId="0" applyNumberFormat="1" applyFont="1" applyFill="1" applyBorder="1" applyAlignment="1">
      <alignment horizontal="center" vertical="center"/>
    </xf>
    <xf numFmtId="168" fontId="58" fillId="18" borderId="183" xfId="0" applyNumberFormat="1" applyFont="1" applyFill="1" applyBorder="1" applyAlignment="1">
      <alignment horizontal="center" vertical="center"/>
    </xf>
    <xf numFmtId="168" fontId="58" fillId="18" borderId="184" xfId="0" applyNumberFormat="1" applyFont="1" applyFill="1" applyBorder="1" applyAlignment="1">
      <alignment horizontal="center" vertical="center"/>
    </xf>
    <xf numFmtId="168" fontId="58" fillId="18" borderId="185" xfId="0" applyNumberFormat="1" applyFont="1" applyFill="1" applyBorder="1" applyAlignment="1">
      <alignment horizontal="center" vertical="center"/>
    </xf>
    <xf numFmtId="168" fontId="53" fillId="17" borderId="55" xfId="3" applyNumberFormat="1" applyFont="1" applyFill="1" applyBorder="1" applyAlignment="1">
      <alignment horizontal="center" vertical="center"/>
    </xf>
    <xf numFmtId="168" fontId="52" fillId="12" borderId="58" xfId="0" applyNumberFormat="1" applyFont="1" applyFill="1" applyBorder="1" applyAlignment="1">
      <alignment horizontal="center" vertical="center"/>
    </xf>
    <xf numFmtId="168" fontId="15" fillId="13" borderId="167" xfId="4" applyNumberFormat="1" applyFont="1" applyFill="1" applyBorder="1" applyAlignment="1">
      <alignment horizontal="center" vertical="center"/>
    </xf>
    <xf numFmtId="168" fontId="15" fillId="13" borderId="169" xfId="4" applyNumberFormat="1" applyFont="1" applyFill="1" applyBorder="1" applyAlignment="1">
      <alignment horizontal="center" vertical="center"/>
    </xf>
    <xf numFmtId="168" fontId="3" fillId="13" borderId="167" xfId="0" applyNumberFormat="1" applyFont="1" applyFill="1" applyBorder="1" applyAlignment="1">
      <alignment horizontal="center" vertical="center"/>
    </xf>
    <xf numFmtId="168" fontId="3" fillId="13" borderId="169" xfId="0" applyNumberFormat="1" applyFont="1" applyFill="1" applyBorder="1" applyAlignment="1">
      <alignment horizontal="center" vertical="center"/>
    </xf>
    <xf numFmtId="168" fontId="79" fillId="17" borderId="167" xfId="4" applyNumberFormat="1" applyFont="1" applyFill="1" applyBorder="1" applyAlignment="1">
      <alignment horizontal="center" vertical="center"/>
    </xf>
    <xf numFmtId="168" fontId="79" fillId="17" borderId="169" xfId="4" applyNumberFormat="1" applyFont="1" applyFill="1" applyBorder="1" applyAlignment="1">
      <alignment horizontal="center" vertical="center"/>
    </xf>
    <xf numFmtId="168" fontId="53" fillId="12" borderId="177" xfId="4" applyNumberFormat="1" applyFont="1" applyFill="1" applyBorder="1" applyAlignment="1">
      <alignment horizontal="center" vertical="center"/>
    </xf>
    <xf numFmtId="168" fontId="53" fillId="12" borderId="178" xfId="4" applyNumberFormat="1" applyFont="1" applyFill="1" applyBorder="1" applyAlignment="1">
      <alignment horizontal="center" vertical="center"/>
    </xf>
    <xf numFmtId="168" fontId="15" fillId="13" borderId="170" xfId="4" applyNumberFormat="1" applyFont="1" applyFill="1" applyBorder="1" applyAlignment="1">
      <alignment horizontal="center" vertical="center"/>
    </xf>
    <xf numFmtId="168" fontId="15" fillId="13" borderId="172" xfId="4" applyNumberFormat="1" applyFont="1" applyFill="1" applyBorder="1" applyAlignment="1">
      <alignment horizontal="center" vertical="center"/>
    </xf>
    <xf numFmtId="168" fontId="3" fillId="13" borderId="170" xfId="0" applyNumberFormat="1" applyFont="1" applyFill="1" applyBorder="1" applyAlignment="1">
      <alignment horizontal="center" vertical="center"/>
    </xf>
    <xf numFmtId="168" fontId="3" fillId="13" borderId="172" xfId="0" applyNumberFormat="1" applyFont="1" applyFill="1" applyBorder="1" applyAlignment="1">
      <alignment horizontal="center" vertical="center"/>
    </xf>
    <xf numFmtId="168" fontId="79" fillId="17" borderId="170" xfId="4" applyNumberFormat="1" applyFont="1" applyFill="1" applyBorder="1" applyAlignment="1">
      <alignment horizontal="center" vertical="center"/>
    </xf>
    <xf numFmtId="168" fontId="79" fillId="17" borderId="172" xfId="4" applyNumberFormat="1" applyFont="1" applyFill="1" applyBorder="1" applyAlignment="1">
      <alignment horizontal="center" vertical="center"/>
    </xf>
    <xf numFmtId="168" fontId="53" fillId="12" borderId="179" xfId="4" applyNumberFormat="1" applyFont="1" applyFill="1" applyBorder="1" applyAlignment="1">
      <alignment horizontal="center" vertical="center"/>
    </xf>
    <xf numFmtId="168" fontId="53" fillId="12" borderId="180" xfId="4" applyNumberFormat="1" applyFont="1" applyFill="1" applyBorder="1" applyAlignment="1">
      <alignment horizontal="center" vertical="center"/>
    </xf>
    <xf numFmtId="168" fontId="15" fillId="13" borderId="174" xfId="4" applyNumberFormat="1" applyFont="1" applyFill="1" applyBorder="1" applyAlignment="1">
      <alignment horizontal="center" vertical="center"/>
    </xf>
    <xf numFmtId="168" fontId="15" fillId="13" borderId="176" xfId="4" applyNumberFormat="1" applyFont="1" applyFill="1" applyBorder="1" applyAlignment="1">
      <alignment horizontal="center" vertical="center"/>
    </xf>
    <xf numFmtId="168" fontId="3" fillId="13" borderId="174" xfId="0" applyNumberFormat="1" applyFont="1" applyFill="1" applyBorder="1" applyAlignment="1">
      <alignment horizontal="center" vertical="center"/>
    </xf>
    <xf numFmtId="168" fontId="3" fillId="13" borderId="176" xfId="0" applyNumberFormat="1" applyFont="1" applyFill="1" applyBorder="1" applyAlignment="1">
      <alignment horizontal="center" vertical="center"/>
    </xf>
    <xf numFmtId="168" fontId="79" fillId="17" borderId="174" xfId="4" applyNumberFormat="1" applyFont="1" applyFill="1" applyBorder="1" applyAlignment="1">
      <alignment horizontal="center" vertical="center"/>
    </xf>
    <xf numFmtId="168" fontId="79" fillId="17" borderId="176" xfId="4" applyNumberFormat="1" applyFont="1" applyFill="1" applyBorder="1" applyAlignment="1">
      <alignment horizontal="center" vertical="center"/>
    </xf>
    <xf numFmtId="168" fontId="53" fillId="12" borderId="181" xfId="4" applyNumberFormat="1" applyFont="1" applyFill="1" applyBorder="1" applyAlignment="1">
      <alignment horizontal="center" vertical="center"/>
    </xf>
    <xf numFmtId="168" fontId="53" fillId="12" borderId="182" xfId="4" applyNumberFormat="1" applyFont="1" applyFill="1" applyBorder="1" applyAlignment="1">
      <alignment horizontal="center" vertical="center"/>
    </xf>
    <xf numFmtId="0" fontId="74" fillId="24" borderId="99" xfId="0" applyFont="1" applyFill="1" applyBorder="1" applyAlignment="1">
      <alignment horizontal="center" vertical="center"/>
    </xf>
    <xf numFmtId="0" fontId="74" fillId="24" borderId="100" xfId="0" applyFont="1" applyFill="1" applyBorder="1" applyAlignment="1">
      <alignment horizontal="center" vertical="center"/>
    </xf>
    <xf numFmtId="172" fontId="74" fillId="24" borderId="101" xfId="0" applyNumberFormat="1" applyFont="1" applyFill="1" applyBorder="1" applyAlignment="1">
      <alignment horizontal="center" vertical="center"/>
    </xf>
    <xf numFmtId="172" fontId="74" fillId="24" borderId="102" xfId="0" applyNumberFormat="1" applyFont="1" applyFill="1" applyBorder="1" applyAlignment="1">
      <alignment horizontal="center" vertical="center"/>
    </xf>
    <xf numFmtId="172" fontId="74" fillId="24" borderId="103" xfId="0" applyNumberFormat="1" applyFont="1" applyFill="1" applyBorder="1" applyAlignment="1">
      <alignment horizontal="center" vertical="center"/>
    </xf>
    <xf numFmtId="172" fontId="74" fillId="24" borderId="104" xfId="0" applyNumberFormat="1" applyFont="1" applyFill="1" applyBorder="1" applyAlignment="1">
      <alignment horizontal="center" vertical="center"/>
    </xf>
    <xf numFmtId="0" fontId="15" fillId="10" borderId="51" xfId="0" applyFont="1" applyFill="1" applyBorder="1" applyAlignment="1">
      <alignment horizontal="center" vertical="center"/>
    </xf>
    <xf numFmtId="0" fontId="15" fillId="10" borderId="52" xfId="0" applyFont="1" applyFill="1" applyBorder="1" applyAlignment="1">
      <alignment horizontal="center" vertical="center"/>
    </xf>
    <xf numFmtId="0" fontId="23" fillId="10" borderId="52" xfId="0" applyFont="1" applyFill="1" applyBorder="1" applyAlignment="1">
      <alignment horizontal="center" vertical="center"/>
    </xf>
    <xf numFmtId="0" fontId="41" fillId="10" borderId="51" xfId="0" applyFont="1" applyFill="1" applyBorder="1" applyAlignment="1">
      <alignment horizontal="center" vertical="center"/>
    </xf>
    <xf numFmtId="0" fontId="41" fillId="10" borderId="53" xfId="0" applyFont="1" applyFill="1" applyBorder="1" applyAlignment="1">
      <alignment horizontal="center" vertical="center"/>
    </xf>
    <xf numFmtId="0" fontId="3" fillId="12" borderId="16" xfId="0" applyFont="1" applyFill="1" applyBorder="1" applyAlignment="1">
      <alignment horizontal="center" vertical="center"/>
    </xf>
    <xf numFmtId="0" fontId="3" fillId="12" borderId="17" xfId="0" applyFont="1" applyFill="1" applyBorder="1" applyAlignment="1">
      <alignment horizontal="center" vertical="center"/>
    </xf>
    <xf numFmtId="0" fontId="3" fillId="12" borderId="18" xfId="0" applyFont="1" applyFill="1" applyBorder="1" applyAlignment="1">
      <alignment horizontal="center" vertical="center"/>
    </xf>
    <xf numFmtId="0" fontId="18" fillId="12" borderId="54" xfId="0" applyFont="1" applyFill="1" applyBorder="1" applyAlignment="1">
      <alignment horizontal="center" vertical="center"/>
    </xf>
    <xf numFmtId="0" fontId="18" fillId="12" borderId="44" xfId="0" applyFont="1" applyFill="1" applyBorder="1" applyAlignment="1">
      <alignment horizontal="center" vertical="center"/>
    </xf>
    <xf numFmtId="0" fontId="22" fillId="12" borderId="44" xfId="0" applyFont="1" applyFill="1" applyBorder="1" applyAlignment="1">
      <alignment horizontal="center" vertical="center"/>
    </xf>
    <xf numFmtId="0" fontId="18" fillId="12" borderId="55" xfId="0" applyFont="1" applyFill="1" applyBorder="1" applyAlignment="1">
      <alignment horizontal="center" vertical="center"/>
    </xf>
    <xf numFmtId="0" fontId="15" fillId="10" borderId="53" xfId="0" applyFont="1" applyFill="1" applyBorder="1" applyAlignment="1">
      <alignment horizontal="center" vertical="center"/>
    </xf>
    <xf numFmtId="0" fontId="18" fillId="17" borderId="54" xfId="0" applyFont="1" applyFill="1" applyBorder="1" applyAlignment="1">
      <alignment horizontal="center" vertical="center"/>
    </xf>
    <xf numFmtId="0" fontId="18" fillId="17" borderId="55" xfId="0" applyFont="1" applyFill="1" applyBorder="1" applyAlignment="1">
      <alignment horizontal="center" vertical="center"/>
    </xf>
    <xf numFmtId="0" fontId="73" fillId="12" borderId="47" xfId="0" applyNumberFormat="1" applyFont="1" applyFill="1" applyBorder="1" applyAlignment="1">
      <alignment horizontal="center" vertical="center"/>
    </xf>
    <xf numFmtId="0" fontId="73" fillId="12" borderId="48" xfId="0" applyNumberFormat="1" applyFont="1" applyFill="1" applyBorder="1" applyAlignment="1">
      <alignment horizontal="center" vertical="center"/>
    </xf>
    <xf numFmtId="0" fontId="73" fillId="12" borderId="49" xfId="0" applyNumberFormat="1" applyFont="1" applyFill="1" applyBorder="1" applyAlignment="1">
      <alignment horizontal="center" vertical="center"/>
    </xf>
    <xf numFmtId="0" fontId="22" fillId="12" borderId="51" xfId="0" applyFont="1" applyFill="1" applyBorder="1" applyAlignment="1">
      <alignment horizontal="center" vertical="center"/>
    </xf>
    <xf numFmtId="0" fontId="22" fillId="12" borderId="52" xfId="0" applyFont="1" applyFill="1" applyBorder="1" applyAlignment="1">
      <alignment horizontal="center" vertical="center"/>
    </xf>
    <xf numFmtId="0" fontId="5" fillId="12" borderId="111" xfId="0" applyFont="1" applyFill="1" applyBorder="1" applyAlignment="1">
      <alignment horizontal="center" vertical="center"/>
    </xf>
    <xf numFmtId="0" fontId="5" fillId="12" borderId="138" xfId="0" applyFont="1" applyFill="1" applyBorder="1" applyAlignment="1">
      <alignment horizontal="center" vertical="center"/>
    </xf>
    <xf numFmtId="0" fontId="5" fillId="12" borderId="114" xfId="0" applyFont="1" applyFill="1" applyBorder="1" applyAlignment="1">
      <alignment horizontal="center" vertical="center"/>
    </xf>
    <xf numFmtId="0" fontId="6" fillId="17" borderId="54" xfId="0" applyFont="1" applyFill="1" applyBorder="1" applyAlignment="1">
      <alignment horizontal="center" vertical="center"/>
    </xf>
    <xf numFmtId="0" fontId="6" fillId="17" borderId="55" xfId="0" applyFont="1" applyFill="1" applyBorder="1" applyAlignment="1">
      <alignment horizontal="center" vertical="center"/>
    </xf>
    <xf numFmtId="0" fontId="3" fillId="12" borderId="44" xfId="0" applyFont="1" applyFill="1" applyBorder="1" applyAlignment="1">
      <alignment horizontal="center" vertical="center"/>
    </xf>
    <xf numFmtId="0" fontId="53" fillId="17" borderId="56" xfId="3" applyFont="1" applyFill="1" applyBorder="1" applyAlignment="1">
      <alignment horizontal="center" vertical="center"/>
    </xf>
    <xf numFmtId="0" fontId="53" fillId="17" borderId="57" xfId="3" applyFont="1" applyFill="1" applyBorder="1" applyAlignment="1">
      <alignment horizontal="center" vertical="center"/>
    </xf>
    <xf numFmtId="0" fontId="18" fillId="10" borderId="51" xfId="0" applyFont="1" applyFill="1" applyBorder="1" applyAlignment="1">
      <alignment horizontal="center" vertical="center"/>
    </xf>
    <xf numFmtId="0" fontId="18" fillId="10" borderId="52" xfId="0" applyFont="1" applyFill="1" applyBorder="1" applyAlignment="1">
      <alignment horizontal="center" vertical="center"/>
    </xf>
    <xf numFmtId="0" fontId="18" fillId="10" borderId="53" xfId="0" applyFont="1" applyFill="1" applyBorder="1" applyAlignment="1">
      <alignment horizontal="center" vertical="center"/>
    </xf>
    <xf numFmtId="168" fontId="53" fillId="17" borderId="54" xfId="3" applyNumberFormat="1" applyFont="1" applyFill="1" applyBorder="1" applyAlignment="1">
      <alignment horizontal="center" vertical="center"/>
    </xf>
    <xf numFmtId="168" fontId="53" fillId="17" borderId="44" xfId="3" applyNumberFormat="1" applyFont="1" applyFill="1" applyBorder="1" applyAlignment="1">
      <alignment horizontal="center" vertical="center"/>
    </xf>
    <xf numFmtId="168" fontId="53" fillId="17" borderId="44" xfId="0" applyNumberFormat="1" applyFont="1" applyFill="1" applyBorder="1" applyAlignment="1">
      <alignment horizontal="center" vertical="center"/>
    </xf>
    <xf numFmtId="168" fontId="53" fillId="17" borderId="55" xfId="3" applyNumberFormat="1" applyFont="1" applyFill="1" applyBorder="1" applyAlignment="1">
      <alignment horizontal="center" vertical="center"/>
    </xf>
    <xf numFmtId="0" fontId="4" fillId="17" borderId="54" xfId="0" applyFont="1" applyFill="1" applyBorder="1" applyAlignment="1">
      <alignment horizontal="center" vertical="center"/>
    </xf>
    <xf numFmtId="0" fontId="4" fillId="17" borderId="55" xfId="0" applyFont="1" applyFill="1" applyBorder="1" applyAlignment="1">
      <alignment horizontal="center" vertical="center"/>
    </xf>
    <xf numFmtId="0" fontId="6" fillId="3" borderId="128" xfId="0" applyFont="1" applyFill="1" applyBorder="1" applyAlignment="1">
      <alignment horizontal="center" vertical="center"/>
    </xf>
    <xf numFmtId="0" fontId="6" fillId="3" borderId="129" xfId="0" applyFont="1" applyFill="1" applyBorder="1" applyAlignment="1">
      <alignment horizontal="center" vertical="center"/>
    </xf>
    <xf numFmtId="173" fontId="4" fillId="3" borderId="134" xfId="0" applyNumberFormat="1" applyFont="1" applyFill="1" applyBorder="1" applyAlignment="1">
      <alignment horizontal="center" vertical="center"/>
    </xf>
    <xf numFmtId="173" fontId="4" fillId="3" borderId="135" xfId="0" applyNumberFormat="1" applyFont="1" applyFill="1" applyBorder="1" applyAlignment="1">
      <alignment horizontal="center" vertical="center"/>
    </xf>
    <xf numFmtId="0" fontId="38" fillId="14" borderId="25" xfId="0" applyFont="1" applyFill="1" applyBorder="1" applyAlignment="1">
      <alignment horizontal="center" vertical="center"/>
    </xf>
    <xf numFmtId="0" fontId="38" fillId="14" borderId="26" xfId="0" applyFont="1" applyFill="1" applyBorder="1" applyAlignment="1">
      <alignment horizontal="center" vertical="center"/>
    </xf>
    <xf numFmtId="0" fontId="38" fillId="14" borderId="27" xfId="0" applyFont="1" applyFill="1" applyBorder="1" applyAlignment="1">
      <alignment horizontal="center" vertical="center"/>
    </xf>
    <xf numFmtId="0" fontId="41" fillId="12" borderId="32" xfId="0" applyFont="1" applyFill="1" applyBorder="1" applyAlignment="1">
      <alignment horizontal="center" vertical="center"/>
    </xf>
    <xf numFmtId="0" fontId="5" fillId="12" borderId="33" xfId="0" applyFont="1" applyFill="1" applyBorder="1" applyAlignment="1">
      <alignment horizontal="center" vertical="center"/>
    </xf>
    <xf numFmtId="0" fontId="5" fillId="12" borderId="34" xfId="0" applyFont="1" applyFill="1" applyBorder="1" applyAlignment="1">
      <alignment horizontal="center" vertical="center"/>
    </xf>
    <xf numFmtId="0" fontId="54" fillId="17" borderId="57" xfId="0" applyNumberFormat="1" applyFont="1" applyFill="1" applyBorder="1" applyAlignment="1">
      <alignment horizontal="center" vertical="center"/>
    </xf>
    <xf numFmtId="0" fontId="53" fillId="17" borderId="58" xfId="3" applyFont="1" applyFill="1" applyBorder="1" applyAlignment="1">
      <alignment horizontal="center" vertical="center"/>
    </xf>
    <xf numFmtId="0" fontId="7" fillId="17" borderId="54" xfId="0" applyFont="1" applyFill="1" applyBorder="1" applyAlignment="1">
      <alignment horizontal="center" vertical="center"/>
    </xf>
    <xf numFmtId="0" fontId="7" fillId="17" borderId="55" xfId="0" applyFont="1" applyFill="1" applyBorder="1" applyAlignment="1">
      <alignment horizontal="center" vertical="center"/>
    </xf>
    <xf numFmtId="0" fontId="4" fillId="17" borderId="56" xfId="0" applyFont="1" applyFill="1" applyBorder="1" applyAlignment="1">
      <alignment horizontal="center" vertical="center"/>
    </xf>
    <xf numFmtId="0" fontId="4" fillId="17" borderId="58" xfId="0" applyFont="1" applyFill="1" applyBorder="1" applyAlignment="1">
      <alignment horizontal="center" vertical="center"/>
    </xf>
    <xf numFmtId="173" fontId="4" fillId="3" borderId="130" xfId="0" applyNumberFormat="1" applyFont="1" applyFill="1" applyBorder="1" applyAlignment="1">
      <alignment horizontal="center" vertical="center"/>
    </xf>
    <xf numFmtId="173" fontId="4" fillId="3" borderId="131" xfId="0" applyNumberFormat="1" applyFont="1" applyFill="1" applyBorder="1" applyAlignment="1">
      <alignment horizontal="center" vertical="center"/>
    </xf>
    <xf numFmtId="0" fontId="37" fillId="19" borderId="54" xfId="0" applyFont="1" applyFill="1" applyBorder="1" applyAlignment="1">
      <alignment horizontal="center" vertical="center"/>
    </xf>
    <xf numFmtId="0" fontId="37" fillId="19" borderId="55" xfId="0" applyFont="1" applyFill="1" applyBorder="1" applyAlignment="1">
      <alignment horizontal="center" vertical="center"/>
    </xf>
    <xf numFmtId="172" fontId="71" fillId="15" borderId="0" xfId="0" applyNumberFormat="1" applyFont="1" applyFill="1" applyBorder="1" applyAlignment="1">
      <alignment horizontal="left" vertical="center"/>
    </xf>
    <xf numFmtId="173" fontId="4" fillId="3" borderId="132" xfId="0" applyNumberFormat="1" applyFont="1" applyFill="1" applyBorder="1" applyAlignment="1">
      <alignment horizontal="center" vertical="center"/>
    </xf>
    <xf numFmtId="173" fontId="4" fillId="3" borderId="133" xfId="0" applyNumberFormat="1" applyFont="1" applyFill="1" applyBorder="1" applyAlignment="1">
      <alignment horizontal="center" vertical="center"/>
    </xf>
    <xf numFmtId="0" fontId="6" fillId="3" borderId="126" xfId="0" applyFont="1" applyFill="1" applyBorder="1" applyAlignment="1">
      <alignment horizontal="center" vertical="center"/>
    </xf>
    <xf numFmtId="0" fontId="6" fillId="3" borderId="127" xfId="0" applyFont="1" applyFill="1" applyBorder="1" applyAlignment="1">
      <alignment horizontal="center" vertical="center"/>
    </xf>
    <xf numFmtId="0" fontId="6" fillId="3" borderId="124" xfId="0" applyFont="1" applyFill="1" applyBorder="1" applyAlignment="1">
      <alignment horizontal="center" vertical="center"/>
    </xf>
    <xf numFmtId="0" fontId="6" fillId="3" borderId="125" xfId="0" applyFont="1" applyFill="1" applyBorder="1" applyAlignment="1">
      <alignment horizontal="center" vertical="center"/>
    </xf>
    <xf numFmtId="0" fontId="0" fillId="17" borderId="54" xfId="0" applyFill="1" applyBorder="1" applyAlignment="1">
      <alignment horizontal="center" vertical="center"/>
    </xf>
    <xf numFmtId="0" fontId="0" fillId="17" borderId="55" xfId="0" applyFill="1" applyBorder="1" applyAlignment="1">
      <alignment horizontal="center" vertical="center"/>
    </xf>
    <xf numFmtId="0" fontId="65" fillId="12" borderId="0" xfId="0" applyFont="1" applyFill="1" applyAlignment="1">
      <alignment horizontal="center" vertical="center"/>
    </xf>
    <xf numFmtId="0" fontId="3" fillId="10" borderId="16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/>
    </xf>
    <xf numFmtId="0" fontId="3" fillId="10" borderId="18" xfId="0" applyFont="1" applyFill="1" applyBorder="1" applyAlignment="1">
      <alignment horizontal="center" vertical="center"/>
    </xf>
    <xf numFmtId="0" fontId="38" fillId="22" borderId="25" xfId="0" applyFont="1" applyFill="1" applyBorder="1" applyAlignment="1">
      <alignment horizontal="center" vertical="center"/>
    </xf>
    <xf numFmtId="0" fontId="38" fillId="22" borderId="26" xfId="0" applyFont="1" applyFill="1" applyBorder="1" applyAlignment="1">
      <alignment horizontal="center" vertical="center"/>
    </xf>
    <xf numFmtId="0" fontId="38" fillId="22" borderId="27" xfId="0" applyFont="1" applyFill="1" applyBorder="1" applyAlignment="1">
      <alignment horizontal="center" vertical="center"/>
    </xf>
    <xf numFmtId="0" fontId="18" fillId="14" borderId="119" xfId="0" applyFont="1" applyFill="1" applyBorder="1" applyAlignment="1">
      <alignment horizontal="center"/>
    </xf>
    <xf numFmtId="0" fontId="18" fillId="14" borderId="120" xfId="0" applyFont="1" applyFill="1" applyBorder="1" applyAlignment="1">
      <alignment horizontal="center"/>
    </xf>
    <xf numFmtId="0" fontId="18" fillId="12" borderId="136" xfId="0" applyFont="1" applyFill="1" applyBorder="1" applyAlignment="1" applyProtection="1">
      <alignment horizontal="center" vertical="center"/>
    </xf>
    <xf numFmtId="0" fontId="18" fillId="12" borderId="50" xfId="0" applyFont="1" applyFill="1" applyBorder="1" applyAlignment="1" applyProtection="1">
      <alignment horizontal="center" vertical="center"/>
    </xf>
    <xf numFmtId="0" fontId="56" fillId="7" borderId="0" xfId="0" applyFont="1" applyFill="1" applyAlignment="1">
      <alignment horizontal="center" vertical="center"/>
    </xf>
    <xf numFmtId="0" fontId="47" fillId="12" borderId="68" xfId="0" applyFont="1" applyFill="1" applyBorder="1" applyAlignment="1" applyProtection="1">
      <alignment horizontal="center" vertical="center"/>
      <protection locked="0"/>
    </xf>
    <xf numFmtId="0" fontId="47" fillId="12" borderId="71" xfId="0" applyFont="1" applyFill="1" applyBorder="1" applyAlignment="1" applyProtection="1">
      <alignment horizontal="center" vertical="center"/>
      <protection locked="0"/>
    </xf>
    <xf numFmtId="0" fontId="48" fillId="12" borderId="66" xfId="0" applyFont="1" applyFill="1" applyBorder="1" applyAlignment="1">
      <alignment horizontal="center" vertical="center"/>
    </xf>
    <xf numFmtId="0" fontId="48" fillId="12" borderId="67" xfId="0" applyFont="1" applyFill="1" applyBorder="1" applyAlignment="1">
      <alignment horizontal="center" vertical="center"/>
    </xf>
    <xf numFmtId="0" fontId="48" fillId="12" borderId="69" xfId="0" applyFont="1" applyFill="1" applyBorder="1" applyAlignment="1">
      <alignment horizontal="center" vertical="center"/>
    </xf>
    <xf numFmtId="0" fontId="48" fillId="12" borderId="70" xfId="0" applyFont="1" applyFill="1" applyBorder="1" applyAlignment="1">
      <alignment horizontal="center" vertical="center"/>
    </xf>
    <xf numFmtId="0" fontId="67" fillId="24" borderId="118" xfId="0" applyFont="1" applyFill="1" applyBorder="1" applyAlignment="1">
      <alignment horizontal="center" vertical="center"/>
    </xf>
    <xf numFmtId="0" fontId="67" fillId="24" borderId="119" xfId="0" applyFont="1" applyFill="1" applyBorder="1" applyAlignment="1">
      <alignment horizontal="center" vertical="center"/>
    </xf>
    <xf numFmtId="0" fontId="75" fillId="12" borderId="109" xfId="0" applyFont="1" applyFill="1" applyBorder="1" applyAlignment="1">
      <alignment horizontal="right" vertical="center"/>
    </xf>
    <xf numFmtId="0" fontId="75" fillId="12" borderId="110" xfId="0" applyFont="1" applyFill="1" applyBorder="1" applyAlignment="1">
      <alignment horizontal="right" vertical="center"/>
    </xf>
    <xf numFmtId="0" fontId="75" fillId="12" borderId="112" xfId="0" applyFont="1" applyFill="1" applyBorder="1" applyAlignment="1">
      <alignment horizontal="right" vertical="center"/>
    </xf>
    <xf numFmtId="0" fontId="75" fillId="12" borderId="113" xfId="0" applyFont="1" applyFill="1" applyBorder="1" applyAlignment="1">
      <alignment horizontal="right" vertical="center"/>
    </xf>
    <xf numFmtId="172" fontId="75" fillId="12" borderId="110" xfId="0" applyNumberFormat="1" applyFont="1" applyFill="1" applyBorder="1" applyAlignment="1">
      <alignment horizontal="center" vertical="center"/>
    </xf>
    <xf numFmtId="172" fontId="75" fillId="12" borderId="111" xfId="0" applyNumberFormat="1" applyFont="1" applyFill="1" applyBorder="1" applyAlignment="1">
      <alignment horizontal="center" vertical="center"/>
    </xf>
    <xf numFmtId="172" fontId="75" fillId="12" borderId="113" xfId="0" applyNumberFormat="1" applyFont="1" applyFill="1" applyBorder="1" applyAlignment="1">
      <alignment horizontal="center" vertical="center"/>
    </xf>
    <xf numFmtId="172" fontId="75" fillId="12" borderId="114" xfId="0" applyNumberFormat="1" applyFont="1" applyFill="1" applyBorder="1" applyAlignment="1">
      <alignment horizontal="center" vertical="center"/>
    </xf>
    <xf numFmtId="0" fontId="68" fillId="25" borderId="89" xfId="0" applyFont="1" applyFill="1" applyBorder="1" applyAlignment="1" applyProtection="1">
      <alignment horizontal="center" vertical="center"/>
      <protection locked="0"/>
    </xf>
    <xf numFmtId="0" fontId="68" fillId="25" borderId="90" xfId="0" applyFont="1" applyFill="1" applyBorder="1" applyAlignment="1" applyProtection="1">
      <alignment horizontal="center" vertical="center"/>
      <protection locked="0"/>
    </xf>
    <xf numFmtId="173" fontId="4" fillId="25" borderId="93" xfId="0" applyNumberFormat="1" applyFont="1" applyFill="1" applyBorder="1" applyAlignment="1" applyProtection="1">
      <alignment horizontal="center" vertical="center"/>
      <protection locked="0"/>
    </xf>
    <xf numFmtId="173" fontId="4" fillId="25" borderId="91" xfId="0" applyNumberFormat="1" applyFont="1" applyFill="1" applyBorder="1" applyAlignment="1" applyProtection="1">
      <alignment horizontal="center" vertical="center"/>
      <protection locked="0"/>
    </xf>
    <xf numFmtId="0" fontId="68" fillId="25" borderId="105" xfId="0" applyFont="1" applyFill="1" applyBorder="1" applyAlignment="1" applyProtection="1">
      <alignment horizontal="center" vertical="center"/>
      <protection locked="0"/>
    </xf>
    <xf numFmtId="0" fontId="68" fillId="25" borderId="106" xfId="0" applyFont="1" applyFill="1" applyBorder="1" applyAlignment="1" applyProtection="1">
      <alignment horizontal="center" vertical="center"/>
      <protection locked="0"/>
    </xf>
    <xf numFmtId="173" fontId="4" fillId="25" borderId="107" xfId="0" applyNumberFormat="1" applyFont="1" applyFill="1" applyBorder="1" applyAlignment="1" applyProtection="1">
      <alignment horizontal="center" vertical="center"/>
      <protection locked="0"/>
    </xf>
    <xf numFmtId="173" fontId="4" fillId="25" borderId="108" xfId="0" applyNumberFormat="1" applyFont="1" applyFill="1" applyBorder="1" applyAlignment="1" applyProtection="1">
      <alignment horizontal="center" vertical="center"/>
      <protection locked="0"/>
    </xf>
    <xf numFmtId="0" fontId="68" fillId="25" borderId="87" xfId="0" applyFont="1" applyFill="1" applyBorder="1" applyAlignment="1" applyProtection="1">
      <alignment horizontal="center" vertical="center"/>
      <protection locked="0"/>
    </xf>
    <xf numFmtId="0" fontId="68" fillId="25" borderId="88" xfId="0" applyFont="1" applyFill="1" applyBorder="1" applyAlignment="1" applyProtection="1">
      <alignment horizontal="center" vertical="center"/>
      <protection locked="0"/>
    </xf>
    <xf numFmtId="173" fontId="4" fillId="25" borderId="92" xfId="0" applyNumberFormat="1" applyFont="1" applyFill="1" applyBorder="1" applyAlignment="1" applyProtection="1">
      <alignment horizontal="center" vertical="center"/>
      <protection locked="0"/>
    </xf>
    <xf numFmtId="173" fontId="4" fillId="25" borderId="86" xfId="0" applyNumberFormat="1" applyFont="1" applyFill="1" applyBorder="1" applyAlignment="1" applyProtection="1">
      <alignment horizontal="center" vertical="center"/>
      <protection locked="0"/>
    </xf>
    <xf numFmtId="0" fontId="46" fillId="12" borderId="109" xfId="0" applyFont="1" applyFill="1" applyBorder="1" applyAlignment="1">
      <alignment horizontal="center"/>
    </xf>
    <xf numFmtId="0" fontId="46" fillId="12" borderId="110" xfId="0" applyFont="1" applyFill="1" applyBorder="1" applyAlignment="1">
      <alignment horizontal="center"/>
    </xf>
    <xf numFmtId="0" fontId="46" fillId="12" borderId="111" xfId="0" applyFont="1" applyFill="1" applyBorder="1" applyAlignment="1">
      <alignment horizontal="center"/>
    </xf>
    <xf numFmtId="0" fontId="46" fillId="12" borderId="112" xfId="0" applyFont="1" applyFill="1" applyBorder="1" applyAlignment="1">
      <alignment horizontal="center"/>
    </xf>
    <xf numFmtId="0" fontId="46" fillId="12" borderId="113" xfId="0" applyFont="1" applyFill="1" applyBorder="1" applyAlignment="1">
      <alignment horizontal="center"/>
    </xf>
    <xf numFmtId="0" fontId="46" fillId="12" borderId="114" xfId="0" applyFont="1" applyFill="1" applyBorder="1" applyAlignment="1">
      <alignment horizontal="center"/>
    </xf>
    <xf numFmtId="0" fontId="46" fillId="30" borderId="66" xfId="0" applyFont="1" applyFill="1" applyBorder="1" applyAlignment="1">
      <alignment horizontal="center" vertical="top" wrapText="1"/>
    </xf>
    <xf numFmtId="0" fontId="46" fillId="30" borderId="67" xfId="0" applyFont="1" applyFill="1" applyBorder="1" applyAlignment="1">
      <alignment horizontal="center" vertical="top" wrapText="1"/>
    </xf>
    <xf numFmtId="0" fontId="46" fillId="30" borderId="68" xfId="0" applyFont="1" applyFill="1" applyBorder="1" applyAlignment="1">
      <alignment horizontal="center" vertical="top" wrapText="1"/>
    </xf>
    <xf numFmtId="0" fontId="46" fillId="30" borderId="84" xfId="0" applyFont="1" applyFill="1" applyBorder="1" applyAlignment="1">
      <alignment horizontal="center" vertical="top" wrapText="1"/>
    </xf>
    <xf numFmtId="0" fontId="46" fillId="30" borderId="0" xfId="0" applyFont="1" applyFill="1" applyBorder="1" applyAlignment="1">
      <alignment horizontal="center" vertical="top" wrapText="1"/>
    </xf>
    <xf numFmtId="0" fontId="46" fillId="30" borderId="85" xfId="0" applyFont="1" applyFill="1" applyBorder="1" applyAlignment="1">
      <alignment horizontal="center" vertical="top" wrapText="1"/>
    </xf>
    <xf numFmtId="0" fontId="46" fillId="30" borderId="69" xfId="0" applyFont="1" applyFill="1" applyBorder="1" applyAlignment="1">
      <alignment horizontal="center" vertical="top" wrapText="1"/>
    </xf>
    <xf numFmtId="0" fontId="46" fillId="30" borderId="70" xfId="0" applyFont="1" applyFill="1" applyBorder="1" applyAlignment="1">
      <alignment horizontal="center" vertical="top" wrapText="1"/>
    </xf>
    <xf numFmtId="0" fontId="46" fillId="30" borderId="71" xfId="0" applyFont="1" applyFill="1" applyBorder="1" applyAlignment="1">
      <alignment horizontal="center" vertical="top" wrapText="1"/>
    </xf>
    <xf numFmtId="0" fontId="18" fillId="28" borderId="98" xfId="0" applyFont="1" applyFill="1" applyBorder="1" applyAlignment="1">
      <alignment horizontal="center"/>
    </xf>
    <xf numFmtId="0" fontId="18" fillId="28" borderId="10" xfId="0" applyFont="1" applyFill="1" applyBorder="1" applyAlignment="1">
      <alignment horizontal="center"/>
    </xf>
    <xf numFmtId="49" fontId="18" fillId="28" borderId="94" xfId="0" applyNumberFormat="1" applyFont="1" applyFill="1" applyBorder="1" applyAlignment="1">
      <alignment horizontal="center"/>
    </xf>
    <xf numFmtId="49" fontId="18" fillId="28" borderId="13" xfId="0" applyNumberFormat="1" applyFont="1" applyFill="1" applyBorder="1" applyAlignment="1">
      <alignment horizontal="center"/>
    </xf>
    <xf numFmtId="0" fontId="18" fillId="27" borderId="14" xfId="0" applyFont="1" applyFill="1" applyBorder="1" applyAlignment="1">
      <alignment horizontal="center"/>
    </xf>
    <xf numFmtId="0" fontId="18" fillId="27" borderId="15" xfId="0" applyFont="1" applyFill="1" applyBorder="1" applyAlignment="1">
      <alignment horizontal="center"/>
    </xf>
    <xf numFmtId="0" fontId="76" fillId="12" borderId="109" xfId="0" applyFont="1" applyFill="1" applyBorder="1" applyAlignment="1">
      <alignment horizontal="center" vertical="center"/>
    </xf>
    <xf numFmtId="0" fontId="76" fillId="12" borderId="110" xfId="0" applyFont="1" applyFill="1" applyBorder="1" applyAlignment="1">
      <alignment horizontal="center" vertical="center"/>
    </xf>
    <xf numFmtId="0" fontId="76" fillId="12" borderId="111" xfId="0" applyFont="1" applyFill="1" applyBorder="1" applyAlignment="1">
      <alignment horizontal="center" vertical="center"/>
    </xf>
    <xf numFmtId="0" fontId="76" fillId="12" borderId="112" xfId="0" applyFont="1" applyFill="1" applyBorder="1" applyAlignment="1">
      <alignment horizontal="center" vertical="center"/>
    </xf>
    <xf numFmtId="0" fontId="76" fillId="12" borderId="113" xfId="0" applyFont="1" applyFill="1" applyBorder="1" applyAlignment="1">
      <alignment horizontal="center" vertical="center"/>
    </xf>
    <xf numFmtId="0" fontId="76" fillId="12" borderId="114" xfId="0" applyFont="1" applyFill="1" applyBorder="1" applyAlignment="1">
      <alignment horizontal="center" vertical="center"/>
    </xf>
    <xf numFmtId="0" fontId="18" fillId="12" borderId="137" xfId="0" applyFont="1" applyFill="1" applyBorder="1" applyAlignment="1">
      <alignment horizontal="center" vertical="center"/>
    </xf>
    <xf numFmtId="0" fontId="18" fillId="12" borderId="0" xfId="0" applyFont="1" applyFill="1" applyBorder="1" applyAlignment="1">
      <alignment horizontal="center" vertical="center"/>
    </xf>
    <xf numFmtId="0" fontId="18" fillId="12" borderId="138" xfId="0" applyFont="1" applyFill="1" applyBorder="1" applyAlignment="1">
      <alignment horizontal="center" vertical="center"/>
    </xf>
    <xf numFmtId="0" fontId="80" fillId="12" borderId="112" xfId="0" applyFont="1" applyFill="1" applyBorder="1" applyAlignment="1">
      <alignment horizontal="center" vertical="center"/>
    </xf>
    <xf numFmtId="0" fontId="80" fillId="12" borderId="113" xfId="0" applyFont="1" applyFill="1" applyBorder="1" applyAlignment="1">
      <alignment horizontal="center" vertical="center"/>
    </xf>
    <xf numFmtId="0" fontId="80" fillId="12" borderId="114" xfId="0" applyFont="1" applyFill="1" applyBorder="1" applyAlignment="1">
      <alignment horizontal="center" vertical="center"/>
    </xf>
    <xf numFmtId="0" fontId="78" fillId="24" borderId="139" xfId="0" applyFont="1" applyFill="1" applyBorder="1" applyAlignment="1">
      <alignment horizontal="center"/>
    </xf>
    <xf numFmtId="0" fontId="78" fillId="24" borderId="140" xfId="0" applyFont="1" applyFill="1" applyBorder="1" applyAlignment="1">
      <alignment horizontal="center"/>
    </xf>
    <xf numFmtId="0" fontId="78" fillId="24" borderId="141" xfId="0" applyFont="1" applyFill="1" applyBorder="1" applyAlignment="1">
      <alignment horizontal="center"/>
    </xf>
    <xf numFmtId="0" fontId="81" fillId="12" borderId="109" xfId="0" applyFont="1" applyFill="1" applyBorder="1" applyAlignment="1">
      <alignment horizontal="center" vertical="center"/>
    </xf>
    <xf numFmtId="0" fontId="81" fillId="12" borderId="110" xfId="0" applyFont="1" applyFill="1" applyBorder="1" applyAlignment="1">
      <alignment horizontal="center" vertical="center"/>
    </xf>
    <xf numFmtId="0" fontId="81" fillId="12" borderId="111" xfId="0" applyFont="1" applyFill="1" applyBorder="1" applyAlignment="1">
      <alignment horizontal="center" vertical="center"/>
    </xf>
    <xf numFmtId="0" fontId="81" fillId="12" borderId="137" xfId="0" applyFont="1" applyFill="1" applyBorder="1" applyAlignment="1">
      <alignment horizontal="center" vertical="center"/>
    </xf>
    <xf numFmtId="0" fontId="81" fillId="12" borderId="0" xfId="0" applyFont="1" applyFill="1" applyBorder="1" applyAlignment="1">
      <alignment horizontal="center" vertical="center"/>
    </xf>
    <xf numFmtId="0" fontId="81" fillId="12" borderId="138" xfId="0" applyFont="1" applyFill="1" applyBorder="1" applyAlignment="1">
      <alignment horizontal="center" vertical="center"/>
    </xf>
    <xf numFmtId="0" fontId="81" fillId="12" borderId="112" xfId="0" applyFont="1" applyFill="1" applyBorder="1" applyAlignment="1">
      <alignment horizontal="center" vertical="center"/>
    </xf>
    <xf numFmtId="0" fontId="81" fillId="12" borderId="113" xfId="0" applyFont="1" applyFill="1" applyBorder="1" applyAlignment="1">
      <alignment horizontal="center" vertical="center"/>
    </xf>
    <xf numFmtId="0" fontId="81" fillId="12" borderId="114" xfId="0" applyFont="1" applyFill="1" applyBorder="1" applyAlignment="1">
      <alignment horizontal="center" vertical="center"/>
    </xf>
  </cellXfs>
  <cellStyles count="47">
    <cellStyle name="Excel Built-in Normal" xfId="2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Neutre" xfId="3" builtinId="28"/>
    <cellStyle name="Normal" xfId="0" builtinId="0"/>
    <cellStyle name="Normal 2" xfId="1"/>
    <cellStyle name="Sortie" xfId="4" builtinId="21"/>
  </cellStyles>
  <dxfs count="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 patternType="solid">
          <fgColor indexed="64"/>
          <bgColor rgb="FFFFFF9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rgb="FFFF0000"/>
        </patternFill>
      </fill>
    </dxf>
  </dxfs>
  <tableStyles count="0" defaultTableStyle="TableStyleMedium9" defaultPivotStyle="PivotStyleLight16"/>
  <colors>
    <mruColors>
      <color rgb="FF00FF00"/>
      <color rgb="FF0087E8"/>
      <color rgb="FFD2FDCC"/>
      <color rgb="FFE0FD9F"/>
      <color rgb="FFBFE771"/>
      <color rgb="FFA2C45F"/>
      <color rgb="FFAEFB88"/>
      <color rgb="FFD0FC7C"/>
      <color rgb="FF99E352"/>
      <color rgb="FFC6FDC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268110</xdr:colOff>
      <xdr:row>1</xdr:row>
      <xdr:rowOff>28221</xdr:rowOff>
    </xdr:from>
    <xdr:to>
      <xdr:col>19</xdr:col>
      <xdr:colOff>620888</xdr:colOff>
      <xdr:row>2</xdr:row>
      <xdr:rowOff>296332</xdr:rowOff>
    </xdr:to>
    <xdr:sp macro="[0]!MasquerStats" textlink="">
      <xdr:nvSpPr>
        <xdr:cNvPr id="2" name="Plaque 1"/>
        <xdr:cNvSpPr/>
      </xdr:nvSpPr>
      <xdr:spPr>
        <a:xfrm>
          <a:off x="13385800" y="218721"/>
          <a:ext cx="0" cy="357011"/>
        </a:xfrm>
        <a:prstGeom prst="bevel">
          <a:avLst/>
        </a:prstGeom>
        <a:solidFill>
          <a:srgbClr val="7030A0"/>
        </a:solidFill>
        <a:effectLst>
          <a:glow rad="139700">
            <a:schemeClr val="accent4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Masquer</a:t>
          </a:r>
          <a:r>
            <a:rPr lang="fr-FR" sz="1400" b="1" baseline="0">
              <a:solidFill>
                <a:schemeClr val="bg1"/>
              </a:solidFill>
            </a:rPr>
            <a:t> les statistiques détaillées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14</xdr:col>
      <xdr:colOff>395106</xdr:colOff>
      <xdr:row>2</xdr:row>
      <xdr:rowOff>0</xdr:rowOff>
    </xdr:from>
    <xdr:to>
      <xdr:col>14</xdr:col>
      <xdr:colOff>3824110</xdr:colOff>
      <xdr:row>4</xdr:row>
      <xdr:rowOff>70555</xdr:rowOff>
    </xdr:to>
    <xdr:sp macro="[0]!AfficherStats" textlink="">
      <xdr:nvSpPr>
        <xdr:cNvPr id="4" name="Plaque 3"/>
        <xdr:cNvSpPr/>
      </xdr:nvSpPr>
      <xdr:spPr>
        <a:xfrm>
          <a:off x="10315217" y="395111"/>
          <a:ext cx="3429004" cy="465666"/>
        </a:xfrm>
        <a:prstGeom prst="bevel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>
          <a:glow rad="139700">
            <a:schemeClr val="tx1"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Afficher les statistiques détaillées</a:t>
          </a:r>
        </a:p>
      </xdr:txBody>
    </xdr:sp>
    <xdr:clientData/>
  </xdr:twoCellAnchor>
  <xdr:twoCellAnchor>
    <xdr:from>
      <xdr:col>33</xdr:col>
      <xdr:colOff>141111</xdr:colOff>
      <xdr:row>26</xdr:row>
      <xdr:rowOff>98781</xdr:rowOff>
    </xdr:from>
    <xdr:to>
      <xdr:col>36</xdr:col>
      <xdr:colOff>620889</xdr:colOff>
      <xdr:row>29</xdr:row>
      <xdr:rowOff>98778</xdr:rowOff>
    </xdr:to>
    <xdr:sp macro="[0]!EffacerTableau" textlink="">
      <xdr:nvSpPr>
        <xdr:cNvPr id="5" name="Plaque 4"/>
        <xdr:cNvSpPr/>
      </xdr:nvSpPr>
      <xdr:spPr>
        <a:xfrm>
          <a:off x="28659667" y="5334003"/>
          <a:ext cx="3810000" cy="592664"/>
        </a:xfrm>
        <a:prstGeom prst="bevel">
          <a:avLst/>
        </a:prstGeom>
        <a:solidFill>
          <a:srgbClr val="FF0000"/>
        </a:solidFill>
        <a:ln>
          <a:solidFill>
            <a:srgbClr val="C00000"/>
          </a:solidFill>
        </a:ln>
        <a:effectLst>
          <a:glow rad="139700">
            <a:schemeClr val="accent2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Remettre à zéro ce tableau </a:t>
          </a:r>
          <a:r>
            <a:rPr lang="bg-BG" sz="1400" b="1" cap="none" spc="0">
              <a:ln>
                <a:noFill/>
              </a:ln>
              <a:solidFill>
                <a:schemeClr val="bg1"/>
              </a:solidFill>
              <a:effectLst/>
            </a:rPr>
            <a:t>/!\</a:t>
          </a:r>
          <a:r>
            <a:rPr lang="fr-FR" sz="1400" b="1" cap="none" spc="0">
              <a:ln>
                <a:noFill/>
              </a:ln>
              <a:solidFill>
                <a:schemeClr val="bg1"/>
              </a:solidFill>
              <a:effectLst/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352778</xdr:colOff>
      <xdr:row>25</xdr:row>
      <xdr:rowOff>56447</xdr:rowOff>
    </xdr:from>
    <xdr:to>
      <xdr:col>19</xdr:col>
      <xdr:colOff>773289</xdr:colOff>
      <xdr:row>38</xdr:row>
      <xdr:rowOff>42335</xdr:rowOff>
    </xdr:to>
    <xdr:sp macro="" textlink="">
      <xdr:nvSpPr>
        <xdr:cNvPr id="4" name="Rectangle avec flèche vers le haut 3"/>
        <xdr:cNvSpPr/>
      </xdr:nvSpPr>
      <xdr:spPr>
        <a:xfrm>
          <a:off x="13095111" y="4826003"/>
          <a:ext cx="3214511" cy="2384776"/>
        </a:xfrm>
        <a:prstGeom prst="upArrowCallout">
          <a:avLst/>
        </a:prstGeom>
        <a:effectLst>
          <a:glow rad="139700">
            <a:schemeClr val="accent5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tx1"/>
              </a:solidFill>
            </a:rPr>
            <a:t>Modifier les données ici, elles seront automatiquement affichées sous la même forme sur les 12 mois de votre planning.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56445</xdr:colOff>
      <xdr:row>26</xdr:row>
      <xdr:rowOff>15521</xdr:rowOff>
    </xdr:from>
    <xdr:to>
      <xdr:col>11</xdr:col>
      <xdr:colOff>183445</xdr:colOff>
      <xdr:row>39</xdr:row>
      <xdr:rowOff>112888</xdr:rowOff>
    </xdr:to>
    <xdr:sp macro="" textlink="">
      <xdr:nvSpPr>
        <xdr:cNvPr id="18" name="Rectangle avec flèche vers le haut 17"/>
        <xdr:cNvSpPr/>
      </xdr:nvSpPr>
      <xdr:spPr>
        <a:xfrm>
          <a:off x="5065889" y="4968521"/>
          <a:ext cx="3132667" cy="2496256"/>
        </a:xfrm>
        <a:prstGeom prst="upArrowCallout">
          <a:avLst/>
        </a:prstGeom>
        <a:effectLst>
          <a:glow rad="139700">
            <a:schemeClr val="accent2">
              <a:satMod val="175000"/>
              <a:alpha val="40000"/>
            </a:schemeClr>
          </a:glow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Indiquer ici l'année que vous désirez.</a:t>
          </a:r>
        </a:p>
        <a:p>
          <a:pPr algn="ctr"/>
          <a:r>
            <a:rPr lang="fr-FR" sz="1400" b="1">
              <a:solidFill>
                <a:schemeClr val="tx1"/>
              </a:solidFill>
            </a:rPr>
            <a:t>Elle se mettra automatiquement à jour dans la case M1 de cette feuille pour les jours fériés et dans les autres feuilles de ce classeur excel en remplissant automatiquement vos plannings.</a:t>
          </a:r>
        </a:p>
      </xdr:txBody>
    </xdr:sp>
    <xdr:clientData/>
  </xdr:twoCellAnchor>
  <xdr:twoCellAnchor>
    <xdr:from>
      <xdr:col>8</xdr:col>
      <xdr:colOff>14110</xdr:colOff>
      <xdr:row>0</xdr:row>
      <xdr:rowOff>0</xdr:rowOff>
    </xdr:from>
    <xdr:to>
      <xdr:col>11</xdr:col>
      <xdr:colOff>0</xdr:colOff>
      <xdr:row>8</xdr:row>
      <xdr:rowOff>42333</xdr:rowOff>
    </xdr:to>
    <xdr:sp macro="" textlink="">
      <xdr:nvSpPr>
        <xdr:cNvPr id="21" name="Flèche vers la gauche 20"/>
        <xdr:cNvSpPr/>
      </xdr:nvSpPr>
      <xdr:spPr>
        <a:xfrm>
          <a:off x="5023554" y="0"/>
          <a:ext cx="2991557" cy="1509889"/>
        </a:xfrm>
        <a:prstGeom prst="leftArrow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00"/>
              </a:solidFill>
            </a:rPr>
            <a:t>Vous pouvez modifier les colonnes </a:t>
          </a:r>
          <a:r>
            <a:rPr lang="fr-FR" sz="1400" b="1">
              <a:solidFill>
                <a:schemeClr val="bg1"/>
              </a:solidFill>
            </a:rPr>
            <a:t>G</a:t>
          </a:r>
          <a:r>
            <a:rPr lang="fr-FR" sz="1400" b="1">
              <a:solidFill>
                <a:srgbClr val="000000"/>
              </a:solidFill>
            </a:rPr>
            <a:t> et </a:t>
          </a:r>
          <a:r>
            <a:rPr lang="fr-FR" sz="1400" b="1">
              <a:solidFill>
                <a:srgbClr val="FFFFFF"/>
              </a:solidFill>
            </a:rPr>
            <a:t>H</a:t>
          </a:r>
          <a:r>
            <a:rPr lang="fr-FR" sz="1400" b="1">
              <a:solidFill>
                <a:srgbClr val="000000"/>
              </a:solidFill>
            </a:rPr>
            <a:t>.</a:t>
          </a:r>
        </a:p>
      </xdr:txBody>
    </xdr:sp>
    <xdr:clientData/>
  </xdr:twoCellAnchor>
  <xdr:twoCellAnchor>
    <xdr:from>
      <xdr:col>16</xdr:col>
      <xdr:colOff>28224</xdr:colOff>
      <xdr:row>23</xdr:row>
      <xdr:rowOff>70556</xdr:rowOff>
    </xdr:from>
    <xdr:to>
      <xdr:col>20</xdr:col>
      <xdr:colOff>3</xdr:colOff>
      <xdr:row>24</xdr:row>
      <xdr:rowOff>112888</xdr:rowOff>
    </xdr:to>
    <xdr:sp macro="" textlink="">
      <xdr:nvSpPr>
        <xdr:cNvPr id="2" name="Parenthèse ouvrante 1"/>
        <xdr:cNvSpPr/>
      </xdr:nvSpPr>
      <xdr:spPr>
        <a:xfrm rot="16200000">
          <a:off x="14562670" y="2652887"/>
          <a:ext cx="239888" cy="3824113"/>
        </a:xfrm>
        <a:prstGeom prst="leftBracket">
          <a:avLst/>
        </a:prstGeom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232834</xdr:colOff>
      <xdr:row>24</xdr:row>
      <xdr:rowOff>84666</xdr:rowOff>
    </xdr:from>
    <xdr:to>
      <xdr:col>10</xdr:col>
      <xdr:colOff>1</xdr:colOff>
      <xdr:row>25</xdr:row>
      <xdr:rowOff>63498</xdr:rowOff>
    </xdr:to>
    <xdr:sp macro="" textlink="">
      <xdr:nvSpPr>
        <xdr:cNvPr id="3" name="Parenthèse ouvrante 2"/>
        <xdr:cNvSpPr/>
      </xdr:nvSpPr>
      <xdr:spPr>
        <a:xfrm rot="16200000">
          <a:off x="6540502" y="4190998"/>
          <a:ext cx="176388" cy="1107723"/>
        </a:xfrm>
        <a:prstGeom prst="leftBracket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804334</xdr:colOff>
      <xdr:row>101</xdr:row>
      <xdr:rowOff>112889</xdr:rowOff>
    </xdr:from>
    <xdr:to>
      <xdr:col>24</xdr:col>
      <xdr:colOff>15523</xdr:colOff>
      <xdr:row>104</xdr:row>
      <xdr:rowOff>19755</xdr:rowOff>
    </xdr:to>
    <xdr:pic>
      <xdr:nvPicPr>
        <xdr:cNvPr id="49" name="Image 48" descr="Capture d’écran 2015-11-27 à 03.03.1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9120556" y="18739556"/>
          <a:ext cx="8763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externalLinkPath" Target="/Users/Olivier/AppData/Local/Microsoft/Windows/INetCache/IE/DFLLQTVQ/Planning%20auto%20V2%20modifi&#233;.xlsm" TargetMode="External"/><Relationship Id="rId3" Type="http://schemas.openxmlformats.org/officeDocument/2006/relationships/externalLinkPath" Target="/Users/Olivier/AppData/Local/Microsoft/Windows/INetCache/IE/DFLLQTVQ/Planning%20auto%20V2%20modifi&#233;.xlsm" TargetMode="External"/><Relationship Id="rId7" Type="http://schemas.openxmlformats.org/officeDocument/2006/relationships/externalLinkPath" Target="/Users/Olivier/AppData/Local/Microsoft/Windows/INetCache/IE/DFLLQTVQ/Planning%20auto%20V2%20modifi&#233;.xlsm" TargetMode="External"/><Relationship Id="rId2" Type="http://schemas.openxmlformats.org/officeDocument/2006/relationships/externalLinkPath" Target="/Users/Olivier/AppData/Local/Microsoft/Windows/INetCache/IE/DFLLQTVQ/Planning%20auto%20V2%20modifi&#233;.xlsm" TargetMode="External"/><Relationship Id="rId1" Type="http://schemas.openxmlformats.org/officeDocument/2006/relationships/externalLinkPath" Target="/Users/Olivier/AppData/Local/Microsoft/Windows/INetCache/IE/DFLLQTVQ/Planning%20auto%20V2%20modifi&#233;.xlsm" TargetMode="External"/><Relationship Id="rId6" Type="http://schemas.openxmlformats.org/officeDocument/2006/relationships/externalLinkPath" Target="/Users/Olivier/AppData/Local/Microsoft/Windows/INetCache/IE/DFLLQTVQ/Planning%20auto%20V2%20modifi&#233;.xlsm" TargetMode="External"/><Relationship Id="rId11" Type="http://schemas.openxmlformats.org/officeDocument/2006/relationships/externalLinkPath" Target="/Users/Olivier/AppData/Local/Microsoft/Windows/INetCache/IE/DFLLQTVQ/Planning%20auto%20V2%20modifi&#233;.xlsm" TargetMode="External"/><Relationship Id="rId5" Type="http://schemas.openxmlformats.org/officeDocument/2006/relationships/externalLinkPath" Target="/Users/Olivier/AppData/Local/Microsoft/Windows/INetCache/IE/DFLLQTVQ/Planning%20auto%20V2%20modifi&#233;.xlsm" TargetMode="External"/><Relationship Id="rId10" Type="http://schemas.openxmlformats.org/officeDocument/2006/relationships/externalLinkPath" Target="/Users/Olivier/AppData/Local/Microsoft/Windows/INetCache/IE/DFLLQTVQ/Planning%20auto%20V2%20modifi&#233;.xlsm" TargetMode="External"/><Relationship Id="rId4" Type="http://schemas.openxmlformats.org/officeDocument/2006/relationships/externalLinkPath" Target="/Users/Olivier/AppData/Local/Microsoft/Windows/INetCache/IE/DFLLQTVQ/Planning%20auto%20V2%20modifi&#233;.xlsm" TargetMode="External"/><Relationship Id="rId9" Type="http://schemas.openxmlformats.org/officeDocument/2006/relationships/externalLinkPath" Target="/Users/Olivier/AppData/Local/Microsoft/Windows/INetCache/IE/DFLLQTVQ/Planning%20auto%20V2%20modifi&#233;.xls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4" enableFormatConditionsCalculation="0">
    <tabColor rgb="FF00B050"/>
    <pageSetUpPr autoPageBreaks="0"/>
  </sheetPr>
  <dimension ref="A1:AU50"/>
  <sheetViews>
    <sheetView tabSelected="1" topLeftCell="H11" zoomScale="95" zoomScaleNormal="95" zoomScalePageLayoutView="95" workbookViewId="0">
      <selection activeCell="S41" sqref="S41"/>
    </sheetView>
  </sheetViews>
  <sheetFormatPr baseColWidth="10" defaultRowHeight="15"/>
  <cols>
    <col min="1" max="1" width="7.85546875" customWidth="1"/>
    <col min="2" max="2" width="5.28515625" customWidth="1"/>
    <col min="3" max="3" width="10.28515625" hidden="1" customWidth="1"/>
    <col min="4" max="4" width="28.42578125" bestFit="1" customWidth="1"/>
    <col min="5" max="6" width="11.85546875" customWidth="1"/>
    <col min="7" max="8" width="7.7109375" customWidth="1"/>
    <col min="9" max="9" width="7.7109375" style="227" customWidth="1"/>
    <col min="10" max="14" width="7.85546875" customWidth="1"/>
    <col min="15" max="15" width="56" customWidth="1"/>
    <col min="16" max="21" width="12.28515625" customWidth="1"/>
    <col min="22" max="29" width="9.140625" customWidth="1"/>
    <col min="30" max="30" width="2.85546875" customWidth="1"/>
    <col min="31" max="31" width="23.85546875" customWidth="1"/>
    <col min="32" max="32" width="10.28515625" customWidth="1"/>
    <col min="33" max="33" width="2.7109375" customWidth="1"/>
    <col min="34" max="34" width="24.28515625" customWidth="1"/>
    <col min="35" max="35" width="9.85546875" customWidth="1"/>
    <col min="36" max="36" width="9.7109375" customWidth="1"/>
    <col min="37" max="37" width="11.85546875" customWidth="1"/>
    <col min="38" max="38" width="17.85546875" customWidth="1"/>
    <col min="39" max="39" width="15.42578125" customWidth="1"/>
    <col min="40" max="40" width="18.42578125" customWidth="1"/>
    <col min="42" max="42" width="4.7109375" customWidth="1"/>
  </cols>
  <sheetData>
    <row r="1" spans="1:42" ht="15.95" customHeight="1">
      <c r="A1" s="115"/>
      <c r="B1" s="24"/>
      <c r="C1" s="25"/>
      <c r="D1" s="24"/>
      <c r="E1" s="24"/>
      <c r="F1" s="24"/>
      <c r="G1" s="25"/>
      <c r="H1" s="26"/>
      <c r="I1" s="221"/>
      <c r="J1" s="24"/>
      <c r="K1" s="26"/>
      <c r="L1" s="24"/>
      <c r="M1" s="24"/>
      <c r="N1" s="24"/>
      <c r="O1" s="27"/>
      <c r="P1" s="24"/>
      <c r="Q1" s="24"/>
      <c r="R1" s="28"/>
      <c r="S1" s="28"/>
      <c r="T1" s="26"/>
      <c r="U1" s="26"/>
      <c r="V1" s="26"/>
      <c r="W1" s="26"/>
      <c r="X1" s="26"/>
      <c r="Y1" s="26"/>
      <c r="Z1" s="26"/>
      <c r="AA1" s="26"/>
      <c r="AB1" s="29"/>
      <c r="AC1" s="30"/>
      <c r="AD1" s="30"/>
      <c r="AE1" s="28"/>
      <c r="AF1" s="28"/>
      <c r="AG1" s="28"/>
      <c r="AH1" s="28"/>
      <c r="AI1" s="28"/>
      <c r="AJ1" s="28"/>
      <c r="AK1" s="28"/>
      <c r="AL1" s="28"/>
      <c r="AM1" s="44"/>
      <c r="AN1" s="28"/>
      <c r="AO1" s="28"/>
      <c r="AP1" s="28"/>
    </row>
    <row r="2" spans="1:42" ht="15.95" customHeight="1" thickBot="1">
      <c r="A2" s="28"/>
      <c r="B2" s="137"/>
      <c r="C2" s="136"/>
      <c r="D2" s="28"/>
      <c r="E2" s="28"/>
      <c r="F2" s="28"/>
      <c r="G2" s="28"/>
      <c r="H2" s="28"/>
      <c r="I2" s="222"/>
      <c r="J2" s="32"/>
      <c r="K2" s="28"/>
      <c r="L2" s="31"/>
      <c r="M2" s="31"/>
      <c r="N2" s="31"/>
      <c r="O2" s="27"/>
      <c r="P2" s="31"/>
      <c r="Q2" s="31"/>
      <c r="R2" s="28"/>
      <c r="S2" s="33"/>
      <c r="T2" s="34"/>
      <c r="U2" s="35"/>
      <c r="V2" s="28"/>
      <c r="W2" s="28"/>
      <c r="X2" s="28"/>
      <c r="Y2" s="35"/>
      <c r="Z2" s="28"/>
      <c r="AA2" s="28"/>
      <c r="AB2" s="28"/>
      <c r="AC2" s="28"/>
      <c r="AD2" s="35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</row>
    <row r="3" spans="1:42" ht="15.95" customHeight="1">
      <c r="A3" s="28"/>
      <c r="B3" s="137"/>
      <c r="C3" s="136"/>
      <c r="D3" s="284" t="s">
        <v>117</v>
      </c>
      <c r="E3" s="286">
        <f ca="1">TODAY()</f>
        <v>42350</v>
      </c>
      <c r="F3" s="287"/>
      <c r="G3" s="28"/>
      <c r="H3" s="28"/>
      <c r="I3" s="222"/>
      <c r="J3" s="32"/>
      <c r="K3" s="36"/>
      <c r="L3" s="36"/>
      <c r="M3" s="36"/>
      <c r="N3" s="36"/>
      <c r="O3" s="27"/>
      <c r="P3" s="28"/>
      <c r="Q3" s="37"/>
      <c r="R3" s="38"/>
      <c r="S3" s="37"/>
      <c r="T3" s="35"/>
      <c r="U3" s="35"/>
      <c r="V3" s="290" t="s">
        <v>53</v>
      </c>
      <c r="W3" s="291"/>
      <c r="X3" s="292" t="s">
        <v>51</v>
      </c>
      <c r="Y3" s="292"/>
      <c r="Z3" s="291" t="s">
        <v>52</v>
      </c>
      <c r="AA3" s="291"/>
      <c r="AB3" s="291" t="s">
        <v>54</v>
      </c>
      <c r="AC3" s="302"/>
      <c r="AD3" s="35"/>
      <c r="AE3" s="293" t="s">
        <v>86</v>
      </c>
      <c r="AF3" s="294"/>
      <c r="AG3" s="28"/>
      <c r="AH3" s="295" t="s">
        <v>17</v>
      </c>
      <c r="AI3" s="296"/>
      <c r="AJ3" s="296"/>
      <c r="AK3" s="297"/>
      <c r="AL3" s="28"/>
      <c r="AM3" s="28"/>
      <c r="AN3" s="28"/>
      <c r="AO3" s="28"/>
      <c r="AP3" s="28"/>
    </row>
    <row r="4" spans="1:42" ht="15.95" customHeight="1" thickBot="1">
      <c r="A4" s="28"/>
      <c r="B4" s="28"/>
      <c r="C4" s="28"/>
      <c r="D4" s="285"/>
      <c r="E4" s="288"/>
      <c r="F4" s="289"/>
      <c r="G4" s="28"/>
      <c r="H4" s="39"/>
      <c r="I4" s="223"/>
      <c r="J4" s="28"/>
      <c r="K4" s="36"/>
      <c r="L4" s="36"/>
      <c r="M4" s="36"/>
      <c r="N4" s="36"/>
      <c r="O4" s="27"/>
      <c r="P4" s="28"/>
      <c r="Q4" s="28"/>
      <c r="R4" s="28"/>
      <c r="S4" s="28"/>
      <c r="T4" s="28"/>
      <c r="U4" s="28"/>
      <c r="V4" s="298" t="s">
        <v>128</v>
      </c>
      <c r="W4" s="299"/>
      <c r="X4" s="300" t="s">
        <v>127</v>
      </c>
      <c r="Y4" s="300"/>
      <c r="Z4" s="299" t="s">
        <v>129</v>
      </c>
      <c r="AA4" s="299"/>
      <c r="AB4" s="299" t="s">
        <v>39</v>
      </c>
      <c r="AC4" s="301"/>
      <c r="AD4" s="28"/>
      <c r="AE4" s="91" t="s">
        <v>2</v>
      </c>
      <c r="AF4" s="92">
        <f>COUNTA(G10:G40)</f>
        <v>7</v>
      </c>
      <c r="AG4" s="28"/>
      <c r="AH4" s="81"/>
      <c r="AI4" s="82" t="s">
        <v>34</v>
      </c>
      <c r="AJ4" s="83" t="s">
        <v>23</v>
      </c>
      <c r="AK4" s="84" t="s">
        <v>11</v>
      </c>
      <c r="AL4" s="28"/>
      <c r="AM4" s="28"/>
      <c r="AN4" s="28"/>
      <c r="AO4" s="28"/>
      <c r="AP4" s="28"/>
    </row>
    <row r="5" spans="1:42" ht="15.95" customHeight="1" thickBot="1">
      <c r="A5" s="28"/>
      <c r="B5" s="28"/>
      <c r="C5" s="28"/>
      <c r="D5" s="41"/>
      <c r="E5" s="41"/>
      <c r="F5" s="28"/>
      <c r="G5" s="28"/>
      <c r="H5" s="39"/>
      <c r="I5" s="223"/>
      <c r="J5" s="28"/>
      <c r="K5" s="36"/>
      <c r="L5" s="36"/>
      <c r="M5" s="36"/>
      <c r="N5" s="36"/>
      <c r="O5" s="27"/>
      <c r="P5" s="318" t="s">
        <v>31</v>
      </c>
      <c r="Q5" s="319"/>
      <c r="R5" s="319"/>
      <c r="S5" s="319" t="s">
        <v>32</v>
      </c>
      <c r="T5" s="319"/>
      <c r="U5" s="320"/>
      <c r="V5" s="321">
        <f>SUM(V7+W7)</f>
        <v>1.9583333333333333</v>
      </c>
      <c r="W5" s="322"/>
      <c r="X5" s="323">
        <f>SUM(X7+Y7)</f>
        <v>0.49999999999999994</v>
      </c>
      <c r="Y5" s="323"/>
      <c r="Z5" s="322">
        <f>SUM(Z7+AA7)</f>
        <v>8.333333333333337E-2</v>
      </c>
      <c r="AA5" s="322"/>
      <c r="AB5" s="322">
        <f>SUMPRODUCT((MONTH($D$10:$D$42=$E$8)*($C$10:$C$42&lt;&gt;"")*($AB$10:$AC$42)))</f>
        <v>2.5416666666666665</v>
      </c>
      <c r="AC5" s="324"/>
      <c r="AD5" s="28"/>
      <c r="AE5" s="303"/>
      <c r="AF5" s="304"/>
      <c r="AG5" s="28"/>
      <c r="AH5" s="21" t="s">
        <v>1</v>
      </c>
      <c r="AI5" s="22">
        <f>SUM(V7)*24</f>
        <v>16.000000000000007</v>
      </c>
      <c r="AJ5" s="111">
        <v>9.93</v>
      </c>
      <c r="AK5" s="217">
        <f t="shared" ref="AK5:AK10" si="0">AI5*AJ5</f>
        <v>158.88000000000005</v>
      </c>
      <c r="AL5" s="28"/>
      <c r="AM5" s="28"/>
      <c r="AN5" s="28"/>
      <c r="AO5" s="28"/>
      <c r="AP5" s="28"/>
    </row>
    <row r="6" spans="1:42" ht="15.95" customHeight="1" thickBot="1">
      <c r="A6" s="28"/>
      <c r="B6" s="54"/>
      <c r="C6" s="80"/>
      <c r="D6" s="305" t="str">
        <f>UPPER(TEXT($D10,"mmmm aaaa"))</f>
        <v>JANVIER 2016</v>
      </c>
      <c r="E6" s="179" t="s">
        <v>37</v>
      </c>
      <c r="F6" s="55">
        <v>0.875</v>
      </c>
      <c r="G6" s="28"/>
      <c r="H6" s="28"/>
      <c r="I6" s="222"/>
      <c r="J6" s="40"/>
      <c r="K6" s="28"/>
      <c r="L6" s="28"/>
      <c r="M6" s="28"/>
      <c r="N6" s="28"/>
      <c r="O6" s="43"/>
      <c r="P6" s="63" t="s">
        <v>30</v>
      </c>
      <c r="Q6" s="64" t="s">
        <v>28</v>
      </c>
      <c r="R6" s="64" t="s">
        <v>29</v>
      </c>
      <c r="S6" s="64" t="s">
        <v>30</v>
      </c>
      <c r="T6" s="64" t="s">
        <v>28</v>
      </c>
      <c r="U6" s="65" t="s">
        <v>29</v>
      </c>
      <c r="V6" s="69" t="s">
        <v>40</v>
      </c>
      <c r="W6" s="66" t="s">
        <v>41</v>
      </c>
      <c r="X6" s="68" t="s">
        <v>49</v>
      </c>
      <c r="Y6" s="68" t="s">
        <v>50</v>
      </c>
      <c r="Z6" s="66" t="s">
        <v>42</v>
      </c>
      <c r="AA6" s="66" t="s">
        <v>43</v>
      </c>
      <c r="AB6" s="66" t="s">
        <v>1</v>
      </c>
      <c r="AC6" s="67" t="s">
        <v>18</v>
      </c>
      <c r="AD6" s="28"/>
      <c r="AE6" s="91" t="s">
        <v>67</v>
      </c>
      <c r="AF6" s="207">
        <f>SUM(N10:N40)</f>
        <v>2.541666666666667</v>
      </c>
      <c r="AG6" s="28"/>
      <c r="AH6" s="10" t="s">
        <v>18</v>
      </c>
      <c r="AI6" s="2">
        <f>SUM(W7)*24</f>
        <v>30.999999999999993</v>
      </c>
      <c r="AJ6" s="112">
        <v>0.99299999999999999</v>
      </c>
      <c r="AK6" s="218">
        <f t="shared" si="0"/>
        <v>30.782999999999994</v>
      </c>
      <c r="AL6" s="28"/>
      <c r="AM6" s="28"/>
      <c r="AN6" s="28"/>
      <c r="AO6" s="28"/>
      <c r="AP6" s="28"/>
    </row>
    <row r="7" spans="1:42" ht="15.95" customHeight="1" thickBot="1">
      <c r="A7" s="28"/>
      <c r="B7" s="54"/>
      <c r="C7" s="80"/>
      <c r="D7" s="306"/>
      <c r="E7" s="180" t="s">
        <v>38</v>
      </c>
      <c r="F7" s="56">
        <v>0.25</v>
      </c>
      <c r="G7" s="28"/>
      <c r="H7" s="42"/>
      <c r="I7" s="224"/>
      <c r="J7" s="28"/>
      <c r="K7" s="28"/>
      <c r="L7" s="308" t="s">
        <v>55</v>
      </c>
      <c r="M7" s="309"/>
      <c r="N7" s="58" t="s">
        <v>34</v>
      </c>
      <c r="O7" s="310" t="s">
        <v>0</v>
      </c>
      <c r="P7" s="231" t="str">
        <f>TEXT(P8,"[hh]:mm")&amp;"h"&amp;" à "&amp;TEXT(P9,"[hh]:mm")&amp;"h"</f>
        <v>00:00h à 06:00h</v>
      </c>
      <c r="Q7" s="232" t="str">
        <f>TEXT(Q8,"[hh]:mm")&amp;"h"&amp;" à "&amp;TEXT(Q9,"[hh]:mm")&amp;"h"</f>
        <v>06:00h à 21:00h</v>
      </c>
      <c r="R7" s="232" t="str">
        <f>TEXT(R8,"[hh]:mm")&amp;"h"&amp;" à "&amp;TEXT(R9,"[hh]:mm")&amp;"h"</f>
        <v>21:00h à 24:00h</v>
      </c>
      <c r="S7" s="232" t="str">
        <f>TEXT(S8,"[hh]:mm")&amp;"h"&amp;" à "&amp;TEXT(S9,"hh:mm")&amp;"h"</f>
        <v>24:00h à 06:00h</v>
      </c>
      <c r="T7" s="232" t="str">
        <f>TEXT(T8,"hh:mm")&amp;"h"&amp;" à "&amp;TEXT(T9,"hh:mm")&amp;"h"</f>
        <v>06:00h à 21:00h</v>
      </c>
      <c r="U7" s="233" t="str">
        <f>TEXT(U8,"hh:mm")&amp;"h"&amp;" à "&amp;TEXT(U9-24/24,"[hh]:mm")&amp;"h"</f>
        <v>21:00h à 24:00h</v>
      </c>
      <c r="V7" s="75">
        <f>SUMIF(D10:D40,"&gt;0",V10:V40)</f>
        <v>0.66666666666666696</v>
      </c>
      <c r="W7" s="74">
        <f>SUMIF(D10:D40,"&gt;0",W10:W40)</f>
        <v>1.2916666666666663</v>
      </c>
      <c r="X7" s="209">
        <f>SUMPRODUCT((WEEKDAY($D$10:$D$40)=1)*($AB$10:$AB$40))</f>
        <v>0.49999999999999994</v>
      </c>
      <c r="Y7" s="209">
        <f>SUMPRODUCT((WEEKDAY($D$10:$D$40)=1)*($AC$10:$AC$40))</f>
        <v>0</v>
      </c>
      <c r="Z7" s="74">
        <f>SUMPRODUCT(($C$10:$C$40="férié")*($Z$10:$Z$40))</f>
        <v>0</v>
      </c>
      <c r="AA7" s="74">
        <f>SUMPRODUCT(($C$10:$C$40="férié")*($AA$10:$AA$40))</f>
        <v>8.333333333333337E-2</v>
      </c>
      <c r="AB7" s="74">
        <f>SUMIF(D10:D40,"&gt;0",AB10:AB40)</f>
        <v>1.166666666666667</v>
      </c>
      <c r="AC7" s="258">
        <f>SUMIF(D10:D40,"&gt;0",AC10:AC40)</f>
        <v>1.3749999999999998</v>
      </c>
      <c r="AD7" s="28"/>
      <c r="AE7" s="313"/>
      <c r="AF7" s="314"/>
      <c r="AG7" s="28"/>
      <c r="AH7" s="10" t="s">
        <v>20</v>
      </c>
      <c r="AI7" s="2">
        <f>X7*24</f>
        <v>11.999999999999998</v>
      </c>
      <c r="AJ7" s="112">
        <v>0.99299999999999999</v>
      </c>
      <c r="AK7" s="218">
        <f t="shared" si="0"/>
        <v>11.915999999999999</v>
      </c>
      <c r="AL7" s="28"/>
      <c r="AM7" s="28"/>
      <c r="AN7" s="28"/>
      <c r="AO7" s="28"/>
      <c r="AP7" s="28"/>
    </row>
    <row r="8" spans="1:42" ht="15.95" customHeight="1" thickBot="1">
      <c r="A8" s="28"/>
      <c r="B8" s="28"/>
      <c r="C8" s="28"/>
      <c r="D8" s="307"/>
      <c r="E8" s="181" t="s">
        <v>10</v>
      </c>
      <c r="F8" s="220"/>
      <c r="G8" s="219" t="s">
        <v>34</v>
      </c>
      <c r="H8" s="58" t="s">
        <v>34</v>
      </c>
      <c r="I8" s="225" t="s">
        <v>34</v>
      </c>
      <c r="J8" s="58" t="s">
        <v>34</v>
      </c>
      <c r="K8" s="61" t="s">
        <v>34</v>
      </c>
      <c r="L8" s="64" t="s">
        <v>47</v>
      </c>
      <c r="M8" s="178" t="s">
        <v>48</v>
      </c>
      <c r="N8" s="183" t="s">
        <v>11</v>
      </c>
      <c r="O8" s="311"/>
      <c r="P8" s="234">
        <v>0</v>
      </c>
      <c r="Q8" s="70">
        <f>IF(ISBLANK(F7),0/24,P9)</f>
        <v>0.25</v>
      </c>
      <c r="R8" s="70">
        <f>Q9</f>
        <v>0.875</v>
      </c>
      <c r="S8" s="70">
        <f>R9</f>
        <v>1</v>
      </c>
      <c r="T8" s="70">
        <f>S9</f>
        <v>1.25</v>
      </c>
      <c r="U8" s="71">
        <f>T9</f>
        <v>1.875</v>
      </c>
      <c r="V8" s="298" t="s">
        <v>44</v>
      </c>
      <c r="W8" s="299"/>
      <c r="X8" s="315" t="s">
        <v>4</v>
      </c>
      <c r="Y8" s="315"/>
      <c r="Z8" s="299" t="s">
        <v>3</v>
      </c>
      <c r="AA8" s="299"/>
      <c r="AB8" s="299" t="s">
        <v>2</v>
      </c>
      <c r="AC8" s="301"/>
      <c r="AD8" s="43"/>
      <c r="AE8" s="91" t="s">
        <v>61</v>
      </c>
      <c r="AF8" s="92">
        <f>SUMPRODUCT((($C$10:$C$40="férié")*(WEEKDAY($D$10:$D$40)&lt;&gt;1)+($C$10:$C$40="se"))*($N$10:$N$40&gt;0))</f>
        <v>6</v>
      </c>
      <c r="AG8" s="28"/>
      <c r="AH8" s="10" t="s">
        <v>19</v>
      </c>
      <c r="AI8" s="2">
        <f>Y7*24</f>
        <v>0</v>
      </c>
      <c r="AJ8" s="112">
        <v>1.88</v>
      </c>
      <c r="AK8" s="218">
        <f t="shared" si="0"/>
        <v>0</v>
      </c>
      <c r="AL8" s="28"/>
      <c r="AM8" s="28"/>
      <c r="AN8" s="28"/>
      <c r="AO8" s="28"/>
      <c r="AP8" s="28"/>
    </row>
    <row r="9" spans="1:42" ht="15.95" customHeight="1" thickBot="1">
      <c r="A9" s="28"/>
      <c r="B9" s="185" t="s">
        <v>5</v>
      </c>
      <c r="C9" s="186" t="s">
        <v>25</v>
      </c>
      <c r="D9" s="60" t="s">
        <v>12</v>
      </c>
      <c r="E9" s="60" t="s">
        <v>7</v>
      </c>
      <c r="F9" s="202" t="s">
        <v>13</v>
      </c>
      <c r="G9" s="59" t="s">
        <v>35</v>
      </c>
      <c r="H9" s="59" t="s">
        <v>36</v>
      </c>
      <c r="I9" s="226" t="s">
        <v>87</v>
      </c>
      <c r="J9" s="59" t="s">
        <v>45</v>
      </c>
      <c r="K9" s="62" t="s">
        <v>46</v>
      </c>
      <c r="L9" s="182">
        <f>SUM(L10:L40)</f>
        <v>4</v>
      </c>
      <c r="M9" s="203">
        <f>SUM(M10:M40)</f>
        <v>0.75</v>
      </c>
      <c r="N9" s="184" t="s">
        <v>108</v>
      </c>
      <c r="O9" s="312"/>
      <c r="P9" s="235">
        <v>0.25</v>
      </c>
      <c r="Q9" s="72">
        <f>F6</f>
        <v>0.875</v>
      </c>
      <c r="R9" s="72">
        <f>24/24</f>
        <v>1</v>
      </c>
      <c r="S9" s="72">
        <f>IF(ISBLANK(F7),Q9+24/24,IF(P9=0/24,Q9+24/24,P9+24/24))</f>
        <v>1.25</v>
      </c>
      <c r="T9" s="72">
        <f>Q9+24/24</f>
        <v>1.875</v>
      </c>
      <c r="U9" s="73">
        <v>2</v>
      </c>
      <c r="V9" s="316">
        <f>SUMPRODUCT((($C$10:$C$40="férié")*(WEEKDAY($D$10:$D$40)&lt;&gt;1)+($C$10:$C$40="se"))*($N$10:$N$40&gt;0))</f>
        <v>6</v>
      </c>
      <c r="W9" s="317"/>
      <c r="X9" s="337">
        <f>SUMPRODUCT((WEEKDAY($D$10:$D$40)=1)*($N$10:$N$40&gt;0))</f>
        <v>1</v>
      </c>
      <c r="Y9" s="337"/>
      <c r="Z9" s="317">
        <f>SUMPRODUCT(($C$10:$C$40="férié")*($N$10:$N$40&gt;0))</f>
        <v>1</v>
      </c>
      <c r="AA9" s="317"/>
      <c r="AB9" s="317">
        <f>COUNTA(G10:G40)</f>
        <v>7</v>
      </c>
      <c r="AC9" s="338"/>
      <c r="AD9" s="43"/>
      <c r="AE9" s="313"/>
      <c r="AF9" s="314"/>
      <c r="AG9" s="28"/>
      <c r="AH9" s="10" t="s">
        <v>21</v>
      </c>
      <c r="AI9" s="2">
        <f>Z5*24</f>
        <v>2.0000000000000009</v>
      </c>
      <c r="AJ9" s="112">
        <v>9.93</v>
      </c>
      <c r="AK9" s="218">
        <f t="shared" si="0"/>
        <v>19.860000000000007</v>
      </c>
      <c r="AL9" s="28"/>
      <c r="AM9" s="28"/>
      <c r="AN9" s="28"/>
      <c r="AO9" s="28"/>
      <c r="AP9" s="28"/>
    </row>
    <row r="10" spans="1:42" ht="15.75">
      <c r="A10" s="28"/>
      <c r="B10" s="187">
        <v>1</v>
      </c>
      <c r="C10" s="57" t="str">
        <f t="shared" ref="C10:C40" si="1">IF(D10=0,0,IF(COUNTIF(Fériés,D10)&gt;0,"Férié",IF(WEEKDAY(D10,2)&lt;=6,"Se","Dim")))</f>
        <v>Férié</v>
      </c>
      <c r="D10" s="155">
        <f>DATE(An,1,1)</f>
        <v>42370</v>
      </c>
      <c r="E10" s="116" t="s">
        <v>125</v>
      </c>
      <c r="F10" s="116" t="s">
        <v>56</v>
      </c>
      <c r="G10" s="117">
        <v>0.91666666666666663</v>
      </c>
      <c r="H10" s="117">
        <v>0.91666666666666663</v>
      </c>
      <c r="I10" s="228">
        <f>IF(OR(G10="",H10=""),"",MOD(H10-G10,1)+(G10=H10))</f>
        <v>1</v>
      </c>
      <c r="J10" s="120"/>
      <c r="K10" s="121"/>
      <c r="L10" s="210">
        <f>IF(N10*24&gt;=6,1,"")</f>
        <v>1</v>
      </c>
      <c r="M10" s="251" t="str">
        <f t="shared" ref="M10:M40" si="2">IF(E10="Maitre chien",I10+J10+K10,"")</f>
        <v/>
      </c>
      <c r="N10" s="247">
        <f t="shared" ref="N10:N40" si="3">SUM(I10,J10,K10)</f>
        <v>1</v>
      </c>
      <c r="O10" s="124"/>
      <c r="P10" s="254">
        <f>IF(OR($D10="",I10="",P$9=""),"",IF(IF(AND($I10=1,$G10&lt;&gt;$H10),1/4,IF($G10&gt;=$H10,MAX(MIN(P$9,$H10+24/24)-MAX(P$8,$G10)),MAX(MIN(P$9,$H10)-MAX(P$8,$G10))))&lt;0,0,IF(AND($I10=1,$G10&lt;&gt;$H10),1/4,IF($G10&gt;=$H10,MAX(MIN(P$9,$H10+24/24)-MAX(P$8,$G10)),MAX(MIN(P$9,$H10)-MAX(P$8,$G10))))))</f>
        <v>0</v>
      </c>
      <c r="Q10" s="255">
        <f>IF(OR($D10="",P10="",Q$9=""),"",IF(IF(AND($I10=1,$G10&lt;&gt;$H10),(1/24)*15,IF($G10&gt;=$H10,MAX(,MIN(Q$9,$H10+24/24)-MAX(Q$8,$G10)),MAX(,MIN(Q$9,$H10)-MAX(Q$8,$G10))))&lt;0,0,IF(AND($I10=1,$G10&lt;&gt;$H10),(1/24)*15,IF($G10&gt;=$H10,MAX(,MIN(Q$9,$H10+24/24)-MAX(Q$8,$G10)),MAX(,MIN(Q$9,$H10)-MAX(Q$8,$G10))))))</f>
        <v>0</v>
      </c>
      <c r="R10" s="238">
        <f>IF(OR($D10="",Q10="",R$9=""),"",IF(IF(AND($I10=1,$G10&lt;&gt;$H10),(1/8),IF($G10&gt;=$H10,MAX(,MIN(R$9,$H10+24/24)-MAX(R$8,$G10)),MAX(,MIN(R$9,$H10)-MAX(R$8,$G10))))&lt;0,0,IF(AND($I10=1,$G10&lt;&gt;$H10),(1/8),IF($G10&gt;=$H10,MAX(,MIN(R$9,$H10+24/24)-MAX(R$8,$G10)),MAX(,MIN(R$9,$H10)-MAX(R$8,$G10))))))</f>
        <v>8.333333333333337E-2</v>
      </c>
      <c r="S10" s="236"/>
      <c r="T10" s="237"/>
      <c r="U10" s="238"/>
      <c r="V10" s="260">
        <f>SUMPRODUCT(($C$10="se")*($AB$10))</f>
        <v>0</v>
      </c>
      <c r="W10" s="261">
        <f>SUMPRODUCT(($C$10="se")*($AC$10))</f>
        <v>0</v>
      </c>
      <c r="X10" s="262">
        <f t="shared" ref="X10:X40" si="4">(WEEKDAY($D10)=1)*($AB10)</f>
        <v>0</v>
      </c>
      <c r="Y10" s="263">
        <f t="shared" ref="Y10:Y40" si="5">(WEEKDAY($D10)=1)*($AC10)</f>
        <v>0</v>
      </c>
      <c r="Z10" s="264">
        <f>SUMPRODUCT(($C$10="férié")*($AB$10))</f>
        <v>0</v>
      </c>
      <c r="AA10" s="265">
        <f>SUMPRODUCT(($C$10="férié")*($AC$10))</f>
        <v>8.333333333333337E-2</v>
      </c>
      <c r="AB10" s="266">
        <f>SUM(J10,Q10,T10)</f>
        <v>0</v>
      </c>
      <c r="AC10" s="267">
        <f>SUM(K10,P10,R10,S10,U10)</f>
        <v>8.333333333333337E-2</v>
      </c>
      <c r="AD10" s="43"/>
      <c r="AE10" s="91" t="s">
        <v>71</v>
      </c>
      <c r="AF10" s="207">
        <f>SUMIF(D10:D40,"&gt;0",AB10:AB40)</f>
        <v>1.166666666666667</v>
      </c>
      <c r="AG10" s="28"/>
      <c r="AH10" s="12" t="s">
        <v>22</v>
      </c>
      <c r="AI10" s="2">
        <f>SUM(AI5:AI9)</f>
        <v>61</v>
      </c>
      <c r="AJ10" s="112">
        <v>0.13100000000000001</v>
      </c>
      <c r="AK10" s="218">
        <f t="shared" si="0"/>
        <v>7.9910000000000005</v>
      </c>
      <c r="AL10" s="28"/>
      <c r="AM10" s="28"/>
      <c r="AN10" s="28"/>
      <c r="AO10" s="28"/>
      <c r="AP10" s="28"/>
    </row>
    <row r="11" spans="1:42" ht="16.5" thickBot="1">
      <c r="A11" s="28"/>
      <c r="B11" s="187">
        <v>2</v>
      </c>
      <c r="C11" s="57" t="str">
        <f t="shared" si="1"/>
        <v>Se</v>
      </c>
      <c r="D11" s="156">
        <f>IF(D10=0,0,IF(MONTH(D10+1)=MONTH($D$10),D10+1,0))</f>
        <v>42371</v>
      </c>
      <c r="E11" s="118"/>
      <c r="F11" s="118"/>
      <c r="G11" s="119"/>
      <c r="H11" s="119"/>
      <c r="I11" s="229" t="str">
        <f t="shared" ref="I11:I40" si="6">IF(OR(G11="",H11=""),"",MOD(H11-G11,1)+(G11=H11))</f>
        <v/>
      </c>
      <c r="J11" s="122"/>
      <c r="K11" s="123"/>
      <c r="L11" s="211" t="str">
        <f t="shared" ref="L11:L40" si="7">IF(N11*24&gt;=6,1,"")</f>
        <v/>
      </c>
      <c r="M11" s="250" t="str">
        <f t="shared" si="2"/>
        <v/>
      </c>
      <c r="N11" s="248">
        <f t="shared" si="3"/>
        <v>0</v>
      </c>
      <c r="O11" s="125"/>
      <c r="P11" s="239" t="str">
        <f t="shared" ref="P11:P40" si="8">IF(OR($D11="",I11="",P$9=""),"",IF(IF(AND($I11=1,$G11&lt;&gt;$H11),1/4,IF($G11&gt;=$H11,MAX(MIN(P$9,$H11+24/24)-MAX(P$8,$G11)),MAX(MIN(P$9,$H11)-MAX(P$8,$G11))))&lt;0,0,IF(AND($I11=1,$G11&lt;&gt;$H11),1/4,IF($G11&gt;=$H11,MAX(MIN(P$9,$H11+24/24)-MAX(P$8,$G11)),MAX(MIN(P$9,$H11)-MAX(P$8,$G11))))))</f>
        <v/>
      </c>
      <c r="Q11" s="256" t="str">
        <f t="shared" ref="Q11:Q40" si="9">IF(OR($D11="",P11="",Q$9=""),"",IF(IF(AND($I11=1,$G11&lt;&gt;$H11),(1/24)*15,IF($G11&gt;=$H11,MAX(,MIN(Q$9,$H11+24/24)-MAX(Q$8,$G11)),MAX(,MIN(Q$9,$H11)-MAX(Q$8,$G11))))&lt;0,0,IF(AND($I11=1,$G11&lt;&gt;$H11),(1/24)*15,IF($G11&gt;=$H11,MAX(,MIN(Q$9,$H11+24/24)-MAX(Q$8,$G11)),MAX(,MIN(Q$9,$H11)-MAX(Q$8,$G11))))))</f>
        <v/>
      </c>
      <c r="R11" s="242" t="str">
        <f t="shared" ref="R11:R39" si="10">IF(OR($D11="",Q11="",R$9=""),"",IF(IF(AND($I11=1,$G11&lt;&gt;$H11),(1/8),IF($G11&gt;=$H11,MAX(,MIN(R$9,$H11+24/24)-MAX(R$8,$G11)),MAX(,MIN(R$9,$H11)-MAX(R$8,$G11))))&lt;0,0,IF(AND($I11=1,$G11&lt;&gt;$H11),(1/8),IF($G11&gt;=$H11,MAX(,MIN(R$9,$H11+24/24)-MAX(R$8,$G11)),MAX(,MIN(R$9,$H11)-MAX(R$8,$G11))))))</f>
        <v/>
      </c>
      <c r="S11" s="240">
        <f>IF(OR(R10="",S$9=""),"",IF(IF($G10&gt;0,IF($G10&gt;=$H10,MAX(,MIN(S$9,$H10+24/24)-MAX(S$8,$G10)),MAX(MIN(S$9,$H10)-MAX(S$8,$G10))),0)&lt;0,0,IF($G10&gt;0,IF($G10&gt;=$H10,MAX(,MIN(S$9,$H10+24/24)-MAX(S$8,$G10)),MAX(MIN(S$9,$H10)-MAX(S$8,$G10))),0)))</f>
        <v>0.25</v>
      </c>
      <c r="T11" s="241">
        <f>IF(OR(S11="",T$9=""),"",IF(IF($G10&gt;0,IF($G10&gt;=$H10,MAX(,MIN(T$9,$H10+24/24)-MAX(T$8,$G10)),MAX(,MIN(T$9,$H10)-MAX(T$8,$G10))),0)&lt;0,0,IF($G10&gt;0,IF($G10&gt;=$H10,MAX(,MIN(T$9,$H10+24/24)-MAX(T$8,$G10)),MAX(,MIN(T$9,$H10)-MAX(T$8,$G10))),0)))</f>
        <v>0.625</v>
      </c>
      <c r="U11" s="242">
        <f>IF(OR(T11="",U$9=""),"",IF(IF($G10&gt;0,IF($G10&gt;=$H10,MAX(,MIN(U$9,$H10+24/24)-MAX(U$8,$G10)),MAX(,MIN(U$9,$H10)-MAX(U$8,$G10))),0)&lt;0,0,IF($G10&gt;0,IF($G10&gt;=$H10,MAX(,MIN(U$9,$H10+24/24)-MAX(U$8,$G10)),MAX(,MIN(U$9,$H10)-MAX(U$8,$G10))),0)))</f>
        <v>4.1666666666666519E-2</v>
      </c>
      <c r="V11" s="268">
        <f>SUMPRODUCT(($C$11="se")*($AB$11))</f>
        <v>0.625</v>
      </c>
      <c r="W11" s="269">
        <f>SUMPRODUCT(($C$11="se")*($AC$11))</f>
        <v>0.29166666666666652</v>
      </c>
      <c r="X11" s="270">
        <f t="shared" si="4"/>
        <v>0</v>
      </c>
      <c r="Y11" s="271">
        <f t="shared" si="5"/>
        <v>0</v>
      </c>
      <c r="Z11" s="272">
        <f>SUMPRODUCT(($C$11="férié")*($AB$11))</f>
        <v>0</v>
      </c>
      <c r="AA11" s="273">
        <f>SUMPRODUCT(($C$11="férié")*($AC$11))</f>
        <v>0</v>
      </c>
      <c r="AB11" s="274">
        <f>SUM(J11,Q11,T11)</f>
        <v>0.625</v>
      </c>
      <c r="AC11" s="275">
        <f>SUM(K11,P11,R11,S11,U11)</f>
        <v>0.29166666666666652</v>
      </c>
      <c r="AD11" s="43"/>
      <c r="AE11" s="339"/>
      <c r="AF11" s="340"/>
      <c r="AG11" s="28"/>
      <c r="AH11" s="13" t="s">
        <v>24</v>
      </c>
      <c r="AI11" s="14">
        <f>SUM(AI6+AI8)</f>
        <v>30.999999999999993</v>
      </c>
      <c r="AJ11" s="113"/>
      <c r="AK11" s="216"/>
      <c r="AL11" s="28"/>
      <c r="AM11" s="28"/>
      <c r="AN11" s="28"/>
      <c r="AO11" s="28"/>
      <c r="AP11" s="28"/>
    </row>
    <row r="12" spans="1:42" ht="16.5" thickBot="1">
      <c r="A12" s="28"/>
      <c r="B12" s="187">
        <v>3</v>
      </c>
      <c r="C12" s="57" t="str">
        <f t="shared" si="1"/>
        <v>Dim</v>
      </c>
      <c r="D12" s="156">
        <f t="shared" ref="D12:D40" si="11">IF(D11=0,0,IF(MONTH(D11+1)=MONTH($D$10),D11+1,0))</f>
        <v>42372</v>
      </c>
      <c r="E12" s="118"/>
      <c r="F12" s="118"/>
      <c r="G12" s="119"/>
      <c r="H12" s="119"/>
      <c r="I12" s="229" t="str">
        <f t="shared" si="6"/>
        <v/>
      </c>
      <c r="J12" s="122"/>
      <c r="K12" s="123"/>
      <c r="L12" s="211" t="str">
        <f t="shared" si="7"/>
        <v/>
      </c>
      <c r="M12" s="250" t="str">
        <f t="shared" si="2"/>
        <v/>
      </c>
      <c r="N12" s="248">
        <f t="shared" si="3"/>
        <v>0</v>
      </c>
      <c r="O12" s="125"/>
      <c r="P12" s="239" t="str">
        <f t="shared" si="8"/>
        <v/>
      </c>
      <c r="Q12" s="256" t="str">
        <f t="shared" si="9"/>
        <v/>
      </c>
      <c r="R12" s="242" t="str">
        <f t="shared" si="10"/>
        <v/>
      </c>
      <c r="S12" s="240" t="str">
        <f t="shared" ref="S12:S40" si="12">IF(OR(R11="",S$9=""),"",IF(IF($G11&gt;0,IF($G11&gt;=$H11,MAX(,MIN(S$9,$H11+24/24)-MAX(S$8,$G11)),MAX(MIN(S$9,$H11)-MAX(S$8,$G11))),0)&lt;0,0,IF($G11&gt;0,IF($G11&gt;=$H11,MAX(,MIN(S$9,$H11+24/24)-MAX(S$8,$G11)),MAX(MIN(S$9,$H11)-MAX(S$8,$G11))),0)))</f>
        <v/>
      </c>
      <c r="T12" s="241" t="str">
        <f t="shared" ref="T12:U12" si="13">IF(OR(S12="",T$9=""),"",IF(IF($G11&gt;0,IF($G11&gt;=$H11,MAX(,MIN(T$9,$H11+24/24)-MAX(T$8,$G11)),MAX(,MIN(T$9,$H11)-MAX(T$8,$G11))),0)&lt;0,0,IF($G11&gt;0,IF($G11&gt;=$H11,MAX(,MIN(T$9,$H11+24/24)-MAX(T$8,$G11)),MAX(,MIN(T$9,$H11)-MAX(T$8,$G11))),0)))</f>
        <v/>
      </c>
      <c r="U12" s="242" t="str">
        <f t="shared" si="13"/>
        <v/>
      </c>
      <c r="V12" s="268">
        <f>SUMPRODUCT(($C$12="se")*($AB$12))</f>
        <v>0</v>
      </c>
      <c r="W12" s="269">
        <f>SUMPRODUCT(($C$12="se")*($AC$12))</f>
        <v>0</v>
      </c>
      <c r="X12" s="270">
        <f t="shared" si="4"/>
        <v>0</v>
      </c>
      <c r="Y12" s="271">
        <f t="shared" si="5"/>
        <v>0</v>
      </c>
      <c r="Z12" s="272">
        <f>SUMPRODUCT(($C$12="férié")*($AB$12))</f>
        <v>0</v>
      </c>
      <c r="AA12" s="273">
        <f>SUMPRODUCT(($C$12="férié")*($AC$12))</f>
        <v>0</v>
      </c>
      <c r="AB12" s="274">
        <f t="shared" ref="AB12:AB40" si="14">SUM(J12,Q12,T12)</f>
        <v>0</v>
      </c>
      <c r="AC12" s="275">
        <f t="shared" ref="AC12:AC40" si="15">SUM(K12,P12,R12,S12,U12)</f>
        <v>0</v>
      </c>
      <c r="AD12" s="43"/>
      <c r="AE12" s="91" t="s">
        <v>72</v>
      </c>
      <c r="AF12" s="207">
        <f>SUMIF(D10:D40,"&gt;0",AC10:AC40)</f>
        <v>1.3749999999999998</v>
      </c>
      <c r="AG12" s="28"/>
      <c r="AH12" s="47"/>
      <c r="AI12" s="40"/>
      <c r="AJ12" s="19" t="s">
        <v>76</v>
      </c>
      <c r="AK12" s="214">
        <f>SUM(AK5:AK11)</f>
        <v>229.43000000000006</v>
      </c>
      <c r="AL12" s="28"/>
      <c r="AM12" s="28"/>
      <c r="AN12" s="28"/>
      <c r="AO12" s="28"/>
      <c r="AP12" s="28"/>
    </row>
    <row r="13" spans="1:42" ht="16.5" thickBot="1">
      <c r="A13" s="28"/>
      <c r="B13" s="187">
        <v>4</v>
      </c>
      <c r="C13" s="57" t="str">
        <f t="shared" si="1"/>
        <v>Se</v>
      </c>
      <c r="D13" s="156">
        <f t="shared" si="11"/>
        <v>42373</v>
      </c>
      <c r="E13" s="118"/>
      <c r="F13" s="118"/>
      <c r="G13" s="119"/>
      <c r="H13" s="119"/>
      <c r="I13" s="229" t="str">
        <f t="shared" si="6"/>
        <v/>
      </c>
      <c r="J13" s="122"/>
      <c r="K13" s="123"/>
      <c r="L13" s="211" t="str">
        <f t="shared" si="7"/>
        <v/>
      </c>
      <c r="M13" s="250" t="str">
        <f t="shared" si="2"/>
        <v/>
      </c>
      <c r="N13" s="248">
        <f t="shared" si="3"/>
        <v>0</v>
      </c>
      <c r="O13" s="125"/>
      <c r="P13" s="239" t="str">
        <f t="shared" si="8"/>
        <v/>
      </c>
      <c r="Q13" s="256" t="str">
        <f t="shared" si="9"/>
        <v/>
      </c>
      <c r="R13" s="242" t="str">
        <f t="shared" si="10"/>
        <v/>
      </c>
      <c r="S13" s="240" t="str">
        <f t="shared" si="12"/>
        <v/>
      </c>
      <c r="T13" s="241" t="str">
        <f t="shared" ref="T13:U13" si="16">IF(OR(S13="",T$9=""),"",IF(IF($G12&gt;0,IF($G12&gt;=$H12,MAX(,MIN(T$9,$H12+24/24)-MAX(T$8,$G12)),MAX(,MIN(T$9,$H12)-MAX(T$8,$G12))),0)&lt;0,0,IF($G12&gt;0,IF($G12&gt;=$H12,MAX(,MIN(T$9,$H12+24/24)-MAX(T$8,$G12)),MAX(,MIN(T$9,$H12)-MAX(T$8,$G12))),0)))</f>
        <v/>
      </c>
      <c r="U13" s="242" t="str">
        <f t="shared" si="16"/>
        <v/>
      </c>
      <c r="V13" s="268">
        <f>SUMPRODUCT(($C$13="se")*($AB$13))</f>
        <v>0</v>
      </c>
      <c r="W13" s="269">
        <f>SUMPRODUCT(($C$13="se")*($AC$13))</f>
        <v>0</v>
      </c>
      <c r="X13" s="270">
        <f t="shared" si="4"/>
        <v>0</v>
      </c>
      <c r="Y13" s="271">
        <f t="shared" si="5"/>
        <v>0</v>
      </c>
      <c r="Z13" s="272">
        <f>SUMPRODUCT(($C$13="férié")*($AB$13))</f>
        <v>0</v>
      </c>
      <c r="AA13" s="273">
        <f>SUMPRODUCT(($C$13="férié")*($AC$13))</f>
        <v>0</v>
      </c>
      <c r="AB13" s="274">
        <f t="shared" si="14"/>
        <v>0</v>
      </c>
      <c r="AC13" s="275">
        <f t="shared" si="15"/>
        <v>0</v>
      </c>
      <c r="AD13" s="43"/>
      <c r="AE13" s="325"/>
      <c r="AF13" s="326"/>
      <c r="AG13" s="28"/>
      <c r="AH13" s="28"/>
      <c r="AI13" s="28"/>
      <c r="AJ13" s="28"/>
      <c r="AK13" s="28"/>
      <c r="AL13" s="28"/>
      <c r="AM13" s="28"/>
      <c r="AN13" s="28"/>
      <c r="AO13" s="28"/>
      <c r="AP13" s="28"/>
    </row>
    <row r="14" spans="1:42" ht="15.75">
      <c r="A14" s="28"/>
      <c r="B14" s="187">
        <v>5</v>
      </c>
      <c r="C14" s="57" t="str">
        <f t="shared" si="1"/>
        <v>Se</v>
      </c>
      <c r="D14" s="156">
        <f t="shared" si="11"/>
        <v>42374</v>
      </c>
      <c r="E14" s="118"/>
      <c r="F14" s="118"/>
      <c r="G14" s="119"/>
      <c r="H14" s="119"/>
      <c r="I14" s="229" t="str">
        <f t="shared" si="6"/>
        <v/>
      </c>
      <c r="J14" s="122"/>
      <c r="K14" s="123"/>
      <c r="L14" s="211" t="str">
        <f t="shared" si="7"/>
        <v/>
      </c>
      <c r="M14" s="250" t="str">
        <f t="shared" si="2"/>
        <v/>
      </c>
      <c r="N14" s="248">
        <f t="shared" si="3"/>
        <v>0</v>
      </c>
      <c r="O14" s="125"/>
      <c r="P14" s="239" t="str">
        <f t="shared" si="8"/>
        <v/>
      </c>
      <c r="Q14" s="256" t="str">
        <f t="shared" si="9"/>
        <v/>
      </c>
      <c r="R14" s="242" t="str">
        <f t="shared" si="10"/>
        <v/>
      </c>
      <c r="S14" s="240" t="str">
        <f t="shared" si="12"/>
        <v/>
      </c>
      <c r="T14" s="241" t="str">
        <f t="shared" ref="T14:U14" si="17">IF(OR(S14="",T$9=""),"",IF(IF($G13&gt;0,IF($G13&gt;=$H13,MAX(,MIN(T$9,$H13+24/24)-MAX(T$8,$G13)),MAX(,MIN(T$9,$H13)-MAX(T$8,$G13))),0)&lt;0,0,IF($G13&gt;0,IF($G13&gt;=$H13,MAX(,MIN(T$9,$H13+24/24)-MAX(T$8,$G13)),MAX(,MIN(T$9,$H13)-MAX(T$8,$G13))),0)))</f>
        <v/>
      </c>
      <c r="U14" s="242" t="str">
        <f t="shared" si="17"/>
        <v/>
      </c>
      <c r="V14" s="268">
        <f>SUMPRODUCT(($C$14="se")*($AB$14))</f>
        <v>0</v>
      </c>
      <c r="W14" s="269">
        <f>SUMPRODUCT(($C$14="se")*($AC$14))</f>
        <v>0</v>
      </c>
      <c r="X14" s="270">
        <f t="shared" si="4"/>
        <v>0</v>
      </c>
      <c r="Y14" s="271">
        <f t="shared" si="5"/>
        <v>0</v>
      </c>
      <c r="Z14" s="272">
        <f>SUMPRODUCT(($C$14="férié")*($AB$14))</f>
        <v>0</v>
      </c>
      <c r="AA14" s="273">
        <f>SUMPRODUCT(($C$14="férié")*($AC$14))</f>
        <v>0</v>
      </c>
      <c r="AB14" s="274">
        <f t="shared" si="14"/>
        <v>0</v>
      </c>
      <c r="AC14" s="275">
        <f t="shared" si="15"/>
        <v>0</v>
      </c>
      <c r="AD14" s="43"/>
      <c r="AE14" s="95" t="s">
        <v>81</v>
      </c>
      <c r="AF14" s="96">
        <f>SUMPRODUCT((WEEKDAY($D$10:$D$40)=1)*($N$10:$N$40&gt;0))</f>
        <v>1</v>
      </c>
      <c r="AG14" s="28"/>
      <c r="AH14" s="331" t="s">
        <v>16</v>
      </c>
      <c r="AI14" s="332"/>
      <c r="AJ14" s="332"/>
      <c r="AK14" s="333"/>
      <c r="AL14" s="28"/>
      <c r="AM14" s="28"/>
      <c r="AN14" s="28"/>
      <c r="AO14" s="28"/>
      <c r="AP14" s="28"/>
    </row>
    <row r="15" spans="1:42" ht="15.75">
      <c r="A15" s="28"/>
      <c r="B15" s="187">
        <v>6</v>
      </c>
      <c r="C15" s="57" t="str">
        <f t="shared" si="1"/>
        <v>Se</v>
      </c>
      <c r="D15" s="156">
        <f t="shared" si="11"/>
        <v>42375</v>
      </c>
      <c r="E15" s="118"/>
      <c r="F15" s="118"/>
      <c r="G15" s="119"/>
      <c r="H15" s="119"/>
      <c r="I15" s="229" t="str">
        <f t="shared" si="6"/>
        <v/>
      </c>
      <c r="J15" s="122"/>
      <c r="K15" s="123"/>
      <c r="L15" s="211" t="str">
        <f t="shared" si="7"/>
        <v/>
      </c>
      <c r="M15" s="250" t="str">
        <f t="shared" si="2"/>
        <v/>
      </c>
      <c r="N15" s="248">
        <f t="shared" si="3"/>
        <v>0</v>
      </c>
      <c r="O15" s="125"/>
      <c r="P15" s="239" t="str">
        <f t="shared" si="8"/>
        <v/>
      </c>
      <c r="Q15" s="256" t="str">
        <f t="shared" si="9"/>
        <v/>
      </c>
      <c r="R15" s="242" t="str">
        <f t="shared" si="10"/>
        <v/>
      </c>
      <c r="S15" s="240" t="str">
        <f t="shared" si="12"/>
        <v/>
      </c>
      <c r="T15" s="241" t="str">
        <f t="shared" ref="T15:U15" si="18">IF(OR(S15="",T$9=""),"",IF(IF($G14&gt;0,IF($G14&gt;=$H14,MAX(,MIN(T$9,$H14+24/24)-MAX(T$8,$G14)),MAX(,MIN(T$9,$H14)-MAX(T$8,$G14))),0)&lt;0,0,IF($G14&gt;0,IF($G14&gt;=$H14,MAX(,MIN(T$9,$H14+24/24)-MAX(T$8,$G14)),MAX(,MIN(T$9,$H14)-MAX(T$8,$G14))),0)))</f>
        <v/>
      </c>
      <c r="U15" s="242" t="str">
        <f t="shared" si="18"/>
        <v/>
      </c>
      <c r="V15" s="268">
        <f>SUMPRODUCT(($C$15="se")*($AB$15))</f>
        <v>0</v>
      </c>
      <c r="W15" s="269">
        <f>SUMPRODUCT(($C$15="se")*($AC$15))</f>
        <v>0</v>
      </c>
      <c r="X15" s="270">
        <f t="shared" si="4"/>
        <v>0</v>
      </c>
      <c r="Y15" s="271">
        <f t="shared" si="5"/>
        <v>0</v>
      </c>
      <c r="Z15" s="272">
        <f>SUMPRODUCT(($C$15="férié")*($AB$15))</f>
        <v>0</v>
      </c>
      <c r="AA15" s="273">
        <f>SUMPRODUCT(($C$15="férié")*($AC$15))</f>
        <v>0</v>
      </c>
      <c r="AB15" s="274">
        <f t="shared" si="14"/>
        <v>0</v>
      </c>
      <c r="AC15" s="275">
        <f t="shared" si="15"/>
        <v>0</v>
      </c>
      <c r="AD15" s="43"/>
      <c r="AE15" s="313"/>
      <c r="AF15" s="314"/>
      <c r="AG15" s="28"/>
      <c r="AH15" s="85"/>
      <c r="AI15" s="86" t="s">
        <v>11</v>
      </c>
      <c r="AJ15" s="86" t="s">
        <v>23</v>
      </c>
      <c r="AK15" s="87" t="s">
        <v>11</v>
      </c>
      <c r="AL15" s="28"/>
      <c r="AM15" s="28"/>
      <c r="AN15" s="28"/>
      <c r="AO15" s="28"/>
      <c r="AP15" s="28"/>
    </row>
    <row r="16" spans="1:42" ht="15.75">
      <c r="A16" s="28"/>
      <c r="B16" s="187">
        <v>7</v>
      </c>
      <c r="C16" s="57" t="str">
        <f t="shared" si="1"/>
        <v>Se</v>
      </c>
      <c r="D16" s="156">
        <f t="shared" si="11"/>
        <v>42376</v>
      </c>
      <c r="E16" s="118"/>
      <c r="F16" s="118"/>
      <c r="G16" s="119"/>
      <c r="H16" s="119"/>
      <c r="I16" s="229" t="str">
        <f t="shared" si="6"/>
        <v/>
      </c>
      <c r="J16" s="122"/>
      <c r="K16" s="123"/>
      <c r="L16" s="211" t="str">
        <f t="shared" si="7"/>
        <v/>
      </c>
      <c r="M16" s="250" t="str">
        <f t="shared" si="2"/>
        <v/>
      </c>
      <c r="N16" s="248">
        <f t="shared" si="3"/>
        <v>0</v>
      </c>
      <c r="O16" s="125"/>
      <c r="P16" s="239" t="str">
        <f t="shared" si="8"/>
        <v/>
      </c>
      <c r="Q16" s="256" t="str">
        <f t="shared" si="9"/>
        <v/>
      </c>
      <c r="R16" s="242" t="str">
        <f t="shared" si="10"/>
        <v/>
      </c>
      <c r="S16" s="240" t="str">
        <f t="shared" si="12"/>
        <v/>
      </c>
      <c r="T16" s="241" t="str">
        <f t="shared" ref="T16:U16" si="19">IF(OR(S16="",T$9=""),"",IF(IF($G15&gt;0,IF($G15&gt;=$H15,MAX(,MIN(T$9,$H15+24/24)-MAX(T$8,$G15)),MAX(,MIN(T$9,$H15)-MAX(T$8,$G15))),0)&lt;0,0,IF($G15&gt;0,IF($G15&gt;=$H15,MAX(,MIN(T$9,$H15+24/24)-MAX(T$8,$G15)),MAX(,MIN(T$9,$H15)-MAX(T$8,$G15))),0)))</f>
        <v/>
      </c>
      <c r="U16" s="242" t="str">
        <f t="shared" si="19"/>
        <v/>
      </c>
      <c r="V16" s="268">
        <f>SUMPRODUCT(($C$16="se")*($AB$16))</f>
        <v>0</v>
      </c>
      <c r="W16" s="269">
        <f>SUMPRODUCT(($C$16="se")*($AC$16))</f>
        <v>0</v>
      </c>
      <c r="X16" s="270">
        <f t="shared" si="4"/>
        <v>0</v>
      </c>
      <c r="Y16" s="271">
        <f t="shared" si="5"/>
        <v>0</v>
      </c>
      <c r="Z16" s="272">
        <f>SUMPRODUCT(($C$16="férié")*($AB$16))</f>
        <v>0</v>
      </c>
      <c r="AA16" s="273">
        <f>SUMPRODUCT(($C$16="férié")*($AC$16))</f>
        <v>0</v>
      </c>
      <c r="AB16" s="274">
        <f t="shared" si="14"/>
        <v>0</v>
      </c>
      <c r="AC16" s="275">
        <f t="shared" si="15"/>
        <v>0</v>
      </c>
      <c r="AD16" s="43"/>
      <c r="AE16" s="95" t="s">
        <v>75</v>
      </c>
      <c r="AF16" s="208">
        <f>SUM(X7+Y7)</f>
        <v>0.49999999999999994</v>
      </c>
      <c r="AG16" s="28"/>
      <c r="AH16" s="16" t="s">
        <v>78</v>
      </c>
      <c r="AI16" s="3">
        <f>SUM(L10:L40)</f>
        <v>4</v>
      </c>
      <c r="AJ16" s="114">
        <v>3.43</v>
      </c>
      <c r="AK16" s="215">
        <f>AI16*AJ16</f>
        <v>13.72</v>
      </c>
      <c r="AL16" s="28"/>
      <c r="AM16" s="28"/>
      <c r="AN16" s="28"/>
      <c r="AO16" s="28"/>
      <c r="AP16" s="28"/>
    </row>
    <row r="17" spans="1:42" ht="16.5" thickBot="1">
      <c r="A17" s="28"/>
      <c r="B17" s="187">
        <v>8</v>
      </c>
      <c r="C17" s="57" t="str">
        <f t="shared" si="1"/>
        <v>Se</v>
      </c>
      <c r="D17" s="156">
        <f t="shared" si="11"/>
        <v>42377</v>
      </c>
      <c r="E17" s="118"/>
      <c r="F17" s="118"/>
      <c r="G17" s="119"/>
      <c r="H17" s="119"/>
      <c r="I17" s="229" t="str">
        <f t="shared" si="6"/>
        <v/>
      </c>
      <c r="J17" s="122"/>
      <c r="K17" s="123"/>
      <c r="L17" s="211" t="str">
        <f t="shared" si="7"/>
        <v/>
      </c>
      <c r="M17" s="250" t="str">
        <f t="shared" si="2"/>
        <v/>
      </c>
      <c r="N17" s="248">
        <f t="shared" si="3"/>
        <v>0</v>
      </c>
      <c r="O17" s="125"/>
      <c r="P17" s="239" t="str">
        <f t="shared" si="8"/>
        <v/>
      </c>
      <c r="Q17" s="256" t="str">
        <f t="shared" si="9"/>
        <v/>
      </c>
      <c r="R17" s="242" t="str">
        <f t="shared" si="10"/>
        <v/>
      </c>
      <c r="S17" s="240" t="str">
        <f t="shared" si="12"/>
        <v/>
      </c>
      <c r="T17" s="241" t="str">
        <f t="shared" ref="T17:U17" si="20">IF(OR(S17="",T$9=""),"",IF(IF($G16&gt;0,IF($G16&gt;=$H16,MAX(,MIN(T$9,$H16+24/24)-MAX(T$8,$G16)),MAX(,MIN(T$9,$H16)-MAX(T$8,$G16))),0)&lt;0,0,IF($G16&gt;0,IF($G16&gt;=$H16,MAX(,MIN(T$9,$H16+24/24)-MAX(T$8,$G16)),MAX(,MIN(T$9,$H16)-MAX(T$8,$G16))),0)))</f>
        <v/>
      </c>
      <c r="U17" s="242" t="str">
        <f t="shared" si="20"/>
        <v/>
      </c>
      <c r="V17" s="268">
        <f>SUMPRODUCT(($C$17="se")*($AB$17))</f>
        <v>0</v>
      </c>
      <c r="W17" s="269">
        <f>SUMPRODUCT(($C$17="se")*($AC$17))</f>
        <v>0</v>
      </c>
      <c r="X17" s="270">
        <f t="shared" si="4"/>
        <v>0</v>
      </c>
      <c r="Y17" s="271">
        <f t="shared" si="5"/>
        <v>0</v>
      </c>
      <c r="Z17" s="272">
        <f>SUMPRODUCT(($C$17="férié")*($AB$17))</f>
        <v>0</v>
      </c>
      <c r="AA17" s="273">
        <f>SUMPRODUCT(($C$17="férié")*($AC$17))</f>
        <v>0</v>
      </c>
      <c r="AB17" s="274">
        <f t="shared" si="14"/>
        <v>0</v>
      </c>
      <c r="AC17" s="275">
        <f t="shared" si="15"/>
        <v>0</v>
      </c>
      <c r="AD17" s="43"/>
      <c r="AE17" s="313"/>
      <c r="AF17" s="314"/>
      <c r="AG17" s="28"/>
      <c r="AH17" s="18" t="s">
        <v>77</v>
      </c>
      <c r="AI17" s="88">
        <f>SUM(M10:M40)*24</f>
        <v>18</v>
      </c>
      <c r="AJ17" s="113">
        <v>0.81</v>
      </c>
      <c r="AK17" s="213">
        <f>AI17*AJ17</f>
        <v>14.580000000000002</v>
      </c>
      <c r="AL17" s="28"/>
      <c r="AM17" s="28"/>
      <c r="AN17" s="28"/>
      <c r="AO17" s="28"/>
      <c r="AP17" s="28"/>
    </row>
    <row r="18" spans="1:42" ht="16.5" thickBot="1">
      <c r="A18" s="28"/>
      <c r="B18" s="187">
        <v>9</v>
      </c>
      <c r="C18" s="57" t="str">
        <f t="shared" si="1"/>
        <v>Se</v>
      </c>
      <c r="D18" s="156">
        <f t="shared" si="11"/>
        <v>42378</v>
      </c>
      <c r="E18" s="118"/>
      <c r="F18" s="118"/>
      <c r="G18" s="119"/>
      <c r="H18" s="119"/>
      <c r="I18" s="229" t="str">
        <f t="shared" si="6"/>
        <v/>
      </c>
      <c r="J18" s="122"/>
      <c r="K18" s="123"/>
      <c r="L18" s="211" t="str">
        <f t="shared" si="7"/>
        <v/>
      </c>
      <c r="M18" s="250" t="str">
        <f t="shared" si="2"/>
        <v/>
      </c>
      <c r="N18" s="248">
        <f t="shared" si="3"/>
        <v>0</v>
      </c>
      <c r="O18" s="125"/>
      <c r="P18" s="239" t="str">
        <f t="shared" si="8"/>
        <v/>
      </c>
      <c r="Q18" s="256" t="str">
        <f t="shared" si="9"/>
        <v/>
      </c>
      <c r="R18" s="242" t="str">
        <f t="shared" si="10"/>
        <v/>
      </c>
      <c r="S18" s="240" t="str">
        <f t="shared" si="12"/>
        <v/>
      </c>
      <c r="T18" s="241" t="str">
        <f t="shared" ref="T18:U18" si="21">IF(OR(S18="",T$9=""),"",IF(IF($G17&gt;0,IF($G17&gt;=$H17,MAX(,MIN(T$9,$H17+24/24)-MAX(T$8,$G17)),MAX(,MIN(T$9,$H17)-MAX(T$8,$G17))),0)&lt;0,0,IF($G17&gt;0,IF($G17&gt;=$H17,MAX(,MIN(T$9,$H17+24/24)-MAX(T$8,$G17)),MAX(,MIN(T$9,$H17)-MAX(T$8,$G17))),0)))</f>
        <v/>
      </c>
      <c r="U18" s="242" t="str">
        <f t="shared" si="21"/>
        <v/>
      </c>
      <c r="V18" s="268">
        <f>SUMPRODUCT(($C$18="se")*($AB$18))</f>
        <v>0</v>
      </c>
      <c r="W18" s="269">
        <f>SUMPRODUCT(($C$18="se")*($AC$18))</f>
        <v>0</v>
      </c>
      <c r="X18" s="270">
        <f t="shared" si="4"/>
        <v>0</v>
      </c>
      <c r="Y18" s="271">
        <f t="shared" si="5"/>
        <v>0</v>
      </c>
      <c r="Z18" s="272">
        <f>SUMPRODUCT(($C$18="férié")*($AB$18))</f>
        <v>0</v>
      </c>
      <c r="AA18" s="273">
        <f>SUMPRODUCT(($C$18="férié")*($AC$18))</f>
        <v>0</v>
      </c>
      <c r="AB18" s="274">
        <f t="shared" si="14"/>
        <v>0</v>
      </c>
      <c r="AC18" s="275">
        <f t="shared" si="15"/>
        <v>0</v>
      </c>
      <c r="AD18" s="43"/>
      <c r="AE18" s="91" t="s">
        <v>73</v>
      </c>
      <c r="AF18" s="207">
        <f>SUMPRODUCT(($C$10:$C$40="dim")*($AB$10:$AB$40))</f>
        <v>0.49999999999999994</v>
      </c>
      <c r="AG18" s="28"/>
      <c r="AH18" s="48"/>
      <c r="AI18" s="49"/>
      <c r="AJ18" s="19" t="s">
        <v>76</v>
      </c>
      <c r="AK18" s="214">
        <f>SUM(AK16:AK17)</f>
        <v>28.300000000000004</v>
      </c>
      <c r="AL18" s="28"/>
      <c r="AM18" s="28"/>
      <c r="AN18" s="28"/>
      <c r="AO18" s="28"/>
      <c r="AP18" s="28"/>
    </row>
    <row r="19" spans="1:42" ht="16.5" thickBot="1">
      <c r="A19" s="28"/>
      <c r="B19" s="187">
        <v>10</v>
      </c>
      <c r="C19" s="57" t="str">
        <f t="shared" si="1"/>
        <v>Dim</v>
      </c>
      <c r="D19" s="156">
        <f t="shared" si="11"/>
        <v>42379</v>
      </c>
      <c r="E19" s="118"/>
      <c r="F19" s="118"/>
      <c r="G19" s="119"/>
      <c r="H19" s="119"/>
      <c r="I19" s="229" t="str">
        <f t="shared" si="6"/>
        <v/>
      </c>
      <c r="J19" s="122"/>
      <c r="K19" s="123"/>
      <c r="L19" s="211" t="str">
        <f t="shared" si="7"/>
        <v/>
      </c>
      <c r="M19" s="250" t="str">
        <f t="shared" si="2"/>
        <v/>
      </c>
      <c r="N19" s="248">
        <f t="shared" si="3"/>
        <v>0</v>
      </c>
      <c r="O19" s="125"/>
      <c r="P19" s="239" t="str">
        <f t="shared" si="8"/>
        <v/>
      </c>
      <c r="Q19" s="256" t="str">
        <f t="shared" si="9"/>
        <v/>
      </c>
      <c r="R19" s="242" t="str">
        <f t="shared" si="10"/>
        <v/>
      </c>
      <c r="S19" s="240" t="str">
        <f t="shared" si="12"/>
        <v/>
      </c>
      <c r="T19" s="241" t="str">
        <f t="shared" ref="T19:U19" si="22">IF(OR(S19="",T$9=""),"",IF(IF($G18&gt;0,IF($G18&gt;=$H18,MAX(,MIN(T$9,$H18+24/24)-MAX(T$8,$G18)),MAX(,MIN(T$9,$H18)-MAX(T$8,$G18))),0)&lt;0,0,IF($G18&gt;0,IF($G18&gt;=$H18,MAX(,MIN(T$9,$H18+24/24)-MAX(T$8,$G18)),MAX(,MIN(T$9,$H18)-MAX(T$8,$G18))),0)))</f>
        <v/>
      </c>
      <c r="U19" s="242" t="str">
        <f t="shared" si="22"/>
        <v/>
      </c>
      <c r="V19" s="268">
        <f>SUMPRODUCT(($C$19="se")*($AB$19))</f>
        <v>0</v>
      </c>
      <c r="W19" s="269">
        <f>SUMPRODUCT(($C$19="se")*($AC$19))</f>
        <v>0</v>
      </c>
      <c r="X19" s="270">
        <f t="shared" si="4"/>
        <v>0</v>
      </c>
      <c r="Y19" s="271">
        <f t="shared" si="5"/>
        <v>0</v>
      </c>
      <c r="Z19" s="272">
        <f>SUMPRODUCT(($C$19="férié")*($AB$19))</f>
        <v>0</v>
      </c>
      <c r="AA19" s="273">
        <f>SUMPRODUCT(($C$19="férié")*($AC$19))</f>
        <v>0</v>
      </c>
      <c r="AB19" s="274">
        <f t="shared" si="14"/>
        <v>0</v>
      </c>
      <c r="AC19" s="275">
        <f t="shared" si="15"/>
        <v>0</v>
      </c>
      <c r="AD19" s="43"/>
      <c r="AE19" s="325"/>
      <c r="AF19" s="326"/>
      <c r="AG19" s="28"/>
      <c r="AH19" s="28"/>
      <c r="AI19" s="28"/>
      <c r="AJ19" s="28"/>
      <c r="AK19" s="28"/>
      <c r="AL19" s="28"/>
      <c r="AM19" s="28"/>
      <c r="AN19" s="28"/>
      <c r="AO19" s="28"/>
      <c r="AP19" s="28"/>
    </row>
    <row r="20" spans="1:42" ht="15.75">
      <c r="A20" s="28"/>
      <c r="B20" s="187">
        <v>11</v>
      </c>
      <c r="C20" s="57" t="str">
        <f t="shared" si="1"/>
        <v>Se</v>
      </c>
      <c r="D20" s="156">
        <f t="shared" si="11"/>
        <v>42380</v>
      </c>
      <c r="E20" s="118"/>
      <c r="F20" s="118"/>
      <c r="G20" s="119"/>
      <c r="H20" s="119"/>
      <c r="I20" s="229" t="str">
        <f t="shared" si="6"/>
        <v/>
      </c>
      <c r="J20" s="122"/>
      <c r="K20" s="123"/>
      <c r="L20" s="211" t="str">
        <f t="shared" si="7"/>
        <v/>
      </c>
      <c r="M20" s="250" t="str">
        <f t="shared" si="2"/>
        <v/>
      </c>
      <c r="N20" s="248">
        <f t="shared" si="3"/>
        <v>0</v>
      </c>
      <c r="O20" s="125"/>
      <c r="P20" s="239" t="str">
        <f t="shared" si="8"/>
        <v/>
      </c>
      <c r="Q20" s="256" t="str">
        <f t="shared" si="9"/>
        <v/>
      </c>
      <c r="R20" s="242" t="str">
        <f t="shared" si="10"/>
        <v/>
      </c>
      <c r="S20" s="240" t="str">
        <f t="shared" si="12"/>
        <v/>
      </c>
      <c r="T20" s="241" t="str">
        <f t="shared" ref="T20:U20" si="23">IF(OR(S20="",T$9=""),"",IF(IF($G19&gt;0,IF($G19&gt;=$H19,MAX(,MIN(T$9,$H19+24/24)-MAX(T$8,$G19)),MAX(,MIN(T$9,$H19)-MAX(T$8,$G19))),0)&lt;0,0,IF($G19&gt;0,IF($G19&gt;=$H19,MAX(,MIN(T$9,$H19+24/24)-MAX(T$8,$G19)),MAX(,MIN(T$9,$H19)-MAX(T$8,$G19))),0)))</f>
        <v/>
      </c>
      <c r="U20" s="242" t="str">
        <f t="shared" si="23"/>
        <v/>
      </c>
      <c r="V20" s="268">
        <f>SUMPRODUCT(($C$20="se")*($AB$20))</f>
        <v>0</v>
      </c>
      <c r="W20" s="269">
        <f>SUMPRODUCT(($C$20="se")*($AC$20))</f>
        <v>0</v>
      </c>
      <c r="X20" s="270">
        <f t="shared" si="4"/>
        <v>0</v>
      </c>
      <c r="Y20" s="271">
        <f t="shared" si="5"/>
        <v>0</v>
      </c>
      <c r="Z20" s="272">
        <f>SUMPRODUCT(($C$20="férié")*($AB$20))</f>
        <v>0</v>
      </c>
      <c r="AA20" s="273">
        <f>SUMPRODUCT(($C$20="férié")*($AC$20))</f>
        <v>0</v>
      </c>
      <c r="AB20" s="274">
        <f t="shared" si="14"/>
        <v>0</v>
      </c>
      <c r="AC20" s="275">
        <f t="shared" si="15"/>
        <v>0</v>
      </c>
      <c r="AD20" s="43"/>
      <c r="AE20" s="91" t="s">
        <v>74</v>
      </c>
      <c r="AF20" s="207">
        <f>SUMPRODUCT(($C$10:$C$40="dim")*($AC$10:$AC$40))</f>
        <v>0</v>
      </c>
      <c r="AG20" s="28"/>
      <c r="AH20" s="334" t="s">
        <v>82</v>
      </c>
      <c r="AI20" s="335"/>
      <c r="AJ20" s="335"/>
      <c r="AK20" s="336"/>
      <c r="AL20" s="28"/>
      <c r="AM20" s="28"/>
      <c r="AN20" s="28"/>
      <c r="AO20" s="28"/>
      <c r="AP20" s="28"/>
    </row>
    <row r="21" spans="1:42" ht="15.75">
      <c r="A21" s="28"/>
      <c r="B21" s="187">
        <v>12</v>
      </c>
      <c r="C21" s="57" t="str">
        <f t="shared" si="1"/>
        <v>Se</v>
      </c>
      <c r="D21" s="156">
        <f t="shared" si="11"/>
        <v>42381</v>
      </c>
      <c r="E21" s="118"/>
      <c r="F21" s="118"/>
      <c r="G21" s="119"/>
      <c r="H21" s="119"/>
      <c r="I21" s="229" t="str">
        <f t="shared" si="6"/>
        <v/>
      </c>
      <c r="J21" s="122"/>
      <c r="K21" s="123"/>
      <c r="L21" s="211" t="str">
        <f t="shared" si="7"/>
        <v/>
      </c>
      <c r="M21" s="250" t="str">
        <f t="shared" si="2"/>
        <v/>
      </c>
      <c r="N21" s="248">
        <f t="shared" si="3"/>
        <v>0</v>
      </c>
      <c r="O21" s="125"/>
      <c r="P21" s="239" t="str">
        <f t="shared" si="8"/>
        <v/>
      </c>
      <c r="Q21" s="256" t="str">
        <f t="shared" si="9"/>
        <v/>
      </c>
      <c r="R21" s="242" t="str">
        <f t="shared" si="10"/>
        <v/>
      </c>
      <c r="S21" s="240" t="str">
        <f t="shared" si="12"/>
        <v/>
      </c>
      <c r="T21" s="241" t="str">
        <f t="shared" ref="T21:U21" si="24">IF(OR(S21="",T$9=""),"",IF(IF($G20&gt;0,IF($G20&gt;=$H20,MAX(,MIN(T$9,$H20+24/24)-MAX(T$8,$G20)),MAX(,MIN(T$9,$H20)-MAX(T$8,$G20))),0)&lt;0,0,IF($G20&gt;0,IF($G20&gt;=$H20,MAX(,MIN(T$9,$H20+24/24)-MAX(T$8,$G20)),MAX(,MIN(T$9,$H20)-MAX(T$8,$G20))),0)))</f>
        <v/>
      </c>
      <c r="U21" s="242" t="str">
        <f t="shared" si="24"/>
        <v/>
      </c>
      <c r="V21" s="268">
        <f>SUMPRODUCT(($C$21="se")*($AB$21))</f>
        <v>0</v>
      </c>
      <c r="W21" s="269">
        <f>SUMPRODUCT(($C$21="se")*($AC$21))</f>
        <v>0</v>
      </c>
      <c r="X21" s="270">
        <f t="shared" si="4"/>
        <v>0</v>
      </c>
      <c r="Y21" s="271">
        <f t="shared" si="5"/>
        <v>0</v>
      </c>
      <c r="Z21" s="272">
        <f>SUMPRODUCT(($C$21="férié")*($AB$21))</f>
        <v>0</v>
      </c>
      <c r="AA21" s="273">
        <f>SUMPRODUCT(($C$21="férié")*($AC$21))</f>
        <v>0</v>
      </c>
      <c r="AB21" s="274">
        <f t="shared" si="14"/>
        <v>0</v>
      </c>
      <c r="AC21" s="275">
        <f t="shared" si="15"/>
        <v>0</v>
      </c>
      <c r="AD21" s="43"/>
      <c r="AE21" s="325"/>
      <c r="AF21" s="326"/>
      <c r="AG21" s="28"/>
      <c r="AH21" s="327" t="str">
        <f>Réglages!Q20</f>
        <v>Carte SST</v>
      </c>
      <c r="AI21" s="328"/>
      <c r="AJ21" s="329">
        <f>Réglages!S20</f>
        <v>42402</v>
      </c>
      <c r="AK21" s="330"/>
      <c r="AL21" s="28"/>
      <c r="AM21" s="28"/>
      <c r="AN21" s="28"/>
      <c r="AO21" s="28"/>
      <c r="AP21" s="28"/>
    </row>
    <row r="22" spans="1:42" ht="15.75">
      <c r="A22" s="28"/>
      <c r="B22" s="187">
        <v>13</v>
      </c>
      <c r="C22" s="57" t="str">
        <f t="shared" si="1"/>
        <v>Se</v>
      </c>
      <c r="D22" s="156">
        <f t="shared" si="11"/>
        <v>42382</v>
      </c>
      <c r="E22" s="118"/>
      <c r="F22" s="118"/>
      <c r="G22" s="119"/>
      <c r="H22" s="119"/>
      <c r="I22" s="229" t="str">
        <f t="shared" si="6"/>
        <v/>
      </c>
      <c r="J22" s="122"/>
      <c r="K22" s="123"/>
      <c r="L22" s="211" t="str">
        <f t="shared" si="7"/>
        <v/>
      </c>
      <c r="M22" s="250" t="str">
        <f t="shared" si="2"/>
        <v/>
      </c>
      <c r="N22" s="248">
        <f t="shared" si="3"/>
        <v>0</v>
      </c>
      <c r="O22" s="125"/>
      <c r="P22" s="239" t="str">
        <f t="shared" si="8"/>
        <v/>
      </c>
      <c r="Q22" s="256" t="str">
        <f t="shared" si="9"/>
        <v/>
      </c>
      <c r="R22" s="242" t="str">
        <f t="shared" si="10"/>
        <v/>
      </c>
      <c r="S22" s="240" t="str">
        <f t="shared" si="12"/>
        <v/>
      </c>
      <c r="T22" s="241" t="str">
        <f t="shared" ref="T22:U22" si="25">IF(OR(S22="",T$9=""),"",IF(IF($G21&gt;0,IF($G21&gt;=$H21,MAX(,MIN(T$9,$H21+24/24)-MAX(T$8,$G21)),MAX(,MIN(T$9,$H21)-MAX(T$8,$G21))),0)&lt;0,0,IF($G21&gt;0,IF($G21&gt;=$H21,MAX(,MIN(T$9,$H21+24/24)-MAX(T$8,$G21)),MAX(,MIN(T$9,$H21)-MAX(T$8,$G21))),0)))</f>
        <v/>
      </c>
      <c r="U22" s="242" t="str">
        <f t="shared" si="25"/>
        <v/>
      </c>
      <c r="V22" s="268">
        <f>SUMPRODUCT(($C$22="se")*($AB$22))</f>
        <v>0</v>
      </c>
      <c r="W22" s="269">
        <f>SUMPRODUCT(($C$22="se")*($AC$22))</f>
        <v>0</v>
      </c>
      <c r="X22" s="270">
        <f t="shared" si="4"/>
        <v>0</v>
      </c>
      <c r="Y22" s="271">
        <f t="shared" si="5"/>
        <v>0</v>
      </c>
      <c r="Z22" s="272">
        <f>SUMPRODUCT(($C$22="férié")*($AB$22))</f>
        <v>0</v>
      </c>
      <c r="AA22" s="273">
        <f>SUMPRODUCT(($C$22="férié")*($AC$22))</f>
        <v>0</v>
      </c>
      <c r="AB22" s="274">
        <f t="shared" si="14"/>
        <v>0</v>
      </c>
      <c r="AC22" s="275">
        <f t="shared" si="15"/>
        <v>0</v>
      </c>
      <c r="AD22" s="43"/>
      <c r="AE22" s="91" t="s">
        <v>80</v>
      </c>
      <c r="AF22" s="98">
        <f>SUMPRODUCT(($C$10:$C$40="férié")*($N$10:$N$40&gt;0))</f>
        <v>1</v>
      </c>
      <c r="AG22" s="28"/>
      <c r="AH22" s="350" t="str">
        <f>Réglages!Q21</f>
        <v>HOBS-BE (Manœuvre)</v>
      </c>
      <c r="AI22" s="351"/>
      <c r="AJ22" s="348">
        <f>Réglages!S21</f>
        <v>42461</v>
      </c>
      <c r="AK22" s="349"/>
      <c r="AL22" s="28"/>
      <c r="AM22" s="28"/>
      <c r="AN22" s="28"/>
      <c r="AO22" s="28"/>
      <c r="AP22" s="28"/>
    </row>
    <row r="23" spans="1:42" ht="15.75">
      <c r="A23" s="28"/>
      <c r="B23" s="187">
        <v>14</v>
      </c>
      <c r="C23" s="57" t="str">
        <f t="shared" si="1"/>
        <v>Se</v>
      </c>
      <c r="D23" s="156">
        <f t="shared" si="11"/>
        <v>42383</v>
      </c>
      <c r="E23" s="118" t="s">
        <v>27</v>
      </c>
      <c r="F23" s="118" t="s">
        <v>57</v>
      </c>
      <c r="G23" s="119">
        <v>0</v>
      </c>
      <c r="H23" s="119">
        <v>0.20833333333333301</v>
      </c>
      <c r="I23" s="229">
        <f t="shared" si="6"/>
        <v>0.20833333333333301</v>
      </c>
      <c r="J23" s="122"/>
      <c r="K23" s="123"/>
      <c r="L23" s="211" t="str">
        <f t="shared" si="7"/>
        <v/>
      </c>
      <c r="M23" s="250">
        <f t="shared" si="2"/>
        <v>0.20833333333333301</v>
      </c>
      <c r="N23" s="248">
        <f t="shared" si="3"/>
        <v>0.20833333333333301</v>
      </c>
      <c r="O23" s="125"/>
      <c r="P23" s="239">
        <f t="shared" si="8"/>
        <v>0.20833333333333301</v>
      </c>
      <c r="Q23" s="256">
        <f t="shared" si="9"/>
        <v>0</v>
      </c>
      <c r="R23" s="242">
        <f t="shared" si="10"/>
        <v>0</v>
      </c>
      <c r="S23" s="240" t="str">
        <f t="shared" si="12"/>
        <v/>
      </c>
      <c r="T23" s="241" t="str">
        <f t="shared" ref="T23:U23" si="26">IF(OR(S23="",T$9=""),"",IF(IF($G22&gt;0,IF($G22&gt;=$H22,MAX(,MIN(T$9,$H22+24/24)-MAX(T$8,$G22)),MAX(,MIN(T$9,$H22)-MAX(T$8,$G22))),0)&lt;0,0,IF($G22&gt;0,IF($G22&gt;=$H22,MAX(,MIN(T$9,$H22+24/24)-MAX(T$8,$G22)),MAX(,MIN(T$9,$H22)-MAX(T$8,$G22))),0)))</f>
        <v/>
      </c>
      <c r="U23" s="242" t="str">
        <f t="shared" si="26"/>
        <v/>
      </c>
      <c r="V23" s="268">
        <f>SUMPRODUCT(($C$23="se")*($AB$23))</f>
        <v>0</v>
      </c>
      <c r="W23" s="269">
        <f>SUMPRODUCT(($C$23="se")*($AC$23))</f>
        <v>0.20833333333333301</v>
      </c>
      <c r="X23" s="270">
        <f t="shared" si="4"/>
        <v>0</v>
      </c>
      <c r="Y23" s="271">
        <f t="shared" si="5"/>
        <v>0</v>
      </c>
      <c r="Z23" s="272">
        <f>SUMPRODUCT(($C$23="férié")*($AB$23))</f>
        <v>0</v>
      </c>
      <c r="AA23" s="273">
        <f>SUMPRODUCT(($C$23="férié")*($AC$23))</f>
        <v>0</v>
      </c>
      <c r="AB23" s="274">
        <f t="shared" si="14"/>
        <v>0</v>
      </c>
      <c r="AC23" s="275">
        <f t="shared" si="15"/>
        <v>0.20833333333333301</v>
      </c>
      <c r="AD23" s="43"/>
      <c r="AE23" s="354"/>
      <c r="AF23" s="355"/>
      <c r="AG23" s="28"/>
      <c r="AH23" s="350" t="str">
        <f>Réglages!Q22</f>
        <v>SSIAP 1</v>
      </c>
      <c r="AI23" s="351"/>
      <c r="AJ23" s="348">
        <f>Réglages!S22</f>
        <v>42552</v>
      </c>
      <c r="AK23" s="349"/>
      <c r="AL23" s="28"/>
      <c r="AM23" s="28"/>
      <c r="AN23" s="28"/>
      <c r="AO23" s="28"/>
      <c r="AP23" s="28"/>
    </row>
    <row r="24" spans="1:42" ht="16.5" thickBot="1">
      <c r="A24" s="28"/>
      <c r="B24" s="187">
        <v>15</v>
      </c>
      <c r="C24" s="57" t="str">
        <f t="shared" si="1"/>
        <v>Se</v>
      </c>
      <c r="D24" s="156">
        <f t="shared" si="11"/>
        <v>42384</v>
      </c>
      <c r="E24" s="118" t="s">
        <v>27</v>
      </c>
      <c r="F24" s="118" t="s">
        <v>57</v>
      </c>
      <c r="G24" s="119">
        <v>0</v>
      </c>
      <c r="H24" s="119">
        <v>0.25</v>
      </c>
      <c r="I24" s="229">
        <f t="shared" si="6"/>
        <v>0.25</v>
      </c>
      <c r="J24" s="122"/>
      <c r="K24" s="123"/>
      <c r="L24" s="211">
        <f t="shared" si="7"/>
        <v>1</v>
      </c>
      <c r="M24" s="250">
        <f t="shared" si="2"/>
        <v>0.25</v>
      </c>
      <c r="N24" s="248">
        <f t="shared" si="3"/>
        <v>0.25</v>
      </c>
      <c r="O24" s="125"/>
      <c r="P24" s="239">
        <f t="shared" si="8"/>
        <v>0.25</v>
      </c>
      <c r="Q24" s="256">
        <f t="shared" si="9"/>
        <v>0</v>
      </c>
      <c r="R24" s="242">
        <f t="shared" si="10"/>
        <v>0</v>
      </c>
      <c r="S24" s="240">
        <f t="shared" si="12"/>
        <v>0</v>
      </c>
      <c r="T24" s="241">
        <f t="shared" ref="T24:U24" si="27">IF(OR(S24="",T$9=""),"",IF(IF($G23&gt;0,IF($G23&gt;=$H23,MAX(,MIN(T$9,$H23+24/24)-MAX(T$8,$G23)),MAX(,MIN(T$9,$H23)-MAX(T$8,$G23))),0)&lt;0,0,IF($G23&gt;0,IF($G23&gt;=$H23,MAX(,MIN(T$9,$H23+24/24)-MAX(T$8,$G23)),MAX(,MIN(T$9,$H23)-MAX(T$8,$G23))),0)))</f>
        <v>0</v>
      </c>
      <c r="U24" s="242">
        <f t="shared" si="27"/>
        <v>0</v>
      </c>
      <c r="V24" s="268">
        <f>SUMPRODUCT(($C$24="se")*($AB$24))</f>
        <v>0</v>
      </c>
      <c r="W24" s="269">
        <f>SUMPRODUCT(($C$24="se")*($AC$24))</f>
        <v>0.25</v>
      </c>
      <c r="X24" s="270">
        <f t="shared" si="4"/>
        <v>0</v>
      </c>
      <c r="Y24" s="271">
        <f t="shared" si="5"/>
        <v>0</v>
      </c>
      <c r="Z24" s="272">
        <f>SUMPRODUCT(($C$24="férié")*($AB$24))</f>
        <v>0</v>
      </c>
      <c r="AA24" s="273">
        <f>SUMPRODUCT(($C$24="férié")*($AC$24))</f>
        <v>0</v>
      </c>
      <c r="AB24" s="274">
        <f t="shared" si="14"/>
        <v>0</v>
      </c>
      <c r="AC24" s="275">
        <f t="shared" si="15"/>
        <v>0.25</v>
      </c>
      <c r="AD24" s="43"/>
      <c r="AE24" s="91" t="s">
        <v>68</v>
      </c>
      <c r="AF24" s="207">
        <f>SUM(Z7+AA7)</f>
        <v>8.333333333333337E-2</v>
      </c>
      <c r="AG24" s="28"/>
      <c r="AH24" s="352" t="str">
        <f>Réglages!Q23</f>
        <v>Carte PRO CNAPS</v>
      </c>
      <c r="AI24" s="353"/>
      <c r="AJ24" s="343">
        <f>Réglages!S23</f>
        <v>43405</v>
      </c>
      <c r="AK24" s="344"/>
      <c r="AL24" s="28"/>
      <c r="AM24" s="28"/>
      <c r="AN24" s="28"/>
      <c r="AO24" s="28"/>
      <c r="AP24" s="28"/>
    </row>
    <row r="25" spans="1:42" ht="15.75">
      <c r="A25" s="28"/>
      <c r="B25" s="187">
        <v>16</v>
      </c>
      <c r="C25" s="57" t="str">
        <f t="shared" si="1"/>
        <v>Se</v>
      </c>
      <c r="D25" s="156">
        <f t="shared" si="11"/>
        <v>42385</v>
      </c>
      <c r="E25" s="118" t="s">
        <v>27</v>
      </c>
      <c r="F25" s="118" t="s">
        <v>57</v>
      </c>
      <c r="G25" s="119">
        <v>0</v>
      </c>
      <c r="H25" s="119">
        <v>0.29166666666666702</v>
      </c>
      <c r="I25" s="229">
        <f t="shared" si="6"/>
        <v>0.29166666666666702</v>
      </c>
      <c r="J25" s="122"/>
      <c r="K25" s="123"/>
      <c r="L25" s="211">
        <f t="shared" si="7"/>
        <v>1</v>
      </c>
      <c r="M25" s="250">
        <f t="shared" si="2"/>
        <v>0.29166666666666702</v>
      </c>
      <c r="N25" s="248">
        <f t="shared" si="3"/>
        <v>0.29166666666666702</v>
      </c>
      <c r="O25" s="125"/>
      <c r="P25" s="239">
        <f t="shared" si="8"/>
        <v>0.25</v>
      </c>
      <c r="Q25" s="256">
        <f t="shared" si="9"/>
        <v>4.1666666666667018E-2</v>
      </c>
      <c r="R25" s="242">
        <f t="shared" si="10"/>
        <v>0</v>
      </c>
      <c r="S25" s="240">
        <f t="shared" si="12"/>
        <v>0</v>
      </c>
      <c r="T25" s="241">
        <f t="shared" ref="T25:U25" si="28">IF(OR(S25="",T$9=""),"",IF(IF($G24&gt;0,IF($G24&gt;=$H24,MAX(,MIN(T$9,$H24+24/24)-MAX(T$8,$G24)),MAX(,MIN(T$9,$H24)-MAX(T$8,$G24))),0)&lt;0,0,IF($G24&gt;0,IF($G24&gt;=$H24,MAX(,MIN(T$9,$H24+24/24)-MAX(T$8,$G24)),MAX(,MIN(T$9,$H24)-MAX(T$8,$G24))),0)))</f>
        <v>0</v>
      </c>
      <c r="U25" s="242">
        <f t="shared" si="28"/>
        <v>0</v>
      </c>
      <c r="V25" s="268">
        <f>SUMPRODUCT(($C$25="se")*($AB$25))</f>
        <v>4.1666666666667018E-2</v>
      </c>
      <c r="W25" s="269">
        <f>SUMPRODUCT(($C$25="se")*($AC$25))</f>
        <v>0.25</v>
      </c>
      <c r="X25" s="270">
        <f t="shared" si="4"/>
        <v>0</v>
      </c>
      <c r="Y25" s="271">
        <f t="shared" si="5"/>
        <v>0</v>
      </c>
      <c r="Z25" s="272">
        <f>SUMPRODUCT(($C$25="férié")*($AB$25))</f>
        <v>0</v>
      </c>
      <c r="AA25" s="273">
        <f>SUMPRODUCT(($C$25="férié")*($AC$25))</f>
        <v>0</v>
      </c>
      <c r="AB25" s="274">
        <f t="shared" si="14"/>
        <v>4.1666666666667018E-2</v>
      </c>
      <c r="AC25" s="275">
        <f t="shared" si="15"/>
        <v>0.25</v>
      </c>
      <c r="AD25" s="43"/>
      <c r="AE25" s="325"/>
      <c r="AF25" s="326"/>
      <c r="AG25" s="28"/>
      <c r="AH25" s="28"/>
      <c r="AI25" s="28"/>
      <c r="AJ25" s="28"/>
      <c r="AK25" s="28"/>
      <c r="AL25" s="28"/>
      <c r="AM25" s="28"/>
      <c r="AN25" s="28"/>
      <c r="AO25" s="28"/>
      <c r="AP25" s="28"/>
    </row>
    <row r="26" spans="1:42" ht="15.95" customHeight="1">
      <c r="A26" s="28"/>
      <c r="B26" s="187">
        <v>17</v>
      </c>
      <c r="C26" s="57" t="str">
        <f t="shared" si="1"/>
        <v>Dim</v>
      </c>
      <c r="D26" s="156">
        <f t="shared" si="11"/>
        <v>42386</v>
      </c>
      <c r="E26" s="118"/>
      <c r="F26" s="118"/>
      <c r="G26" s="119"/>
      <c r="H26" s="119"/>
      <c r="I26" s="229" t="str">
        <f t="shared" si="6"/>
        <v/>
      </c>
      <c r="J26" s="122"/>
      <c r="K26" s="123"/>
      <c r="L26" s="211" t="str">
        <f t="shared" si="7"/>
        <v/>
      </c>
      <c r="M26" s="250" t="str">
        <f t="shared" si="2"/>
        <v/>
      </c>
      <c r="N26" s="248">
        <f t="shared" si="3"/>
        <v>0</v>
      </c>
      <c r="O26" s="125"/>
      <c r="P26" s="239" t="str">
        <f t="shared" si="8"/>
        <v/>
      </c>
      <c r="Q26" s="256" t="str">
        <f t="shared" si="9"/>
        <v/>
      </c>
      <c r="R26" s="242" t="str">
        <f t="shared" si="10"/>
        <v/>
      </c>
      <c r="S26" s="240">
        <f t="shared" si="12"/>
        <v>0</v>
      </c>
      <c r="T26" s="241">
        <f t="shared" ref="T26:U26" si="29">IF(OR(S26="",T$9=""),"",IF(IF($G25&gt;0,IF($G25&gt;=$H25,MAX(,MIN(T$9,$H25+24/24)-MAX(T$8,$G25)),MAX(,MIN(T$9,$H25)-MAX(T$8,$G25))),0)&lt;0,0,IF($G25&gt;0,IF($G25&gt;=$H25,MAX(,MIN(T$9,$H25+24/24)-MAX(T$8,$G25)),MAX(,MIN(T$9,$H25)-MAX(T$8,$G25))),0)))</f>
        <v>0</v>
      </c>
      <c r="U26" s="242">
        <f t="shared" si="29"/>
        <v>0</v>
      </c>
      <c r="V26" s="268">
        <f>SUMPRODUCT(($C$26="se")*($AB$26))</f>
        <v>0</v>
      </c>
      <c r="W26" s="269">
        <f>SUMPRODUCT(($C$26="se")*($AC$26))</f>
        <v>0</v>
      </c>
      <c r="X26" s="270">
        <f t="shared" si="4"/>
        <v>0</v>
      </c>
      <c r="Y26" s="271">
        <f t="shared" si="5"/>
        <v>0</v>
      </c>
      <c r="Z26" s="272">
        <f>SUMPRODUCT(($C$26="férié")*($AB$26))</f>
        <v>0</v>
      </c>
      <c r="AA26" s="273">
        <f>SUMPRODUCT(($C$26="férié")*($AC$26))</f>
        <v>0</v>
      </c>
      <c r="AB26" s="274">
        <f t="shared" si="14"/>
        <v>0</v>
      </c>
      <c r="AC26" s="275">
        <f t="shared" si="15"/>
        <v>0</v>
      </c>
      <c r="AD26" s="43"/>
      <c r="AE26" s="91" t="s">
        <v>69</v>
      </c>
      <c r="AF26" s="207">
        <f>SUM(Z7)</f>
        <v>0</v>
      </c>
      <c r="AG26" s="28"/>
      <c r="AH26" s="28"/>
      <c r="AI26" s="28"/>
      <c r="AJ26" s="28"/>
      <c r="AK26" s="28"/>
      <c r="AL26" s="28"/>
      <c r="AM26" s="28"/>
      <c r="AN26" s="28"/>
      <c r="AO26" s="28"/>
      <c r="AP26" s="28"/>
    </row>
    <row r="27" spans="1:42" ht="15.95" customHeight="1">
      <c r="A27" s="28"/>
      <c r="B27" s="187">
        <v>18</v>
      </c>
      <c r="C27" s="57" t="str">
        <f t="shared" si="1"/>
        <v>Se</v>
      </c>
      <c r="D27" s="156">
        <f t="shared" si="11"/>
        <v>42387</v>
      </c>
      <c r="E27" s="118" t="s">
        <v>8</v>
      </c>
      <c r="F27" s="118" t="s">
        <v>58</v>
      </c>
      <c r="G27" s="119">
        <v>4.1666666666666664E-2</v>
      </c>
      <c r="H27" s="119">
        <v>0.16666666666666699</v>
      </c>
      <c r="I27" s="229">
        <f t="shared" si="6"/>
        <v>0.12500000000000033</v>
      </c>
      <c r="J27" s="122"/>
      <c r="K27" s="123"/>
      <c r="L27" s="211" t="str">
        <f t="shared" si="7"/>
        <v/>
      </c>
      <c r="M27" s="250" t="str">
        <f t="shared" si="2"/>
        <v/>
      </c>
      <c r="N27" s="248">
        <f t="shared" si="3"/>
        <v>0.12500000000000033</v>
      </c>
      <c r="O27" s="125"/>
      <c r="P27" s="239">
        <f t="shared" si="8"/>
        <v>0.12500000000000033</v>
      </c>
      <c r="Q27" s="256">
        <f t="shared" si="9"/>
        <v>0</v>
      </c>
      <c r="R27" s="242">
        <f t="shared" si="10"/>
        <v>0</v>
      </c>
      <c r="S27" s="240" t="str">
        <f t="shared" si="12"/>
        <v/>
      </c>
      <c r="T27" s="241" t="str">
        <f t="shared" ref="T27:U27" si="30">IF(OR(S27="",T$9=""),"",IF(IF($G26&gt;0,IF($G26&gt;=$H26,MAX(,MIN(T$9,$H26+24/24)-MAX(T$8,$G26)),MAX(,MIN(T$9,$H26)-MAX(T$8,$G26))),0)&lt;0,0,IF($G26&gt;0,IF($G26&gt;=$H26,MAX(,MIN(T$9,$H26+24/24)-MAX(T$8,$G26)),MAX(,MIN(T$9,$H26)-MAX(T$8,$G26))),0)))</f>
        <v/>
      </c>
      <c r="U27" s="242" t="str">
        <f t="shared" si="30"/>
        <v/>
      </c>
      <c r="V27" s="268">
        <f>SUMPRODUCT(($C$27="se")*($AB$27))</f>
        <v>0</v>
      </c>
      <c r="W27" s="269">
        <f>SUMPRODUCT(($C$27="se")*($AC$27))</f>
        <v>0.12500000000000033</v>
      </c>
      <c r="X27" s="270">
        <f t="shared" si="4"/>
        <v>0</v>
      </c>
      <c r="Y27" s="271">
        <f t="shared" si="5"/>
        <v>0</v>
      </c>
      <c r="Z27" s="272">
        <f>SUMPRODUCT(($C$27="férié")*($AB$27))</f>
        <v>0</v>
      </c>
      <c r="AA27" s="273">
        <f>SUMPRODUCT(($C$27="férié")*($AC$27))</f>
        <v>0</v>
      </c>
      <c r="AB27" s="274">
        <f t="shared" si="14"/>
        <v>0</v>
      </c>
      <c r="AC27" s="275">
        <f t="shared" si="15"/>
        <v>0.12500000000000033</v>
      </c>
      <c r="AD27" s="43"/>
      <c r="AE27" s="325"/>
      <c r="AF27" s="326"/>
      <c r="AG27" s="28"/>
      <c r="AH27" s="28"/>
      <c r="AI27" s="28"/>
      <c r="AJ27" s="28"/>
      <c r="AK27" s="28"/>
      <c r="AL27" s="28"/>
      <c r="AM27" s="28"/>
      <c r="AN27" s="28"/>
      <c r="AO27" s="28"/>
      <c r="AP27" s="28"/>
    </row>
    <row r="28" spans="1:42" ht="15.95" customHeight="1">
      <c r="A28" s="28"/>
      <c r="B28" s="187">
        <v>19</v>
      </c>
      <c r="C28" s="57" t="str">
        <f t="shared" si="1"/>
        <v>Se</v>
      </c>
      <c r="D28" s="156">
        <f t="shared" si="11"/>
        <v>42388</v>
      </c>
      <c r="E28" s="118" t="s">
        <v>8</v>
      </c>
      <c r="F28" s="118" t="s">
        <v>58</v>
      </c>
      <c r="G28" s="119">
        <v>4.1666666666666664E-2</v>
      </c>
      <c r="H28" s="119">
        <v>0.20833333333333301</v>
      </c>
      <c r="I28" s="229">
        <f t="shared" si="6"/>
        <v>0.16666666666666635</v>
      </c>
      <c r="J28" s="122"/>
      <c r="K28" s="123"/>
      <c r="L28" s="211" t="str">
        <f t="shared" si="7"/>
        <v/>
      </c>
      <c r="M28" s="250" t="str">
        <f t="shared" si="2"/>
        <v/>
      </c>
      <c r="N28" s="248">
        <f t="shared" si="3"/>
        <v>0.16666666666666635</v>
      </c>
      <c r="O28" s="125"/>
      <c r="P28" s="239">
        <f t="shared" si="8"/>
        <v>0.16666666666666635</v>
      </c>
      <c r="Q28" s="256">
        <f t="shared" si="9"/>
        <v>0</v>
      </c>
      <c r="R28" s="242">
        <f t="shared" si="10"/>
        <v>0</v>
      </c>
      <c r="S28" s="240">
        <f t="shared" si="12"/>
        <v>0</v>
      </c>
      <c r="T28" s="241">
        <f t="shared" ref="T28:U28" si="31">IF(OR(S28="",T$9=""),"",IF(IF($G27&gt;0,IF($G27&gt;=$H27,MAX(,MIN(T$9,$H27+24/24)-MAX(T$8,$G27)),MAX(,MIN(T$9,$H27)-MAX(T$8,$G27))),0)&lt;0,0,IF($G27&gt;0,IF($G27&gt;=$H27,MAX(,MIN(T$9,$H27+24/24)-MAX(T$8,$G27)),MAX(,MIN(T$9,$H27)-MAX(T$8,$G27))),0)))</f>
        <v>0</v>
      </c>
      <c r="U28" s="242">
        <f t="shared" si="31"/>
        <v>0</v>
      </c>
      <c r="V28" s="268">
        <f>SUMPRODUCT(($C$28="se")*($AB$28))</f>
        <v>0</v>
      </c>
      <c r="W28" s="269">
        <f>SUMPRODUCT(($C$28="se")*($AC$28))</f>
        <v>0.16666666666666635</v>
      </c>
      <c r="X28" s="270">
        <f t="shared" si="4"/>
        <v>0</v>
      </c>
      <c r="Y28" s="271">
        <f t="shared" si="5"/>
        <v>0</v>
      </c>
      <c r="Z28" s="272">
        <f>SUMPRODUCT(($C$28="férié")*($AB$28))</f>
        <v>0</v>
      </c>
      <c r="AA28" s="273">
        <f>SUMPRODUCT(($C$28="férié")*($AC$28))</f>
        <v>0</v>
      </c>
      <c r="AB28" s="274">
        <f t="shared" si="14"/>
        <v>0</v>
      </c>
      <c r="AC28" s="275">
        <f t="shared" si="15"/>
        <v>0.16666666666666635</v>
      </c>
      <c r="AD28" s="43"/>
      <c r="AE28" s="91" t="s">
        <v>70</v>
      </c>
      <c r="AF28" s="207">
        <f>SUM(AA7)</f>
        <v>8.333333333333337E-2</v>
      </c>
      <c r="AG28" s="28"/>
      <c r="AH28" s="51"/>
      <c r="AI28" s="50"/>
      <c r="AJ28" s="28"/>
      <c r="AK28" s="28"/>
      <c r="AL28" s="28"/>
      <c r="AM28" s="28"/>
      <c r="AN28" s="28"/>
      <c r="AO28" s="28"/>
      <c r="AP28" s="28"/>
    </row>
    <row r="29" spans="1:42" ht="15.95" customHeight="1">
      <c r="A29" s="28"/>
      <c r="B29" s="187">
        <v>20</v>
      </c>
      <c r="C29" s="57" t="str">
        <f t="shared" si="1"/>
        <v>Se</v>
      </c>
      <c r="D29" s="156">
        <f t="shared" si="11"/>
        <v>42389</v>
      </c>
      <c r="E29" s="118"/>
      <c r="F29" s="118"/>
      <c r="G29" s="119"/>
      <c r="H29" s="119"/>
      <c r="I29" s="229" t="str">
        <f t="shared" si="6"/>
        <v/>
      </c>
      <c r="J29" s="122"/>
      <c r="K29" s="123"/>
      <c r="L29" s="211" t="str">
        <f t="shared" si="7"/>
        <v/>
      </c>
      <c r="M29" s="250" t="str">
        <f t="shared" si="2"/>
        <v/>
      </c>
      <c r="N29" s="248">
        <f t="shared" si="3"/>
        <v>0</v>
      </c>
      <c r="O29" s="125"/>
      <c r="P29" s="239" t="str">
        <f t="shared" si="8"/>
        <v/>
      </c>
      <c r="Q29" s="256" t="str">
        <f t="shared" si="9"/>
        <v/>
      </c>
      <c r="R29" s="242" t="str">
        <f t="shared" si="10"/>
        <v/>
      </c>
      <c r="S29" s="240">
        <f t="shared" si="12"/>
        <v>0</v>
      </c>
      <c r="T29" s="241">
        <f t="shared" ref="T29:U29" si="32">IF(OR(S29="",T$9=""),"",IF(IF($G28&gt;0,IF($G28&gt;=$H28,MAX(,MIN(T$9,$H28+24/24)-MAX(T$8,$G28)),MAX(,MIN(T$9,$H28)-MAX(T$8,$G28))),0)&lt;0,0,IF($G28&gt;0,IF($G28&gt;=$H28,MAX(,MIN(T$9,$H28+24/24)-MAX(T$8,$G28)),MAX(,MIN(T$9,$H28)-MAX(T$8,$G28))),0)))</f>
        <v>0</v>
      </c>
      <c r="U29" s="242">
        <f t="shared" si="32"/>
        <v>0</v>
      </c>
      <c r="V29" s="268">
        <f>SUMPRODUCT(($C$29="se")*($AB$29))</f>
        <v>0</v>
      </c>
      <c r="W29" s="269">
        <f>SUMPRODUCT(($C$29="se")*($AC$29))</f>
        <v>0</v>
      </c>
      <c r="X29" s="270">
        <f t="shared" si="4"/>
        <v>0</v>
      </c>
      <c r="Y29" s="271">
        <f t="shared" si="5"/>
        <v>0</v>
      </c>
      <c r="Z29" s="272">
        <f>SUMPRODUCT(($C$29="férié")*($AB$29))</f>
        <v>0</v>
      </c>
      <c r="AA29" s="273">
        <f>SUMPRODUCT(($C$29="férié")*($AC$29))</f>
        <v>0</v>
      </c>
      <c r="AB29" s="274">
        <f t="shared" si="14"/>
        <v>0</v>
      </c>
      <c r="AC29" s="275">
        <f t="shared" si="15"/>
        <v>0</v>
      </c>
      <c r="AD29" s="43"/>
      <c r="AE29" s="325"/>
      <c r="AF29" s="326"/>
      <c r="AG29" s="28"/>
      <c r="AH29" s="51"/>
      <c r="AI29" s="50"/>
      <c r="AJ29" s="28"/>
      <c r="AK29" s="28"/>
      <c r="AL29" s="28"/>
      <c r="AM29" s="28"/>
      <c r="AN29" s="28"/>
      <c r="AO29" s="28"/>
      <c r="AP29" s="28"/>
    </row>
    <row r="30" spans="1:42" ht="15.75">
      <c r="A30" s="28"/>
      <c r="B30" s="187">
        <v>21</v>
      </c>
      <c r="C30" s="57" t="str">
        <f t="shared" si="1"/>
        <v>Se</v>
      </c>
      <c r="D30" s="156">
        <f t="shared" si="11"/>
        <v>42390</v>
      </c>
      <c r="E30" s="118"/>
      <c r="F30" s="118"/>
      <c r="G30" s="119"/>
      <c r="H30" s="119"/>
      <c r="I30" s="229" t="str">
        <f t="shared" si="6"/>
        <v/>
      </c>
      <c r="J30" s="122"/>
      <c r="K30" s="123"/>
      <c r="L30" s="211" t="str">
        <f t="shared" si="7"/>
        <v/>
      </c>
      <c r="M30" s="250" t="str">
        <f t="shared" si="2"/>
        <v/>
      </c>
      <c r="N30" s="248">
        <f t="shared" si="3"/>
        <v>0</v>
      </c>
      <c r="O30" s="125"/>
      <c r="P30" s="239" t="str">
        <f t="shared" si="8"/>
        <v/>
      </c>
      <c r="Q30" s="256" t="str">
        <f t="shared" si="9"/>
        <v/>
      </c>
      <c r="R30" s="242" t="str">
        <f t="shared" si="10"/>
        <v/>
      </c>
      <c r="S30" s="240" t="str">
        <f t="shared" si="12"/>
        <v/>
      </c>
      <c r="T30" s="241" t="str">
        <f t="shared" ref="T30:U30" si="33">IF(OR(S30="",T$9=""),"",IF(IF($G29&gt;0,IF($G29&gt;=$H29,MAX(,MIN(T$9,$H29+24/24)-MAX(T$8,$G29)),MAX(,MIN(T$9,$H29)-MAX(T$8,$G29))),0)&lt;0,0,IF($G29&gt;0,IF($G29&gt;=$H29,MAX(,MIN(T$9,$H29+24/24)-MAX(T$8,$G29)),MAX(,MIN(T$9,$H29)-MAX(T$8,$G29))),0)))</f>
        <v/>
      </c>
      <c r="U30" s="242" t="str">
        <f t="shared" si="33"/>
        <v/>
      </c>
      <c r="V30" s="268">
        <f>SUMPRODUCT(($C$30="se")*($AB$30))</f>
        <v>0</v>
      </c>
      <c r="W30" s="269">
        <f>SUMPRODUCT(($C$30="se")*($AC$30))</f>
        <v>0</v>
      </c>
      <c r="X30" s="270">
        <f t="shared" si="4"/>
        <v>0</v>
      </c>
      <c r="Y30" s="271">
        <f t="shared" si="5"/>
        <v>0</v>
      </c>
      <c r="Z30" s="272">
        <f>SUMPRODUCT(($C$30="férié")*($AB$30))</f>
        <v>0</v>
      </c>
      <c r="AA30" s="273">
        <f>SUMPRODUCT(($C$30="férié")*($AC$30))</f>
        <v>0</v>
      </c>
      <c r="AB30" s="274">
        <f t="shared" si="14"/>
        <v>0</v>
      </c>
      <c r="AC30" s="275">
        <f t="shared" si="15"/>
        <v>0</v>
      </c>
      <c r="AD30" s="46"/>
      <c r="AE30" s="95" t="s">
        <v>62</v>
      </c>
      <c r="AF30" s="208">
        <f>SUM(J10:J40,K10:K40)</f>
        <v>0</v>
      </c>
      <c r="AG30" s="28"/>
      <c r="AH30" s="28"/>
      <c r="AI30" s="28"/>
      <c r="AJ30" s="50"/>
      <c r="AK30" s="50"/>
      <c r="AL30" s="28"/>
      <c r="AM30" s="28"/>
      <c r="AN30" s="28"/>
      <c r="AO30" s="28"/>
      <c r="AP30" s="28"/>
    </row>
    <row r="31" spans="1:42" ht="15.75">
      <c r="A31" s="28"/>
      <c r="B31" s="187">
        <v>22</v>
      </c>
      <c r="C31" s="57" t="str">
        <f t="shared" si="1"/>
        <v>Se</v>
      </c>
      <c r="D31" s="156">
        <f t="shared" si="11"/>
        <v>42391</v>
      </c>
      <c r="E31" s="118"/>
      <c r="F31" s="118"/>
      <c r="G31" s="119"/>
      <c r="H31" s="119"/>
      <c r="I31" s="229" t="str">
        <f t="shared" si="6"/>
        <v/>
      </c>
      <c r="J31" s="122"/>
      <c r="K31" s="123"/>
      <c r="L31" s="211" t="str">
        <f t="shared" si="7"/>
        <v/>
      </c>
      <c r="M31" s="250" t="str">
        <f t="shared" si="2"/>
        <v/>
      </c>
      <c r="N31" s="248">
        <f t="shared" si="3"/>
        <v>0</v>
      </c>
      <c r="O31" s="125"/>
      <c r="P31" s="239" t="str">
        <f t="shared" si="8"/>
        <v/>
      </c>
      <c r="Q31" s="256" t="str">
        <f t="shared" si="9"/>
        <v/>
      </c>
      <c r="R31" s="242" t="str">
        <f t="shared" si="10"/>
        <v/>
      </c>
      <c r="S31" s="240" t="str">
        <f t="shared" si="12"/>
        <v/>
      </c>
      <c r="T31" s="241" t="str">
        <f t="shared" ref="T31:U31" si="34">IF(OR(S31="",T$9=""),"",IF(IF($G30&gt;0,IF($G30&gt;=$H30,MAX(,MIN(T$9,$H30+24/24)-MAX(T$8,$G30)),MAX(,MIN(T$9,$H30)-MAX(T$8,$G30))),0)&lt;0,0,IF($G30&gt;0,IF($G30&gt;=$H30,MAX(,MIN(T$9,$H30+24/24)-MAX(T$8,$G30)),MAX(,MIN(T$9,$H30)-MAX(T$8,$G30))),0)))</f>
        <v/>
      </c>
      <c r="U31" s="242" t="str">
        <f t="shared" si="34"/>
        <v/>
      </c>
      <c r="V31" s="268">
        <f>SUMPRODUCT(($C$31="se")*($AB$31))</f>
        <v>0</v>
      </c>
      <c r="W31" s="269">
        <f>SUMPRODUCT(($C$31="se")*($AC$31))</f>
        <v>0</v>
      </c>
      <c r="X31" s="270">
        <f t="shared" si="4"/>
        <v>0</v>
      </c>
      <c r="Y31" s="271">
        <f t="shared" si="5"/>
        <v>0</v>
      </c>
      <c r="Z31" s="272">
        <f>SUMPRODUCT(($C$31="férié")*($AB$31))</f>
        <v>0</v>
      </c>
      <c r="AA31" s="273">
        <f>SUMPRODUCT(($C$31="férié")*($AC$31))</f>
        <v>0</v>
      </c>
      <c r="AB31" s="274">
        <f t="shared" si="14"/>
        <v>0</v>
      </c>
      <c r="AC31" s="275">
        <f t="shared" si="15"/>
        <v>0</v>
      </c>
      <c r="AD31" s="43"/>
      <c r="AE31" s="345"/>
      <c r="AF31" s="346"/>
      <c r="AG31" s="28"/>
      <c r="AH31" s="28"/>
      <c r="AI31" s="28"/>
      <c r="AJ31" s="50"/>
      <c r="AK31" s="50"/>
      <c r="AL31" s="28"/>
      <c r="AM31" s="28"/>
      <c r="AN31" s="28"/>
      <c r="AO31" s="28"/>
      <c r="AP31" s="28"/>
    </row>
    <row r="32" spans="1:42" ht="15" customHeight="1">
      <c r="A32" s="28"/>
      <c r="B32" s="187">
        <v>23</v>
      </c>
      <c r="C32" s="57" t="str">
        <f t="shared" si="1"/>
        <v>Se</v>
      </c>
      <c r="D32" s="156">
        <f t="shared" si="11"/>
        <v>42392</v>
      </c>
      <c r="E32" s="118"/>
      <c r="F32" s="118"/>
      <c r="G32" s="119"/>
      <c r="H32" s="119"/>
      <c r="I32" s="229" t="str">
        <f t="shared" si="6"/>
        <v/>
      </c>
      <c r="J32" s="122"/>
      <c r="K32" s="123"/>
      <c r="L32" s="211" t="str">
        <f t="shared" si="7"/>
        <v/>
      </c>
      <c r="M32" s="250" t="str">
        <f t="shared" si="2"/>
        <v/>
      </c>
      <c r="N32" s="248">
        <f t="shared" si="3"/>
        <v>0</v>
      </c>
      <c r="O32" s="125"/>
      <c r="P32" s="239" t="str">
        <f t="shared" si="8"/>
        <v/>
      </c>
      <c r="Q32" s="256" t="str">
        <f t="shared" si="9"/>
        <v/>
      </c>
      <c r="R32" s="242" t="str">
        <f t="shared" si="10"/>
        <v/>
      </c>
      <c r="S32" s="240" t="str">
        <f t="shared" si="12"/>
        <v/>
      </c>
      <c r="T32" s="241" t="str">
        <f t="shared" ref="T32:U32" si="35">IF(OR(S32="",T$9=""),"",IF(IF($G31&gt;0,IF($G31&gt;=$H31,MAX(,MIN(T$9,$H31+24/24)-MAX(T$8,$G31)),MAX(,MIN(T$9,$H31)-MAX(T$8,$G31))),0)&lt;0,0,IF($G31&gt;0,IF($G31&gt;=$H31,MAX(,MIN(T$9,$H31+24/24)-MAX(T$8,$G31)),MAX(,MIN(T$9,$H31)-MAX(T$8,$G31))),0)))</f>
        <v/>
      </c>
      <c r="U32" s="242" t="str">
        <f t="shared" si="35"/>
        <v/>
      </c>
      <c r="V32" s="268">
        <f>SUMPRODUCT(($C$32="se")*($AB$32))</f>
        <v>0</v>
      </c>
      <c r="W32" s="269">
        <f>SUMPRODUCT(($C$32="se")*($AC$32))</f>
        <v>0</v>
      </c>
      <c r="X32" s="270">
        <f t="shared" si="4"/>
        <v>0</v>
      </c>
      <c r="Y32" s="271">
        <f t="shared" si="5"/>
        <v>0</v>
      </c>
      <c r="Z32" s="272">
        <f>SUMPRODUCT(($C$32="férié")*($AB$32))</f>
        <v>0</v>
      </c>
      <c r="AA32" s="273">
        <f>SUMPRODUCT(($C$32="férié")*($AC$32))</f>
        <v>0</v>
      </c>
      <c r="AB32" s="274">
        <f t="shared" si="14"/>
        <v>0</v>
      </c>
      <c r="AC32" s="275">
        <f t="shared" si="15"/>
        <v>0</v>
      </c>
      <c r="AD32" s="46"/>
      <c r="AE32" s="95" t="s">
        <v>63</v>
      </c>
      <c r="AF32" s="208">
        <f>SUM(J10:J40)</f>
        <v>0</v>
      </c>
      <c r="AG32" s="28"/>
      <c r="AH32" s="163"/>
      <c r="AI32" s="347"/>
      <c r="AJ32" s="347"/>
      <c r="AK32" s="347"/>
      <c r="AL32" s="28"/>
      <c r="AM32" s="28"/>
      <c r="AN32" s="28"/>
      <c r="AO32" s="28"/>
      <c r="AP32" s="28"/>
    </row>
    <row r="33" spans="1:47" ht="15" customHeight="1">
      <c r="A33" s="28"/>
      <c r="B33" s="187">
        <v>24</v>
      </c>
      <c r="C33" s="57" t="str">
        <f t="shared" si="1"/>
        <v>Dim</v>
      </c>
      <c r="D33" s="156">
        <f t="shared" si="11"/>
        <v>42393</v>
      </c>
      <c r="E33" s="118"/>
      <c r="F33" s="118"/>
      <c r="G33" s="119"/>
      <c r="H33" s="119"/>
      <c r="I33" s="229" t="str">
        <f t="shared" si="6"/>
        <v/>
      </c>
      <c r="J33" s="122"/>
      <c r="K33" s="123"/>
      <c r="L33" s="211" t="str">
        <f t="shared" si="7"/>
        <v/>
      </c>
      <c r="M33" s="250" t="str">
        <f t="shared" si="2"/>
        <v/>
      </c>
      <c r="N33" s="248">
        <f t="shared" si="3"/>
        <v>0</v>
      </c>
      <c r="O33" s="125"/>
      <c r="P33" s="239" t="str">
        <f t="shared" si="8"/>
        <v/>
      </c>
      <c r="Q33" s="256" t="str">
        <f t="shared" si="9"/>
        <v/>
      </c>
      <c r="R33" s="242" t="str">
        <f t="shared" si="10"/>
        <v/>
      </c>
      <c r="S33" s="240" t="str">
        <f t="shared" si="12"/>
        <v/>
      </c>
      <c r="T33" s="241" t="str">
        <f t="shared" ref="T33:U33" si="36">IF(OR(S33="",T$9=""),"",IF(IF($G32&gt;0,IF($G32&gt;=$H32,MAX(,MIN(T$9,$H32+24/24)-MAX(T$8,$G32)),MAX(,MIN(T$9,$H32)-MAX(T$8,$G32))),0)&lt;0,0,IF($G32&gt;0,IF($G32&gt;=$H32,MAX(,MIN(T$9,$H32+24/24)-MAX(T$8,$G32)),MAX(,MIN(T$9,$H32)-MAX(T$8,$G32))),0)))</f>
        <v/>
      </c>
      <c r="U33" s="242" t="str">
        <f t="shared" si="36"/>
        <v/>
      </c>
      <c r="V33" s="268">
        <f>SUMPRODUCT(($C$33="se")*($AB$33))</f>
        <v>0</v>
      </c>
      <c r="W33" s="269">
        <f>SUMPRODUCT(($C$33="se")*($AC$33))</f>
        <v>0</v>
      </c>
      <c r="X33" s="270">
        <f t="shared" si="4"/>
        <v>0</v>
      </c>
      <c r="Y33" s="271">
        <f t="shared" si="5"/>
        <v>0</v>
      </c>
      <c r="Z33" s="272">
        <f>SUMPRODUCT(($C$33="férié")*($AB$33))</f>
        <v>0</v>
      </c>
      <c r="AA33" s="273">
        <f>SUMPRODUCT(($C$33="férié")*($AC$33))</f>
        <v>0</v>
      </c>
      <c r="AB33" s="274">
        <f t="shared" si="14"/>
        <v>0</v>
      </c>
      <c r="AC33" s="275">
        <f t="shared" si="15"/>
        <v>0</v>
      </c>
      <c r="AD33" s="46"/>
      <c r="AE33" s="345"/>
      <c r="AF33" s="346"/>
      <c r="AG33" s="28"/>
      <c r="AH33" s="163"/>
      <c r="AI33" s="347"/>
      <c r="AJ33" s="347"/>
      <c r="AK33" s="347"/>
      <c r="AL33" s="28"/>
      <c r="AM33" s="28"/>
      <c r="AN33" s="28"/>
      <c r="AO33" s="28"/>
      <c r="AP33" s="28"/>
    </row>
    <row r="34" spans="1:47" ht="15.75">
      <c r="A34" s="28"/>
      <c r="B34" s="187">
        <v>25</v>
      </c>
      <c r="C34" s="57" t="str">
        <f t="shared" si="1"/>
        <v>Se</v>
      </c>
      <c r="D34" s="156">
        <f t="shared" si="11"/>
        <v>42394</v>
      </c>
      <c r="E34" s="118"/>
      <c r="F34" s="118"/>
      <c r="G34" s="119"/>
      <c r="H34" s="119"/>
      <c r="I34" s="229" t="str">
        <f t="shared" si="6"/>
        <v/>
      </c>
      <c r="J34" s="122"/>
      <c r="K34" s="123"/>
      <c r="L34" s="211" t="str">
        <f t="shared" si="7"/>
        <v/>
      </c>
      <c r="M34" s="250" t="str">
        <f t="shared" si="2"/>
        <v/>
      </c>
      <c r="N34" s="248">
        <f t="shared" si="3"/>
        <v>0</v>
      </c>
      <c r="O34" s="125"/>
      <c r="P34" s="239" t="str">
        <f t="shared" si="8"/>
        <v/>
      </c>
      <c r="Q34" s="256" t="str">
        <f t="shared" si="9"/>
        <v/>
      </c>
      <c r="R34" s="242" t="str">
        <f t="shared" si="10"/>
        <v/>
      </c>
      <c r="S34" s="240" t="str">
        <f t="shared" si="12"/>
        <v/>
      </c>
      <c r="T34" s="241" t="str">
        <f t="shared" ref="T34:U34" si="37">IF(OR(S34="",T$9=""),"",IF(IF($G33&gt;0,IF($G33&gt;=$H33,MAX(,MIN(T$9,$H33+24/24)-MAX(T$8,$G33)),MAX(,MIN(T$9,$H33)-MAX(T$8,$G33))),0)&lt;0,0,IF($G33&gt;0,IF($G33&gt;=$H33,MAX(,MIN(T$9,$H33+24/24)-MAX(T$8,$G33)),MAX(,MIN(T$9,$H33)-MAX(T$8,$G33))),0)))</f>
        <v/>
      </c>
      <c r="U34" s="242" t="str">
        <f t="shared" si="37"/>
        <v/>
      </c>
      <c r="V34" s="268">
        <f>SUMPRODUCT(($C$34="se")*($AB$34))</f>
        <v>0</v>
      </c>
      <c r="W34" s="269">
        <f>SUMPRODUCT(($C$34="se")*($AC$34))</f>
        <v>0</v>
      </c>
      <c r="X34" s="270">
        <f t="shared" si="4"/>
        <v>0</v>
      </c>
      <c r="Y34" s="271">
        <f t="shared" si="5"/>
        <v>0</v>
      </c>
      <c r="Z34" s="272">
        <f>SUMPRODUCT(($C$34="férié")*($AB$34))</f>
        <v>0</v>
      </c>
      <c r="AA34" s="273">
        <f>SUMPRODUCT(($C$34="férié")*($AC$34))</f>
        <v>0</v>
      </c>
      <c r="AB34" s="274">
        <f t="shared" si="14"/>
        <v>0</v>
      </c>
      <c r="AC34" s="275">
        <f t="shared" si="15"/>
        <v>0</v>
      </c>
      <c r="AD34" s="46"/>
      <c r="AE34" s="91" t="s">
        <v>64</v>
      </c>
      <c r="AF34" s="207">
        <f>SUM(K10:K40)</f>
        <v>0</v>
      </c>
      <c r="AG34" s="28"/>
      <c r="AH34" s="28"/>
      <c r="AI34" s="28"/>
      <c r="AJ34" s="28"/>
      <c r="AK34" s="28"/>
      <c r="AL34" s="28"/>
      <c r="AM34" s="28"/>
      <c r="AN34" s="28"/>
      <c r="AO34" s="28"/>
      <c r="AP34" s="28"/>
    </row>
    <row r="35" spans="1:47" ht="15.75">
      <c r="A35" s="28"/>
      <c r="B35" s="187">
        <v>26</v>
      </c>
      <c r="C35" s="57" t="str">
        <f t="shared" si="1"/>
        <v>Se</v>
      </c>
      <c r="D35" s="156">
        <f t="shared" si="11"/>
        <v>42395</v>
      </c>
      <c r="E35" s="118"/>
      <c r="F35" s="118"/>
      <c r="G35" s="119"/>
      <c r="H35" s="119"/>
      <c r="I35" s="229" t="str">
        <f t="shared" si="6"/>
        <v/>
      </c>
      <c r="J35" s="122"/>
      <c r="K35" s="123"/>
      <c r="L35" s="211" t="str">
        <f t="shared" si="7"/>
        <v/>
      </c>
      <c r="M35" s="250" t="str">
        <f t="shared" si="2"/>
        <v/>
      </c>
      <c r="N35" s="248">
        <f t="shared" si="3"/>
        <v>0</v>
      </c>
      <c r="O35" s="125"/>
      <c r="P35" s="239" t="str">
        <f t="shared" si="8"/>
        <v/>
      </c>
      <c r="Q35" s="256" t="str">
        <f t="shared" si="9"/>
        <v/>
      </c>
      <c r="R35" s="242" t="str">
        <f t="shared" si="10"/>
        <v/>
      </c>
      <c r="S35" s="240" t="str">
        <f t="shared" si="12"/>
        <v/>
      </c>
      <c r="T35" s="241" t="str">
        <f t="shared" ref="T35:U35" si="38">IF(OR(S35="",T$9=""),"",IF(IF($G34&gt;0,IF($G34&gt;=$H34,MAX(,MIN(T$9,$H34+24/24)-MAX(T$8,$G34)),MAX(,MIN(T$9,$H34)-MAX(T$8,$G34))),0)&lt;0,0,IF($G34&gt;0,IF($G34&gt;=$H34,MAX(,MIN(T$9,$H34+24/24)-MAX(T$8,$G34)),MAX(,MIN(T$9,$H34)-MAX(T$8,$G34))),0)))</f>
        <v/>
      </c>
      <c r="U35" s="242" t="str">
        <f t="shared" si="38"/>
        <v/>
      </c>
      <c r="V35" s="268">
        <f>SUMPRODUCT(($C$35="se")*($AB$35))</f>
        <v>0</v>
      </c>
      <c r="W35" s="269">
        <f>SUMPRODUCT(($C$35="se")*($AC$35))</f>
        <v>0</v>
      </c>
      <c r="X35" s="270">
        <f t="shared" si="4"/>
        <v>0</v>
      </c>
      <c r="Y35" s="271">
        <f t="shared" si="5"/>
        <v>0</v>
      </c>
      <c r="Z35" s="272">
        <f>SUMPRODUCT(($C$35="férié")*($AB$35))</f>
        <v>0</v>
      </c>
      <c r="AA35" s="273">
        <f>SUMPRODUCT(($C$35="férié")*($AC$35))</f>
        <v>0</v>
      </c>
      <c r="AB35" s="274">
        <f t="shared" si="14"/>
        <v>0</v>
      </c>
      <c r="AC35" s="275">
        <f t="shared" si="15"/>
        <v>0</v>
      </c>
      <c r="AD35" s="46"/>
      <c r="AE35" s="325"/>
      <c r="AF35" s="326"/>
      <c r="AG35" s="28"/>
      <c r="AH35" s="28"/>
      <c r="AI35" s="28"/>
      <c r="AJ35" s="28"/>
      <c r="AK35" s="28"/>
      <c r="AL35" s="28"/>
      <c r="AM35" s="28"/>
      <c r="AN35" s="28"/>
      <c r="AO35" s="28"/>
      <c r="AP35" s="28"/>
    </row>
    <row r="36" spans="1:47" ht="15.75">
      <c r="A36" s="28"/>
      <c r="B36" s="187">
        <v>27</v>
      </c>
      <c r="C36" s="57" t="str">
        <f t="shared" si="1"/>
        <v>Se</v>
      </c>
      <c r="D36" s="156">
        <f t="shared" si="11"/>
        <v>42396</v>
      </c>
      <c r="E36" s="118"/>
      <c r="F36" s="118"/>
      <c r="G36" s="119"/>
      <c r="H36" s="119"/>
      <c r="I36" s="229" t="str">
        <f t="shared" si="6"/>
        <v/>
      </c>
      <c r="J36" s="122"/>
      <c r="K36" s="123"/>
      <c r="L36" s="211" t="str">
        <f t="shared" si="7"/>
        <v/>
      </c>
      <c r="M36" s="250" t="str">
        <f t="shared" si="2"/>
        <v/>
      </c>
      <c r="N36" s="248">
        <f t="shared" si="3"/>
        <v>0</v>
      </c>
      <c r="O36" s="125"/>
      <c r="P36" s="239" t="str">
        <f t="shared" si="8"/>
        <v/>
      </c>
      <c r="Q36" s="256" t="str">
        <f t="shared" si="9"/>
        <v/>
      </c>
      <c r="R36" s="242" t="str">
        <f t="shared" si="10"/>
        <v/>
      </c>
      <c r="S36" s="240" t="str">
        <f t="shared" si="12"/>
        <v/>
      </c>
      <c r="T36" s="241" t="str">
        <f t="shared" ref="T36:U36" si="39">IF(OR(S36="",T$9=""),"",IF(IF($G35&gt;0,IF($G35&gt;=$H35,MAX(,MIN(T$9,$H35+24/24)-MAX(T$8,$G35)),MAX(,MIN(T$9,$H35)-MAX(T$8,$G35))),0)&lt;0,0,IF($G35&gt;0,IF($G35&gt;=$H35,MAX(,MIN(T$9,$H35+24/24)-MAX(T$8,$G35)),MAX(,MIN(T$9,$H35)-MAX(T$8,$G35))),0)))</f>
        <v/>
      </c>
      <c r="U36" s="242" t="str">
        <f t="shared" si="39"/>
        <v/>
      </c>
      <c r="V36" s="268">
        <f>SUMPRODUCT(($C$36="se")*($AB$36))</f>
        <v>0</v>
      </c>
      <c r="W36" s="269">
        <f>SUMPRODUCT(($C$36="se")*($AC$36))</f>
        <v>0</v>
      </c>
      <c r="X36" s="270">
        <f t="shared" si="4"/>
        <v>0</v>
      </c>
      <c r="Y36" s="271">
        <f t="shared" si="5"/>
        <v>0</v>
      </c>
      <c r="Z36" s="272">
        <f>SUMPRODUCT(($C$36="férié")*($AB$36))</f>
        <v>0</v>
      </c>
      <c r="AA36" s="273">
        <f>SUMPRODUCT(($C$36="férié")*($AC$36))</f>
        <v>0</v>
      </c>
      <c r="AB36" s="274">
        <f t="shared" si="14"/>
        <v>0</v>
      </c>
      <c r="AC36" s="275">
        <f t="shared" si="15"/>
        <v>0</v>
      </c>
      <c r="AD36" s="46"/>
      <c r="AE36" s="91" t="s">
        <v>65</v>
      </c>
      <c r="AF36" s="98">
        <f>COUNTA(G10:G40)</f>
        <v>7</v>
      </c>
      <c r="AG36" s="28"/>
      <c r="AH36" s="28"/>
      <c r="AI36" s="28"/>
      <c r="AJ36" s="28"/>
      <c r="AK36" s="28"/>
      <c r="AL36" s="28"/>
      <c r="AM36" s="28"/>
      <c r="AN36" s="28"/>
      <c r="AO36" s="28"/>
      <c r="AP36" s="28"/>
    </row>
    <row r="37" spans="1:47" ht="15.75">
      <c r="A37" s="28"/>
      <c r="B37" s="187">
        <v>28</v>
      </c>
      <c r="C37" s="57" t="str">
        <f t="shared" si="1"/>
        <v>Se</v>
      </c>
      <c r="D37" s="156">
        <f t="shared" si="11"/>
        <v>42397</v>
      </c>
      <c r="E37" s="118"/>
      <c r="F37" s="118"/>
      <c r="G37" s="119"/>
      <c r="H37" s="119"/>
      <c r="I37" s="229" t="str">
        <f t="shared" si="6"/>
        <v/>
      </c>
      <c r="J37" s="122"/>
      <c r="K37" s="123"/>
      <c r="L37" s="211" t="str">
        <f t="shared" si="7"/>
        <v/>
      </c>
      <c r="M37" s="250" t="str">
        <f t="shared" si="2"/>
        <v/>
      </c>
      <c r="N37" s="248">
        <f t="shared" si="3"/>
        <v>0</v>
      </c>
      <c r="O37" s="125"/>
      <c r="P37" s="239" t="str">
        <f t="shared" si="8"/>
        <v/>
      </c>
      <c r="Q37" s="256" t="str">
        <f t="shared" si="9"/>
        <v/>
      </c>
      <c r="R37" s="242" t="str">
        <f t="shared" si="10"/>
        <v/>
      </c>
      <c r="S37" s="240" t="str">
        <f t="shared" si="12"/>
        <v/>
      </c>
      <c r="T37" s="241" t="str">
        <f t="shared" ref="T37:U37" si="40">IF(OR(S37="",T$9=""),"",IF(IF($G36&gt;0,IF($G36&gt;=$H36,MAX(,MIN(T$9,$H36+24/24)-MAX(T$8,$G36)),MAX(,MIN(T$9,$H36)-MAX(T$8,$G36))),0)&lt;0,0,IF($G36&gt;0,IF($G36&gt;=$H36,MAX(,MIN(T$9,$H36+24/24)-MAX(T$8,$G36)),MAX(,MIN(T$9,$H36)-MAX(T$8,$G36))),0)))</f>
        <v/>
      </c>
      <c r="U37" s="242" t="str">
        <f t="shared" si="40"/>
        <v/>
      </c>
      <c r="V37" s="268">
        <f>SUMPRODUCT(($C$37="se")*($AB$37))</f>
        <v>0</v>
      </c>
      <c r="W37" s="269">
        <f>SUMPRODUCT(($C$37="se")*($AC$37))</f>
        <v>0</v>
      </c>
      <c r="X37" s="270">
        <f t="shared" si="4"/>
        <v>0</v>
      </c>
      <c r="Y37" s="271">
        <f t="shared" si="5"/>
        <v>0</v>
      </c>
      <c r="Z37" s="272">
        <f>SUMPRODUCT(($C$37="férié")*($AB$37))</f>
        <v>0</v>
      </c>
      <c r="AA37" s="273">
        <f>SUMPRODUCT(($C$37="férié")*($AC$37))</f>
        <v>0</v>
      </c>
      <c r="AB37" s="274">
        <f t="shared" si="14"/>
        <v>0</v>
      </c>
      <c r="AC37" s="275">
        <f t="shared" si="15"/>
        <v>0</v>
      </c>
      <c r="AD37" s="46"/>
      <c r="AE37" s="325"/>
      <c r="AF37" s="326"/>
      <c r="AG37" s="28"/>
      <c r="AH37" s="28"/>
      <c r="AI37" s="28"/>
      <c r="AJ37" s="28"/>
      <c r="AK37" s="28"/>
      <c r="AL37" s="28"/>
      <c r="AM37" s="28"/>
      <c r="AN37" s="28"/>
      <c r="AO37" s="28"/>
      <c r="AP37" s="28"/>
    </row>
    <row r="38" spans="1:47" ht="15.75">
      <c r="A38" s="28"/>
      <c r="B38" s="187">
        <v>29</v>
      </c>
      <c r="C38" s="57" t="str">
        <f t="shared" si="1"/>
        <v>Se</v>
      </c>
      <c r="D38" s="156">
        <f t="shared" si="11"/>
        <v>42398</v>
      </c>
      <c r="E38" s="118"/>
      <c r="F38" s="118"/>
      <c r="G38" s="119"/>
      <c r="H38" s="119"/>
      <c r="I38" s="229" t="str">
        <f t="shared" si="6"/>
        <v/>
      </c>
      <c r="J38" s="122"/>
      <c r="K38" s="123"/>
      <c r="L38" s="211" t="str">
        <f t="shared" si="7"/>
        <v/>
      </c>
      <c r="M38" s="250" t="str">
        <f t="shared" si="2"/>
        <v/>
      </c>
      <c r="N38" s="248">
        <f t="shared" si="3"/>
        <v>0</v>
      </c>
      <c r="O38" s="125"/>
      <c r="P38" s="239" t="str">
        <f t="shared" si="8"/>
        <v/>
      </c>
      <c r="Q38" s="256" t="str">
        <f t="shared" si="9"/>
        <v/>
      </c>
      <c r="R38" s="242" t="str">
        <f t="shared" si="10"/>
        <v/>
      </c>
      <c r="S38" s="240" t="str">
        <f t="shared" si="12"/>
        <v/>
      </c>
      <c r="T38" s="241" t="str">
        <f t="shared" ref="T38:U38" si="41">IF(OR(S38="",T$9=""),"",IF(IF($G37&gt;0,IF($G37&gt;=$H37,MAX(,MIN(T$9,$H37+24/24)-MAX(T$8,$G37)),MAX(,MIN(T$9,$H37)-MAX(T$8,$G37))),0)&lt;0,0,IF($G37&gt;0,IF($G37&gt;=$H37,MAX(,MIN(T$9,$H37+24/24)-MAX(T$8,$G37)),MAX(,MIN(T$9,$H37)-MAX(T$8,$G37))),0)))</f>
        <v/>
      </c>
      <c r="U38" s="242" t="str">
        <f t="shared" si="41"/>
        <v/>
      </c>
      <c r="V38" s="268">
        <f>SUMPRODUCT(($C$38="se")*($AB$38))</f>
        <v>0</v>
      </c>
      <c r="W38" s="269">
        <f>SUMPRODUCT(($C$38="se")*($AC$38))</f>
        <v>0</v>
      </c>
      <c r="X38" s="270">
        <f t="shared" si="4"/>
        <v>0</v>
      </c>
      <c r="Y38" s="271">
        <f t="shared" si="5"/>
        <v>0</v>
      </c>
      <c r="Z38" s="272">
        <f>SUMPRODUCT(($C$38="férié")*($AB$38))</f>
        <v>0</v>
      </c>
      <c r="AA38" s="273">
        <f>SUMPRODUCT(($C$38="férié")*($AC$38))</f>
        <v>0</v>
      </c>
      <c r="AB38" s="274">
        <f t="shared" si="14"/>
        <v>0</v>
      </c>
      <c r="AC38" s="275">
        <f t="shared" si="15"/>
        <v>0</v>
      </c>
      <c r="AD38" s="46"/>
      <c r="AE38" s="101" t="s">
        <v>66</v>
      </c>
      <c r="AF38" s="207">
        <f>SUM(M10:M40)</f>
        <v>0.75</v>
      </c>
      <c r="AG38" s="28"/>
      <c r="AH38" s="28"/>
      <c r="AI38" s="28"/>
      <c r="AJ38" s="28"/>
      <c r="AK38" s="28"/>
      <c r="AL38" s="28"/>
      <c r="AM38" s="28"/>
      <c r="AN38" s="28"/>
      <c r="AO38" s="28"/>
      <c r="AP38" s="28"/>
    </row>
    <row r="39" spans="1:47" ht="16.5" thickBot="1">
      <c r="A39" s="28"/>
      <c r="B39" s="187">
        <v>30</v>
      </c>
      <c r="C39" s="57" t="str">
        <f t="shared" si="1"/>
        <v>Se</v>
      </c>
      <c r="D39" s="156">
        <f t="shared" si="11"/>
        <v>42399</v>
      </c>
      <c r="E39" s="118"/>
      <c r="F39" s="118"/>
      <c r="G39" s="119"/>
      <c r="H39" s="119"/>
      <c r="I39" s="229" t="str">
        <f t="shared" si="6"/>
        <v/>
      </c>
      <c r="J39" s="122"/>
      <c r="K39" s="123"/>
      <c r="L39" s="211" t="str">
        <f t="shared" si="7"/>
        <v/>
      </c>
      <c r="M39" s="250" t="str">
        <f t="shared" si="2"/>
        <v/>
      </c>
      <c r="N39" s="248">
        <f t="shared" si="3"/>
        <v>0</v>
      </c>
      <c r="O39" s="125"/>
      <c r="P39" s="239" t="str">
        <f t="shared" si="8"/>
        <v/>
      </c>
      <c r="Q39" s="256" t="str">
        <f t="shared" si="9"/>
        <v/>
      </c>
      <c r="R39" s="242" t="str">
        <f t="shared" si="10"/>
        <v/>
      </c>
      <c r="S39" s="240" t="str">
        <f t="shared" si="12"/>
        <v/>
      </c>
      <c r="T39" s="241" t="str">
        <f t="shared" ref="T39:U39" si="42">IF(OR(S39="",T$9=""),"",IF(IF($G38&gt;0,IF($G38&gt;=$H38,MAX(,MIN(T$9,$H38+24/24)-MAX(T$8,$G38)),MAX(,MIN(T$9,$H38)-MAX(T$8,$G38))),0)&lt;0,0,IF($G38&gt;0,IF($G38&gt;=$H38,MAX(,MIN(T$9,$H38+24/24)-MAX(T$8,$G38)),MAX(,MIN(T$9,$H38)-MAX(T$8,$G38))),0)))</f>
        <v/>
      </c>
      <c r="U39" s="242" t="str">
        <f t="shared" si="42"/>
        <v/>
      </c>
      <c r="V39" s="268">
        <f>SUMPRODUCT(($C$39="se")*($AB$39))</f>
        <v>0</v>
      </c>
      <c r="W39" s="269">
        <f>SUMPRODUCT(($C$39="se")*($AC$39))</f>
        <v>0</v>
      </c>
      <c r="X39" s="270">
        <f t="shared" si="4"/>
        <v>0</v>
      </c>
      <c r="Y39" s="271">
        <f t="shared" si="5"/>
        <v>0</v>
      </c>
      <c r="Z39" s="272">
        <f>SUMPRODUCT(($C$39="férié")*($AB$39))</f>
        <v>0</v>
      </c>
      <c r="AA39" s="273">
        <f>SUMPRODUCT(($C$39="férié")*($AC$39))</f>
        <v>0</v>
      </c>
      <c r="AB39" s="274">
        <f t="shared" si="14"/>
        <v>0</v>
      </c>
      <c r="AC39" s="275">
        <f t="shared" si="15"/>
        <v>0</v>
      </c>
      <c r="AD39" s="46"/>
      <c r="AE39" s="341"/>
      <c r="AF39" s="342"/>
      <c r="AG39" s="28"/>
      <c r="AH39" s="51"/>
      <c r="AI39" s="50"/>
      <c r="AJ39" s="28"/>
      <c r="AK39" s="28"/>
      <c r="AL39" s="28"/>
      <c r="AM39" s="28"/>
      <c r="AN39" s="28"/>
      <c r="AO39" s="28"/>
      <c r="AP39" s="28"/>
    </row>
    <row r="40" spans="1:47" ht="16.5" thickBot="1">
      <c r="A40" s="28"/>
      <c r="B40" s="189">
        <v>31</v>
      </c>
      <c r="C40" s="57" t="str">
        <f t="shared" si="1"/>
        <v>Dim</v>
      </c>
      <c r="D40" s="191">
        <f t="shared" si="11"/>
        <v>42400</v>
      </c>
      <c r="E40" s="192"/>
      <c r="F40" s="192"/>
      <c r="G40" s="193">
        <v>0.35416666666666702</v>
      </c>
      <c r="H40" s="193">
        <v>0.85416666666666696</v>
      </c>
      <c r="I40" s="230">
        <f t="shared" si="6"/>
        <v>0.49999999999999994</v>
      </c>
      <c r="J40" s="194"/>
      <c r="K40" s="195"/>
      <c r="L40" s="212">
        <f t="shared" si="7"/>
        <v>1</v>
      </c>
      <c r="M40" s="252" t="str">
        <f t="shared" si="2"/>
        <v/>
      </c>
      <c r="N40" s="249">
        <f t="shared" si="3"/>
        <v>0.49999999999999994</v>
      </c>
      <c r="O40" s="196"/>
      <c r="P40" s="243">
        <f t="shared" si="8"/>
        <v>0</v>
      </c>
      <c r="Q40" s="257">
        <f t="shared" si="9"/>
        <v>0.49999999999999994</v>
      </c>
      <c r="R40" s="246">
        <f t="shared" ref="R40" si="43">IF(OR($D40="",Q40="",R$9=""),"",IF(AND($I40=1,$G40&lt;&gt;$H40),(1/8),IF($G40&gt;=$H40,MAX(,MIN(R$9,$H40+24/24)-MAX(R$8,$G40)),MAX(,MIN(R$9,$H40)-MAX(R$8,$G40)))))</f>
        <v>0</v>
      </c>
      <c r="S40" s="244" t="str">
        <f t="shared" si="12"/>
        <v/>
      </c>
      <c r="T40" s="245" t="str">
        <f t="shared" ref="T40:U40" si="44">IF(OR(S40="",T$9=""),"",IF(IF($G39&gt;0,IF($G39&gt;=$H39,MAX(,MIN(T$9,$H39+24/24)-MAX(T$8,$G39)),MAX(,MIN(T$9,$H39)-MAX(T$8,$G39))),0)&lt;0,0,IF($G39&gt;0,IF($G39&gt;=$H39,MAX(,MIN(T$9,$H39+24/24)-MAX(T$8,$G39)),MAX(,MIN(T$9,$H39)-MAX(T$8,$G39))),0)))</f>
        <v/>
      </c>
      <c r="U40" s="246" t="str">
        <f t="shared" si="44"/>
        <v/>
      </c>
      <c r="V40" s="276">
        <f>SUMPRODUCT(($C$40="se")*($AB$40))</f>
        <v>0</v>
      </c>
      <c r="W40" s="277">
        <f>SUMPRODUCT(($C$40="se")*($AC$40))</f>
        <v>0</v>
      </c>
      <c r="X40" s="278">
        <f t="shared" si="4"/>
        <v>0.49999999999999994</v>
      </c>
      <c r="Y40" s="279">
        <f t="shared" si="5"/>
        <v>0</v>
      </c>
      <c r="Z40" s="280">
        <f>SUMPRODUCT(($C$40="férié")*($AB$40))</f>
        <v>0</v>
      </c>
      <c r="AA40" s="281">
        <f>SUMPRODUCT(($C$40="férié")*($AC$40))</f>
        <v>0</v>
      </c>
      <c r="AB40" s="282">
        <f t="shared" si="14"/>
        <v>0.49999999999999994</v>
      </c>
      <c r="AC40" s="283">
        <f t="shared" si="15"/>
        <v>0</v>
      </c>
      <c r="AD40" s="46"/>
      <c r="AE40" s="28"/>
      <c r="AF40" s="28"/>
      <c r="AG40" s="28"/>
      <c r="AH40" s="51"/>
      <c r="AI40" s="50"/>
      <c r="AJ40" s="28"/>
      <c r="AK40" s="28"/>
      <c r="AL40" s="28"/>
      <c r="AM40" s="28"/>
      <c r="AN40" s="28"/>
      <c r="AO40" s="28"/>
      <c r="AP40" s="28"/>
    </row>
    <row r="41" spans="1:47" s="1" customFormat="1" ht="15.75" thickBot="1">
      <c r="A41" s="45"/>
      <c r="B41" s="190" t="s">
        <v>60</v>
      </c>
      <c r="C41" s="188"/>
      <c r="D41" s="197">
        <f>COUNTA(D10:D40)</f>
        <v>31</v>
      </c>
      <c r="E41" s="197">
        <f>COUNTA(E10:E40)</f>
        <v>6</v>
      </c>
      <c r="F41" s="197">
        <f>COUNTA(F10:F40)</f>
        <v>6</v>
      </c>
      <c r="G41" s="197">
        <f>COUNTA(G10:G40)</f>
        <v>7</v>
      </c>
      <c r="H41" s="197">
        <f>COUNTA(H10:H40)</f>
        <v>7</v>
      </c>
      <c r="I41" s="253">
        <f>SUM(I10:I40)</f>
        <v>2.541666666666667</v>
      </c>
      <c r="J41" s="198">
        <f t="shared" ref="J41:M41" si="45">SUM(J10:J40)</f>
        <v>0</v>
      </c>
      <c r="K41" s="198">
        <f t="shared" si="45"/>
        <v>0</v>
      </c>
      <c r="L41" s="199">
        <f t="shared" si="45"/>
        <v>4</v>
      </c>
      <c r="M41" s="204">
        <f t="shared" si="45"/>
        <v>0.75</v>
      </c>
      <c r="N41" s="204">
        <f>SUM(N10:N40)</f>
        <v>2.541666666666667</v>
      </c>
      <c r="O41" s="200"/>
      <c r="P41" s="201">
        <f t="shared" ref="P41:R41" si="46">SUM(P10:P40)</f>
        <v>0.99999999999999978</v>
      </c>
      <c r="Q41" s="204">
        <f t="shared" si="46"/>
        <v>0.54166666666666696</v>
      </c>
      <c r="R41" s="259">
        <f t="shared" si="46"/>
        <v>8.333333333333337E-2</v>
      </c>
      <c r="S41" s="201">
        <f>SUM(S10:S40)</f>
        <v>0.25</v>
      </c>
      <c r="T41" s="204">
        <f>SUM(T10:T40)</f>
        <v>0.625</v>
      </c>
      <c r="U41" s="259">
        <f>SUM(U10:U40)</f>
        <v>4.1666666666666519E-2</v>
      </c>
      <c r="V41" s="205">
        <f>SUMIF(D10:D40,"&gt;0",V10:V40)</f>
        <v>0.66666666666666696</v>
      </c>
      <c r="W41" s="205">
        <f>SUMIF(D10:D40,"&gt;0",W10:W40)</f>
        <v>1.2916666666666663</v>
      </c>
      <c r="X41" s="205">
        <f>SUMPRODUCT((WEEKDAY($D$10:$D$40)=1)*($AB$10:$AB$40))</f>
        <v>0.49999999999999994</v>
      </c>
      <c r="Y41" s="205">
        <f>SUMPRODUCT(($C$10:$C$40="dim")*($AC$10:$AC$40))</f>
        <v>0</v>
      </c>
      <c r="Z41" s="205">
        <f>SUMPRODUCT(($C$10:$C$40="férié")*($Z$10:$Z$40))</f>
        <v>0</v>
      </c>
      <c r="AA41" s="205">
        <f>SUMPRODUCT(($C$10:$C$40="férié")*($AA$10:$AA$40))</f>
        <v>8.333333333333337E-2</v>
      </c>
      <c r="AB41" s="205">
        <f>SUMIF(D10:D40,"&gt;0",AB10:AB40)</f>
        <v>1.166666666666667</v>
      </c>
      <c r="AC41" s="206">
        <f>SUMIF(D10:D40,"&gt;0",AC10:AC40)</f>
        <v>1.3749999999999998</v>
      </c>
      <c r="AD41" s="52"/>
      <c r="AE41" s="43"/>
      <c r="AF41" s="43"/>
      <c r="AG41" s="45"/>
      <c r="AH41" s="52"/>
      <c r="AI41" s="52"/>
      <c r="AJ41" s="45"/>
      <c r="AK41" s="45"/>
      <c r="AL41" s="45"/>
      <c r="AM41" s="45"/>
      <c r="AN41" s="45"/>
      <c r="AO41" s="45"/>
      <c r="AP41" s="45"/>
    </row>
    <row r="42" spans="1:47">
      <c r="A42" s="28"/>
      <c r="B42" s="28"/>
      <c r="C42" s="28"/>
      <c r="D42" s="28"/>
      <c r="E42" s="28"/>
      <c r="F42" s="28"/>
      <c r="G42" s="28"/>
      <c r="H42" s="28"/>
      <c r="I42" s="222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53"/>
      <c r="AF42" s="53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5"/>
      <c r="AR42" s="5"/>
      <c r="AS42" s="5"/>
      <c r="AT42" s="5"/>
      <c r="AU42" s="5"/>
    </row>
    <row r="43" spans="1:47">
      <c r="A43" s="28"/>
      <c r="B43" s="28"/>
      <c r="C43" s="28"/>
      <c r="D43" s="28"/>
      <c r="E43" s="28"/>
      <c r="F43" s="28"/>
      <c r="G43" s="28"/>
      <c r="H43" s="28"/>
      <c r="I43" s="222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5"/>
      <c r="AR43" s="5"/>
      <c r="AS43" s="5"/>
      <c r="AT43" s="5"/>
      <c r="AU43" s="5"/>
    </row>
    <row r="44" spans="1:47" s="4" customFormat="1">
      <c r="A44" s="28"/>
      <c r="B44" s="28"/>
      <c r="C44" s="28"/>
      <c r="D44" s="28"/>
      <c r="E44" s="28"/>
      <c r="F44" s="28"/>
      <c r="G44" s="28"/>
      <c r="H44" s="28"/>
      <c r="I44" s="222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6"/>
      <c r="AR44" s="6"/>
      <c r="AS44" s="6"/>
      <c r="AT44" s="6"/>
      <c r="AU44" s="6"/>
    </row>
    <row r="45" spans="1:47" s="4" customFormat="1">
      <c r="A45" s="28"/>
      <c r="B45" s="28"/>
      <c r="C45" s="28"/>
      <c r="D45" s="28"/>
      <c r="E45" s="28"/>
      <c r="F45" s="28"/>
      <c r="G45" s="28"/>
      <c r="H45" s="28"/>
      <c r="I45" s="222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6"/>
      <c r="AR45" s="6"/>
      <c r="AS45" s="6"/>
      <c r="AT45" s="6"/>
      <c r="AU45" s="6"/>
    </row>
    <row r="46" spans="1:47" s="4" customFormat="1">
      <c r="A46" s="28"/>
      <c r="B46" s="28"/>
      <c r="C46" s="28"/>
      <c r="D46" s="28"/>
      <c r="E46" s="28"/>
      <c r="F46" s="28"/>
      <c r="G46" s="28"/>
      <c r="H46" s="28"/>
      <c r="I46" s="222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6"/>
      <c r="AR46" s="6"/>
      <c r="AS46" s="6"/>
      <c r="AT46" s="6"/>
      <c r="AU46" s="6"/>
    </row>
    <row r="47" spans="1:47" s="4" customFormat="1">
      <c r="A47" s="28"/>
      <c r="B47" s="28"/>
      <c r="C47" s="28"/>
      <c r="D47" s="28"/>
      <c r="E47" s="28"/>
      <c r="F47" s="28"/>
      <c r="G47" s="28"/>
      <c r="H47" s="28"/>
      <c r="I47" s="222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6"/>
      <c r="AR47" s="6"/>
      <c r="AS47" s="6"/>
      <c r="AT47" s="6"/>
      <c r="AU47" s="6"/>
    </row>
    <row r="48" spans="1:47" s="4" customFormat="1">
      <c r="A48" s="28"/>
      <c r="B48" s="28"/>
      <c r="C48" s="28"/>
      <c r="D48" s="28"/>
      <c r="E48" s="28"/>
      <c r="F48" s="28"/>
      <c r="G48" s="28"/>
      <c r="H48" s="28"/>
      <c r="I48" s="222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6"/>
      <c r="AR48" s="6"/>
      <c r="AS48" s="6"/>
      <c r="AT48" s="6"/>
      <c r="AU48" s="6"/>
    </row>
    <row r="49" spans="43:47">
      <c r="AQ49" s="5"/>
      <c r="AR49" s="5"/>
      <c r="AS49" s="5"/>
      <c r="AT49" s="5"/>
      <c r="AU49" s="5"/>
    </row>
    <row r="50" spans="43:47">
      <c r="AQ50" s="5"/>
      <c r="AR50" s="5"/>
      <c r="AS50" s="5"/>
      <c r="AT50" s="5"/>
      <c r="AU50" s="5"/>
    </row>
  </sheetData>
  <sheetProtection selectLockedCells="1"/>
  <mergeCells count="58">
    <mergeCell ref="AJ22:AK22"/>
    <mergeCell ref="AH22:AI22"/>
    <mergeCell ref="AH24:AI24"/>
    <mergeCell ref="AE35:AF35"/>
    <mergeCell ref="AE37:AF37"/>
    <mergeCell ref="AE23:AF23"/>
    <mergeCell ref="AH23:AI23"/>
    <mergeCell ref="AJ23:AK23"/>
    <mergeCell ref="AE39:AF39"/>
    <mergeCell ref="AE29:AF29"/>
    <mergeCell ref="AJ24:AK24"/>
    <mergeCell ref="AE31:AF31"/>
    <mergeCell ref="AE33:AF33"/>
    <mergeCell ref="AI32:AK33"/>
    <mergeCell ref="AE25:AF25"/>
    <mergeCell ref="AE27:AF27"/>
    <mergeCell ref="X9:Y9"/>
    <mergeCell ref="Z9:AA9"/>
    <mergeCell ref="AB9:AC9"/>
    <mergeCell ref="AE9:AF9"/>
    <mergeCell ref="AE11:AF11"/>
    <mergeCell ref="AE13:AF13"/>
    <mergeCell ref="AE21:AF21"/>
    <mergeCell ref="AH21:AI21"/>
    <mergeCell ref="AJ21:AK21"/>
    <mergeCell ref="AH14:AK14"/>
    <mergeCell ref="AE15:AF15"/>
    <mergeCell ref="AE17:AF17"/>
    <mergeCell ref="AE19:AF19"/>
    <mergeCell ref="AH20:AK20"/>
    <mergeCell ref="AE5:AF5"/>
    <mergeCell ref="D6:D8"/>
    <mergeCell ref="L7:M7"/>
    <mergeCell ref="O7:O9"/>
    <mergeCell ref="AE7:AF7"/>
    <mergeCell ref="V8:W8"/>
    <mergeCell ref="X8:Y8"/>
    <mergeCell ref="Z8:AA8"/>
    <mergeCell ref="AB8:AC8"/>
    <mergeCell ref="V9:W9"/>
    <mergeCell ref="P5:R5"/>
    <mergeCell ref="S5:U5"/>
    <mergeCell ref="V5:W5"/>
    <mergeCell ref="X5:Y5"/>
    <mergeCell ref="Z5:AA5"/>
    <mergeCell ref="AB5:AC5"/>
    <mergeCell ref="AE3:AF3"/>
    <mergeCell ref="AH3:AK3"/>
    <mergeCell ref="V4:W4"/>
    <mergeCell ref="X4:Y4"/>
    <mergeCell ref="Z4:AA4"/>
    <mergeCell ref="AB4:AC4"/>
    <mergeCell ref="AB3:AC3"/>
    <mergeCell ref="D3:D4"/>
    <mergeCell ref="E3:F4"/>
    <mergeCell ref="V3:W3"/>
    <mergeCell ref="X3:Y3"/>
    <mergeCell ref="Z3:AA3"/>
  </mergeCells>
  <phoneticPr fontId="66" type="noConversion"/>
  <conditionalFormatting sqref="C10:D40">
    <cfRule type="expression" dxfId="7" priority="4" stopIfTrue="1">
      <formula>COUNTIF(Fériés,$D10)&gt;0</formula>
    </cfRule>
  </conditionalFormatting>
  <conditionalFormatting sqref="AJ21:AK24">
    <cfRule type="expression" dxfId="6" priority="1" stopIfTrue="1">
      <formula>(AJ21:AJ24&lt;=TODAY()+120)*(AJ21:AJ24&lt;&gt;"")</formula>
    </cfRule>
    <cfRule type="expression" dxfId="5" priority="2" stopIfTrue="1">
      <formula>(AJ21:AJ24&lt;=TODAY()+180)*(AJ21:AJ24&lt;&gt;"")</formula>
    </cfRule>
    <cfRule type="expression" dxfId="4" priority="3" stopIfTrue="1">
      <formula>(AJ21:AJ24&lt;=TODAY()&gt;180)*(AJ21:AJ24&lt;&gt;"")</formula>
    </cfRule>
  </conditionalFormatting>
  <conditionalFormatting sqref="C10:AC40">
    <cfRule type="expression" dxfId="3" priority="7" stopIfTrue="1">
      <formula>WEEKDAY($D10,2)=7</formula>
    </cfRule>
  </conditionalFormatting>
  <pageMargins left="0.7" right="0.7" top="0.75" bottom="0.75" header="0.3" footer="0.3"/>
  <pageSetup paperSize="9" orientation="portrait"/>
  <drawing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5">
        <x14:dataValidation type="list" allowBlank="1" showErrorMessage="1" prompt="Choisissez votre heure de fin de journée.">
          <x14:formula1>
            <xm:f>Réglages!$D$2:$D$49</xm:f>
          </x14:formula1>
          <xm:sqref>H10:H40</xm:sqref>
        </x14:dataValidation>
        <x14:dataValidation type="list" allowBlank="1" showErrorMessage="1" prompt="Choisissez votre heure de début de journée">
          <x14:formula1>
            <xm:f>Réglages!$D$2:$D$49</xm:f>
          </x14:formula1>
          <xm:sqref>G10:G40</xm:sqref>
        </x14:dataValidation>
        <x14:dataValidation type="list" allowBlank="1" showInputMessage="1" showErrorMessage="1">
          <x14:formula1>
            <xm:f>Réglages!$E$2:$E$21</xm:f>
          </x14:formula1>
          <xm:sqref>J10:K40</xm:sqref>
        </x14:dataValidation>
        <x14:dataValidation type="list" allowBlank="1" showInputMessage="1" showErrorMessage="1">
          <x14:formula1>
            <xm:f>Réglages!$G$2:$G$8</xm:f>
          </x14:formula1>
          <xm:sqref>F10:F40</xm:sqref>
        </x14:dataValidation>
        <x14:dataValidation type="list" allowBlank="1" showInputMessage="1" showErrorMessage="1">
          <x14:formula1>
            <xm:f>Réglages!$H$2:$H$6</xm:f>
          </x14:formula1>
          <xm:sqref>E10:E40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1" enableFormatConditionsCalculation="0">
    <tabColor rgb="FF0087E8"/>
  </sheetPr>
  <dimension ref="A1:AL78"/>
  <sheetViews>
    <sheetView zoomScale="90" zoomScaleNormal="90" zoomScalePageLayoutView="90" workbookViewId="0">
      <selection activeCell="K21" sqref="K21"/>
    </sheetView>
  </sheetViews>
  <sheetFormatPr baseColWidth="10" defaultRowHeight="15"/>
  <cols>
    <col min="2" max="2" width="24.28515625" customWidth="1"/>
    <col min="3" max="3" width="15.42578125" customWidth="1"/>
    <col min="5" max="5" width="11.28515625" customWidth="1"/>
    <col min="6" max="6" width="26.7109375" customWidth="1"/>
    <col min="8" max="8" width="12.85546875" customWidth="1"/>
    <col min="9" max="9" width="23.7109375" customWidth="1"/>
  </cols>
  <sheetData>
    <row r="1" spans="1:38">
      <c r="A1" s="356" t="s">
        <v>111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</row>
    <row r="2" spans="1:38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</row>
    <row r="3" spans="1:38">
      <c r="A3" s="356"/>
      <c r="B3" s="356"/>
      <c r="C3" s="356"/>
      <c r="D3" s="356"/>
      <c r="E3" s="356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2"/>
      <c r="AJ3" s="102"/>
      <c r="AK3" s="102"/>
      <c r="AL3" s="102"/>
    </row>
    <row r="4" spans="1:38">
      <c r="A4" s="356"/>
      <c r="B4" s="356"/>
      <c r="C4" s="356"/>
      <c r="D4" s="356"/>
      <c r="E4" s="356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  <c r="R4" s="356"/>
      <c r="S4" s="356"/>
      <c r="T4" s="356"/>
      <c r="U4" s="356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</row>
    <row r="5" spans="1:38">
      <c r="A5" s="356"/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6"/>
      <c r="M5" s="356"/>
      <c r="N5" s="356"/>
      <c r="O5" s="356"/>
      <c r="P5" s="356"/>
      <c r="Q5" s="356"/>
      <c r="R5" s="356"/>
      <c r="S5" s="356"/>
      <c r="T5" s="356"/>
      <c r="U5" s="356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</row>
    <row r="6" spans="1:38" ht="15.75" thickBot="1">
      <c r="A6" s="135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ht="15.75">
      <c r="A7" s="28"/>
      <c r="B7" s="28"/>
      <c r="C7" s="28"/>
      <c r="D7" s="28"/>
      <c r="E7" s="28"/>
      <c r="F7" s="293" t="s">
        <v>110</v>
      </c>
      <c r="G7" s="294"/>
      <c r="H7" s="28"/>
      <c r="I7" s="357" t="s">
        <v>17</v>
      </c>
      <c r="J7" s="358"/>
      <c r="K7" s="358"/>
      <c r="L7" s="359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</row>
    <row r="8" spans="1:38" ht="19.5">
      <c r="A8" s="28"/>
      <c r="B8" s="28"/>
      <c r="C8" s="28"/>
      <c r="D8" s="28"/>
      <c r="E8" s="28"/>
      <c r="F8" s="91" t="s">
        <v>2</v>
      </c>
      <c r="G8" s="92" t="e">
        <f>SUM(Janvier!AF4,#REF!,#REF!,#REF!,#REF!,#REF!,#REF!,#REF!,#REF!,#REF!,#REF!,#REF!)</f>
        <v>#REF!</v>
      </c>
      <c r="H8" s="28"/>
      <c r="I8" s="104"/>
      <c r="J8" s="105" t="s">
        <v>34</v>
      </c>
      <c r="K8" s="106" t="s">
        <v>23</v>
      </c>
      <c r="L8" s="107" t="s">
        <v>11</v>
      </c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</row>
    <row r="9" spans="1:38">
      <c r="A9" s="28"/>
      <c r="B9" s="28"/>
      <c r="C9" s="28"/>
      <c r="D9" s="28"/>
      <c r="E9" s="28"/>
      <c r="F9" s="303"/>
      <c r="G9" s="304"/>
      <c r="H9" s="28"/>
      <c r="I9" s="21" t="s">
        <v>1</v>
      </c>
      <c r="J9" s="22" t="e">
        <f>SUM(Janvier!AF10,#REF!,#REF!,#REF!,#REF!,#REF!,#REF!,#REF!,#REF!,#REF!,#REF!,#REF!)*24</f>
        <v>#REF!</v>
      </c>
      <c r="K9" s="111">
        <v>9.93</v>
      </c>
      <c r="L9" s="23" t="e">
        <f t="shared" ref="L9:L14" si="0">J9*K9</f>
        <v>#REF!</v>
      </c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</row>
    <row r="10" spans="1:38">
      <c r="A10" s="28"/>
      <c r="B10" s="28"/>
      <c r="C10" s="28"/>
      <c r="D10" s="28"/>
      <c r="E10" s="28"/>
      <c r="F10" s="91" t="s">
        <v>67</v>
      </c>
      <c r="G10" s="93" t="e">
        <f>SUM(Janvier!AF6,#REF!,#REF!,#REF!,#REF!,#REF!,#REF!,#REF!,#REF!,#REF!,#REF!,#REF!)</f>
        <v>#REF!</v>
      </c>
      <c r="H10" s="28"/>
      <c r="I10" s="10" t="s">
        <v>18</v>
      </c>
      <c r="J10" s="2" t="e">
        <f>SUM(Janvier!AF12,#REF!,#REF!,#REF!,#REF!,#REF!,#REF!,#REF!,#REF!,#REF!,#REF!,#REF!)*24</f>
        <v>#REF!</v>
      </c>
      <c r="K10" s="112">
        <v>0.99299999999999999</v>
      </c>
      <c r="L10" s="11" t="e">
        <f t="shared" si="0"/>
        <v>#REF!</v>
      </c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</row>
    <row r="11" spans="1:38">
      <c r="A11" s="28"/>
      <c r="B11" s="28"/>
      <c r="C11" s="28"/>
      <c r="D11" s="28"/>
      <c r="E11" s="28"/>
      <c r="F11" s="313"/>
      <c r="G11" s="314"/>
      <c r="H11" s="28"/>
      <c r="I11" s="10" t="s">
        <v>20</v>
      </c>
      <c r="J11" s="2" t="e">
        <f>SUM(Janvier!AF18,#REF!,#REF!,#REF!,#REF!,#REF!,#REF!,#REF!,#REF!,#REF!,#REF!,#REF!)*24</f>
        <v>#REF!</v>
      </c>
      <c r="K11" s="112">
        <v>0.99299999999999999</v>
      </c>
      <c r="L11" s="11" t="e">
        <f t="shared" si="0"/>
        <v>#REF!</v>
      </c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</row>
    <row r="12" spans="1:38">
      <c r="A12" s="28"/>
      <c r="B12" s="28"/>
      <c r="C12" s="28"/>
      <c r="D12" s="28"/>
      <c r="E12" s="28"/>
      <c r="F12" s="91" t="s">
        <v>61</v>
      </c>
      <c r="G12" s="92" t="e">
        <f>SUM(Janvier!AF8,#REF!,#REF!,#REF!,#REF!,#REF!,#REF!,#REF!,#REF!,#REF!,#REF!,#REF!)</f>
        <v>#REF!</v>
      </c>
      <c r="H12" s="28"/>
      <c r="I12" s="10" t="s">
        <v>19</v>
      </c>
      <c r="J12" s="2" t="e">
        <f>SUM(Janvier!AF20,#REF!,#REF!,#REF!,#REF!,#REF!,#REF!,#REF!,#REF!,#REF!,#REF!,#REF!)*24</f>
        <v>#REF!</v>
      </c>
      <c r="K12" s="112">
        <v>1.88</v>
      </c>
      <c r="L12" s="11" t="e">
        <f t="shared" si="0"/>
        <v>#REF!</v>
      </c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</row>
    <row r="13" spans="1:38">
      <c r="A13" s="28"/>
      <c r="B13" s="28"/>
      <c r="C13" s="28"/>
      <c r="D13" s="28"/>
      <c r="E13" s="28"/>
      <c r="F13" s="313"/>
      <c r="G13" s="314"/>
      <c r="H13" s="28"/>
      <c r="I13" s="10" t="s">
        <v>21</v>
      </c>
      <c r="J13" s="2" t="e">
        <f>SUM(Janvier!AF24,#REF!,#REF!,#REF!,#REF!,#REF!,#REF!,#REF!,#REF!,#REF!,#REF!,#REF!)*24</f>
        <v>#REF!</v>
      </c>
      <c r="K13" s="112">
        <v>9.93</v>
      </c>
      <c r="L13" s="11" t="e">
        <f t="shared" si="0"/>
        <v>#REF!</v>
      </c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</row>
    <row r="14" spans="1:38">
      <c r="A14" s="28"/>
      <c r="B14" s="28"/>
      <c r="C14" s="28"/>
      <c r="D14" s="28"/>
      <c r="E14" s="28"/>
      <c r="F14" s="91" t="s">
        <v>71</v>
      </c>
      <c r="G14" s="94" t="e">
        <f>SUM(Janvier!AF10,#REF!,#REF!,#REF!,#REF!,#REF!,#REF!,#REF!,#REF!,#REF!,#REF!,#REF!)</f>
        <v>#REF!</v>
      </c>
      <c r="H14" s="28"/>
      <c r="I14" s="12" t="s">
        <v>22</v>
      </c>
      <c r="J14" s="2" t="e">
        <f>SUM(J9:J12)</f>
        <v>#REF!</v>
      </c>
      <c r="K14" s="112">
        <v>0.13100000000000001</v>
      </c>
      <c r="L14" s="11" t="e">
        <f t="shared" si="0"/>
        <v>#REF!</v>
      </c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</row>
    <row r="15" spans="1:38" ht="15.75" thickBot="1">
      <c r="A15" s="28"/>
      <c r="B15" s="28"/>
      <c r="C15" s="28"/>
      <c r="D15" s="28"/>
      <c r="E15" s="28"/>
      <c r="F15" s="339"/>
      <c r="G15" s="340"/>
      <c r="H15" s="28"/>
      <c r="I15" s="13" t="s">
        <v>24</v>
      </c>
      <c r="J15" s="14" t="e">
        <f>SUM(J10+J12)</f>
        <v>#REF!</v>
      </c>
      <c r="K15" s="113"/>
      <c r="L15" s="15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</row>
    <row r="16" spans="1:38" ht="16.5" thickBot="1">
      <c r="A16" s="28"/>
      <c r="B16" s="28"/>
      <c r="C16" s="28"/>
      <c r="D16" s="28"/>
      <c r="E16" s="28"/>
      <c r="F16" s="91" t="s">
        <v>72</v>
      </c>
      <c r="G16" s="94" t="e">
        <f>SUM(Janvier!AF12,#REF!,#REF!,#REF!,#REF!,#REF!,#REF!,#REF!,#REF!,#REF!,#REF!,#REF!)</f>
        <v>#REF!</v>
      </c>
      <c r="H16" s="28"/>
      <c r="I16" s="47"/>
      <c r="J16" s="40"/>
      <c r="K16" s="19" t="s">
        <v>76</v>
      </c>
      <c r="L16" s="20" t="e">
        <f>SUM(L9:L15)</f>
        <v>#REF!</v>
      </c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</row>
    <row r="17" spans="1:38" ht="15.75" thickBot="1">
      <c r="A17" s="28"/>
      <c r="B17" s="28"/>
      <c r="C17" s="28"/>
      <c r="D17" s="28"/>
      <c r="E17" s="28"/>
      <c r="F17" s="325"/>
      <c r="G17" s="326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</row>
    <row r="18" spans="1:38">
      <c r="A18" s="28"/>
      <c r="B18" s="28"/>
      <c r="C18" s="28"/>
      <c r="D18" s="28"/>
      <c r="E18" s="28"/>
      <c r="F18" s="95" t="s">
        <v>81</v>
      </c>
      <c r="G18" s="96" t="e">
        <f>SUM(Janvier!AF14,#REF!,#REF!,#REF!,#REF!,#REF!,#REF!,#REF!,#REF!,#REF!,#REF!,#REF!)</f>
        <v>#REF!</v>
      </c>
      <c r="H18" s="28"/>
      <c r="I18" s="360" t="s">
        <v>16</v>
      </c>
      <c r="J18" s="361"/>
      <c r="K18" s="361"/>
      <c r="L18" s="362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</row>
    <row r="19" spans="1:38">
      <c r="A19" s="28"/>
      <c r="B19" s="28"/>
      <c r="C19" s="28"/>
      <c r="D19" s="28"/>
      <c r="E19" s="28"/>
      <c r="F19" s="313"/>
      <c r="G19" s="314"/>
      <c r="H19" s="28"/>
      <c r="I19" s="108"/>
      <c r="J19" s="109" t="s">
        <v>11</v>
      </c>
      <c r="K19" s="109" t="s">
        <v>23</v>
      </c>
      <c r="L19" s="110" t="s">
        <v>11</v>
      </c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</row>
    <row r="20" spans="1:38">
      <c r="A20" s="28"/>
      <c r="B20" s="28"/>
      <c r="C20" s="28"/>
      <c r="D20" s="28"/>
      <c r="E20" s="28"/>
      <c r="F20" s="95" t="s">
        <v>75</v>
      </c>
      <c r="G20" s="97" t="e">
        <f>SUM(Janvier!AF16,#REF!,#REF!,#REF!,#REF!,#REF!,#REF!,#REF!,#REF!,#REF!,#REF!,#REF!)</f>
        <v>#REF!</v>
      </c>
      <c r="H20" s="28"/>
      <c r="I20" s="16" t="s">
        <v>78</v>
      </c>
      <c r="J20" s="3" t="e">
        <f>SUM(Janvier!AF36,#REF!,#REF!,#REF!,#REF!,#REF!,#REF!,#REF!,#REF!,#REF!,#REF!,#REF!)</f>
        <v>#REF!</v>
      </c>
      <c r="K20" s="114">
        <v>3.43</v>
      </c>
      <c r="L20" s="17" t="e">
        <f>J20*K20</f>
        <v>#REF!</v>
      </c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</row>
    <row r="21" spans="1:38" ht="15.75" thickBot="1">
      <c r="A21" s="28"/>
      <c r="B21" s="28"/>
      <c r="C21" s="28"/>
      <c r="D21" s="28"/>
      <c r="E21" s="28"/>
      <c r="F21" s="313"/>
      <c r="G21" s="314"/>
      <c r="H21" s="28"/>
      <c r="I21" s="18" t="s">
        <v>77</v>
      </c>
      <c r="J21" s="88" t="e">
        <f>SUM(Janvier!AF38,#REF!,#REF!,#REF!,#REF!,#REF!,#REF!,#REF!,#REF!,#REF!,#REF!,#REF!)</f>
        <v>#REF!</v>
      </c>
      <c r="K21" s="113">
        <v>0.81</v>
      </c>
      <c r="L21" s="103" t="e">
        <f>J21*K21</f>
        <v>#REF!</v>
      </c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</row>
    <row r="22" spans="1:38" ht="16.5" thickBot="1">
      <c r="A22" s="28"/>
      <c r="B22" s="28"/>
      <c r="C22" s="28"/>
      <c r="D22" s="28"/>
      <c r="E22" s="28"/>
      <c r="F22" s="91" t="s">
        <v>73</v>
      </c>
      <c r="G22" s="94" t="e">
        <f>SUM(Janvier!AF18,#REF!,#REF!,#REF!,#REF!,#REF!,#REF!,#REF!,#REF!,#REF!,#REF!,#REF!)</f>
        <v>#REF!</v>
      </c>
      <c r="H22" s="28"/>
      <c r="I22" s="48"/>
      <c r="J22" s="49"/>
      <c r="K22" s="19" t="s">
        <v>76</v>
      </c>
      <c r="L22" s="76" t="e">
        <f>SUM(L20:L21)</f>
        <v>#REF!</v>
      </c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</row>
    <row r="23" spans="1:38">
      <c r="A23" s="28"/>
      <c r="B23" s="28"/>
      <c r="C23" s="28"/>
      <c r="D23" s="28"/>
      <c r="E23" s="28"/>
      <c r="F23" s="325"/>
      <c r="G23" s="326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</row>
    <row r="24" spans="1:38">
      <c r="A24" s="28"/>
      <c r="B24" s="28"/>
      <c r="C24" s="28"/>
      <c r="D24" s="28"/>
      <c r="E24" s="28"/>
      <c r="F24" s="91" t="s">
        <v>74</v>
      </c>
      <c r="G24" s="94" t="e">
        <f>SUM(Janvier!AF20,#REF!,#REF!,#REF!,#REF!,#REF!,#REF!,#REF!,#REF!,#REF!,#REF!,#REF!)</f>
        <v>#REF!</v>
      </c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</row>
    <row r="25" spans="1:38">
      <c r="A25" s="28"/>
      <c r="B25" s="28"/>
      <c r="C25" s="28"/>
      <c r="D25" s="28"/>
      <c r="E25" s="28"/>
      <c r="F25" s="325"/>
      <c r="G25" s="326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</row>
    <row r="26" spans="1:38">
      <c r="A26" s="28"/>
      <c r="B26" s="28"/>
      <c r="C26" s="28"/>
      <c r="D26" s="28"/>
      <c r="E26" s="28"/>
      <c r="F26" s="91" t="s">
        <v>80</v>
      </c>
      <c r="G26" s="98" t="e">
        <f>SUM(Janvier!AF22,#REF!,#REF!,#REF!,#REF!,#REF!,#REF!,#REF!,#REF!,#REF!,#REF!,#REF!)</f>
        <v>#REF!</v>
      </c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</row>
    <row r="27" spans="1:38">
      <c r="A27" s="28"/>
      <c r="B27" s="28"/>
      <c r="C27" s="28"/>
      <c r="D27" s="28"/>
      <c r="E27" s="28"/>
      <c r="F27" s="354"/>
      <c r="G27" s="355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</row>
    <row r="28" spans="1:38">
      <c r="A28" s="28"/>
      <c r="B28" s="28"/>
      <c r="C28" s="28"/>
      <c r="D28" s="28"/>
      <c r="E28" s="28"/>
      <c r="F28" s="91" t="s">
        <v>68</v>
      </c>
      <c r="G28" s="94" t="e">
        <f>SUM(Janvier!AF24,#REF!,#REF!,#REF!,#REF!,#REF!,#REF!,#REF!,#REF!,#REF!,#REF!,#REF!)</f>
        <v>#REF!</v>
      </c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</row>
    <row r="29" spans="1:38">
      <c r="A29" s="28"/>
      <c r="B29" s="28"/>
      <c r="C29" s="28"/>
      <c r="D29" s="28"/>
      <c r="E29" s="28"/>
      <c r="F29" s="325"/>
      <c r="G29" s="326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</row>
    <row r="30" spans="1:38">
      <c r="A30" s="28"/>
      <c r="B30" s="28"/>
      <c r="C30" s="28"/>
      <c r="D30" s="28"/>
      <c r="E30" s="28"/>
      <c r="F30" s="91" t="s">
        <v>69</v>
      </c>
      <c r="G30" s="94" t="e">
        <f>SUM(Janvier!AF26,#REF!,#REF!,#REF!,#REF!,#REF!,#REF!,#REF!,#REF!,#REF!,#REF!,#REF!)</f>
        <v>#REF!</v>
      </c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</row>
    <row r="31" spans="1:38">
      <c r="A31" s="28"/>
      <c r="B31" s="28"/>
      <c r="C31" s="28"/>
      <c r="D31" s="28"/>
      <c r="E31" s="28"/>
      <c r="F31" s="325"/>
      <c r="G31" s="326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</row>
    <row r="32" spans="1:38">
      <c r="A32" s="28"/>
      <c r="B32" s="28"/>
      <c r="C32" s="28"/>
      <c r="D32" s="28"/>
      <c r="E32" s="28"/>
      <c r="F32" s="91" t="s">
        <v>70</v>
      </c>
      <c r="G32" s="94" t="e">
        <f>SUM(Janvier!AF28,#REF!,#REF!,#REF!,#REF!,#REF!,#REF!,#REF!,#REF!,#REF!,#REF!,#REF!)</f>
        <v>#REF!</v>
      </c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</row>
    <row r="33" spans="1:38">
      <c r="A33" s="28"/>
      <c r="B33" s="28"/>
      <c r="C33" s="28"/>
      <c r="D33" s="28"/>
      <c r="E33" s="28"/>
      <c r="F33" s="325"/>
      <c r="G33" s="326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</row>
    <row r="34" spans="1:38">
      <c r="A34" s="28"/>
      <c r="B34" s="28"/>
      <c r="C34" s="28"/>
      <c r="D34" s="28"/>
      <c r="E34" s="28"/>
      <c r="F34" s="95" t="s">
        <v>62</v>
      </c>
      <c r="G34" s="99" t="e">
        <f>SUM(Janvier!AF30,#REF!,#REF!,#REF!,#REF!,#REF!,#REF!,#REF!,#REF!,#REF!,#REF!,#REF!)</f>
        <v>#REF!</v>
      </c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</row>
    <row r="35" spans="1:38">
      <c r="A35" s="28"/>
      <c r="B35" s="28"/>
      <c r="C35" s="28"/>
      <c r="D35" s="28"/>
      <c r="E35" s="28"/>
      <c r="F35" s="345"/>
      <c r="G35" s="346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</row>
    <row r="36" spans="1:38">
      <c r="A36" s="28"/>
      <c r="B36" s="28"/>
      <c r="C36" s="28"/>
      <c r="D36" s="28"/>
      <c r="E36" s="28"/>
      <c r="F36" s="95" t="s">
        <v>63</v>
      </c>
      <c r="G36" s="99" t="e">
        <f>SUM(Janvier!AF32,#REF!,#REF!,#REF!,#REF!,#REF!,#REF!,#REF!,#REF!,#REF!,#REF!,#REF!)</f>
        <v>#REF!</v>
      </c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</row>
    <row r="37" spans="1:38">
      <c r="A37" s="28"/>
      <c r="B37" s="28"/>
      <c r="C37" s="28"/>
      <c r="D37" s="28"/>
      <c r="E37" s="28"/>
      <c r="F37" s="345"/>
      <c r="G37" s="346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</row>
    <row r="38" spans="1:38">
      <c r="A38" s="28"/>
      <c r="B38" s="28"/>
      <c r="C38" s="28"/>
      <c r="D38" s="28"/>
      <c r="E38" s="28"/>
      <c r="F38" s="91" t="s">
        <v>64</v>
      </c>
      <c r="G38" s="100" t="e">
        <f>SUM(Janvier!AF34,#REF!,#REF!,#REF!,#REF!,#REF!,#REF!,#REF!,#REF!,#REF!,#REF!,#REF!)</f>
        <v>#REF!</v>
      </c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</row>
    <row r="39" spans="1:38">
      <c r="A39" s="28"/>
      <c r="B39" s="28"/>
      <c r="C39" s="28"/>
      <c r="D39" s="28"/>
      <c r="E39" s="28"/>
      <c r="F39" s="325"/>
      <c r="G39" s="326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</row>
    <row r="40" spans="1:38">
      <c r="A40" s="28"/>
      <c r="B40" s="28"/>
      <c r="C40" s="28"/>
      <c r="D40" s="28"/>
      <c r="E40" s="28"/>
      <c r="F40" s="91" t="s">
        <v>65</v>
      </c>
      <c r="G40" s="98" t="e">
        <f>SUM(Janvier!AF36,#REF!,#REF!,#REF!,#REF!,#REF!,#REF!,#REF!,#REF!,#REF!,#REF!,#REF!)</f>
        <v>#REF!</v>
      </c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</row>
    <row r="41" spans="1:38">
      <c r="A41" s="28"/>
      <c r="B41" s="28"/>
      <c r="C41" s="28"/>
      <c r="D41" s="28"/>
      <c r="E41" s="28"/>
      <c r="F41" s="325"/>
      <c r="G41" s="326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</row>
    <row r="42" spans="1:38">
      <c r="A42" s="28"/>
      <c r="B42" s="28"/>
      <c r="C42" s="28"/>
      <c r="D42" s="28"/>
      <c r="E42" s="28"/>
      <c r="F42" s="101" t="s">
        <v>66</v>
      </c>
      <c r="G42" s="100" t="e">
        <f>SUM(Janvier!AF38,#REF!,#REF!,#REF!,#REF!,#REF!,#REF!,#REF!,#REF!,#REF!,#REF!,#REF!)</f>
        <v>#REF!</v>
      </c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</row>
    <row r="43" spans="1:38" ht="15.75" thickBot="1">
      <c r="A43" s="28"/>
      <c r="B43" s="28"/>
      <c r="C43" s="28"/>
      <c r="D43" s="28"/>
      <c r="E43" s="28"/>
      <c r="F43" s="341"/>
      <c r="G43" s="342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</row>
    <row r="44" spans="1:38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</row>
    <row r="45" spans="1:38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</row>
    <row r="46" spans="1:38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</row>
    <row r="47" spans="1:38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</row>
    <row r="48" spans="1:38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</row>
    <row r="49" spans="1:38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</row>
    <row r="50" spans="1:38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</row>
    <row r="51" spans="1:38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</row>
    <row r="52" spans="1:38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</row>
    <row r="53" spans="1:38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</row>
    <row r="54" spans="1:38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</row>
    <row r="55" spans="1:38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</row>
    <row r="56" spans="1:38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</row>
    <row r="57" spans="1:38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</row>
    <row r="58" spans="1:38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</row>
    <row r="59" spans="1:38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</row>
    <row r="60" spans="1:38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</row>
    <row r="61" spans="1:38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</row>
    <row r="62" spans="1:38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</row>
    <row r="63" spans="1:38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</row>
    <row r="64" spans="1:38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</row>
    <row r="65" spans="1:38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</row>
    <row r="66" spans="1:38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</row>
    <row r="67" spans="1:38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</row>
    <row r="68" spans="1:38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</row>
    <row r="69" spans="1:38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</row>
    <row r="70" spans="1:38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</row>
    <row r="71" spans="1:38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</row>
    <row r="72" spans="1:38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</row>
    <row r="73" spans="1:38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</row>
    <row r="74" spans="1:38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</row>
    <row r="75" spans="1:38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</row>
    <row r="76" spans="1:38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</row>
    <row r="77" spans="1:38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</row>
    <row r="78" spans="1:38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</row>
  </sheetData>
  <sheetProtection password="8F84" sheet="1" objects="1" scenarios="1" selectLockedCells="1"/>
  <dataConsolidate>
    <dataRefs count="12">
      <dataRef ref="AF4" sheet="Août" r:id="rId1"/>
      <dataRef ref="AF4" sheet="Avril" r:id="rId2"/>
      <dataRef ref="AF4" sheet="Décembre" r:id="rId3"/>
      <dataRef ref="AF4" sheet="Février" r:id="rId4"/>
      <dataRef ref="AF4" sheet="Janvier"/>
      <dataRef ref="AF4" sheet="Juillet" r:id="rId5"/>
      <dataRef ref="AF4" sheet="Juin" r:id="rId6"/>
      <dataRef ref="AF4" sheet="Mai" r:id="rId7"/>
      <dataRef ref="AF4" sheet="Mars" r:id="rId8"/>
      <dataRef ref="AF4" sheet="Novembre" r:id="rId9"/>
      <dataRef ref="AF4" sheet="Octobre" r:id="rId10"/>
      <dataRef ref="AF4" sheet="Septembre" r:id="rId11"/>
    </dataRefs>
  </dataConsolidate>
  <mergeCells count="22">
    <mergeCell ref="A1:U5"/>
    <mergeCell ref="I7:L7"/>
    <mergeCell ref="I18:L18"/>
    <mergeCell ref="F43:G43"/>
    <mergeCell ref="F31:G31"/>
    <mergeCell ref="F33:G33"/>
    <mergeCell ref="F35:G35"/>
    <mergeCell ref="F37:G37"/>
    <mergeCell ref="F39:G39"/>
    <mergeCell ref="F41:G41"/>
    <mergeCell ref="F29:G29"/>
    <mergeCell ref="F7:G7"/>
    <mergeCell ref="F9:G9"/>
    <mergeCell ref="F11:G11"/>
    <mergeCell ref="F13:G13"/>
    <mergeCell ref="F15:G15"/>
    <mergeCell ref="F27:G27"/>
    <mergeCell ref="F17:G17"/>
    <mergeCell ref="F19:G19"/>
    <mergeCell ref="F21:G21"/>
    <mergeCell ref="F23:G23"/>
    <mergeCell ref="F25:G25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le6" enableFormatConditionsCalculation="0">
    <tabColor rgb="FFFF0000"/>
  </sheetPr>
  <dimension ref="A1:AP70"/>
  <sheetViews>
    <sheetView zoomScale="90" zoomScaleNormal="90" zoomScalePageLayoutView="90" workbookViewId="0">
      <selection activeCell="N38" sqref="N38"/>
    </sheetView>
  </sheetViews>
  <sheetFormatPr baseColWidth="10" defaultRowHeight="15"/>
  <cols>
    <col min="1" max="1" width="2.28515625" customWidth="1"/>
    <col min="2" max="2" width="2.42578125" customWidth="1"/>
    <col min="3" max="3" width="2.85546875" customWidth="1"/>
    <col min="4" max="5" width="10.85546875" style="7"/>
    <col min="6" max="6" width="11.28515625" style="77" customWidth="1"/>
    <col min="7" max="7" width="12.42578125" style="7" customWidth="1"/>
    <col min="8" max="8" width="12.140625" customWidth="1"/>
    <col min="10" max="10" width="17.7109375" customWidth="1"/>
    <col min="13" max="13" width="18.28515625" bestFit="1" customWidth="1"/>
    <col min="14" max="14" width="26.42578125" bestFit="1" customWidth="1"/>
    <col min="15" max="15" width="2.85546875" customWidth="1"/>
    <col min="16" max="16" width="3.42578125" customWidth="1"/>
    <col min="17" max="17" width="14.140625" customWidth="1"/>
    <col min="18" max="18" width="11.42578125" customWidth="1"/>
    <col min="20" max="20" width="13.85546875" customWidth="1"/>
    <col min="21" max="21" width="12.7109375" customWidth="1"/>
    <col min="22" max="22" width="5.42578125" customWidth="1"/>
  </cols>
  <sheetData>
    <row r="1" spans="1:42">
      <c r="A1" s="176"/>
      <c r="B1" s="138"/>
      <c r="C1" s="139"/>
      <c r="D1" s="8" t="s">
        <v>84</v>
      </c>
      <c r="E1" s="8" t="s">
        <v>33</v>
      </c>
      <c r="F1" s="145"/>
      <c r="G1" s="132" t="s">
        <v>13</v>
      </c>
      <c r="H1" s="9" t="s">
        <v>26</v>
      </c>
      <c r="I1" s="28"/>
      <c r="J1" s="43"/>
      <c r="K1" s="152"/>
      <c r="L1" s="28"/>
      <c r="M1" s="169">
        <f>An</f>
        <v>2016</v>
      </c>
      <c r="N1" s="173" t="s">
        <v>122</v>
      </c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</row>
    <row r="2" spans="1:42">
      <c r="A2" s="28"/>
      <c r="B2" s="28"/>
      <c r="C2" s="28"/>
      <c r="D2" s="133">
        <v>0</v>
      </c>
      <c r="E2" s="133">
        <v>1.0416666666666666E-2</v>
      </c>
      <c r="F2" s="146"/>
      <c r="G2" s="127" t="s">
        <v>56</v>
      </c>
      <c r="H2" s="129" t="s">
        <v>125</v>
      </c>
      <c r="I2" s="28"/>
      <c r="J2" s="140"/>
      <c r="K2" s="140"/>
      <c r="L2" s="28"/>
      <c r="M2" s="170" t="s">
        <v>88</v>
      </c>
      <c r="N2" s="166">
        <f>DATE(An,1,1)</f>
        <v>42370</v>
      </c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</row>
    <row r="3" spans="1:42">
      <c r="A3" s="28"/>
      <c r="B3" s="28"/>
      <c r="C3" s="28"/>
      <c r="D3" s="133">
        <v>2.0833333333333332E-2</v>
      </c>
      <c r="E3" s="133">
        <v>2.0833333333333332E-2</v>
      </c>
      <c r="F3" s="146"/>
      <c r="G3" s="127" t="s">
        <v>57</v>
      </c>
      <c r="H3" s="130" t="s">
        <v>27</v>
      </c>
      <c r="I3" s="28"/>
      <c r="J3" s="43"/>
      <c r="K3" s="43"/>
      <c r="L3" s="28"/>
      <c r="M3" s="171" t="s">
        <v>89</v>
      </c>
      <c r="N3" s="167">
        <f>FLOOR(DAY(MINUTE(An/38)/2+56)&amp;"/5/"&amp;An,7)-34</f>
        <v>42456</v>
      </c>
      <c r="O3" s="28"/>
      <c r="P3" s="28"/>
      <c r="Q3" s="367" t="s">
        <v>107</v>
      </c>
      <c r="R3" s="367"/>
      <c r="S3" s="367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</row>
    <row r="4" spans="1:42">
      <c r="A4" s="28"/>
      <c r="B4" s="28"/>
      <c r="C4" s="28"/>
      <c r="D4" s="133">
        <v>4.1666666666666664E-2</v>
      </c>
      <c r="E4" s="133">
        <v>3.125E-2</v>
      </c>
      <c r="F4" s="146"/>
      <c r="G4" s="127" t="s">
        <v>58</v>
      </c>
      <c r="H4" s="130" t="s">
        <v>8</v>
      </c>
      <c r="I4" s="28"/>
      <c r="J4" s="140"/>
      <c r="K4" s="140"/>
      <c r="L4" s="28"/>
      <c r="M4" s="171" t="s">
        <v>90</v>
      </c>
      <c r="N4" s="167">
        <f>Paques+1</f>
        <v>42457</v>
      </c>
      <c r="O4" s="28"/>
      <c r="P4" s="28"/>
      <c r="Q4" s="367"/>
      <c r="R4" s="367"/>
      <c r="S4" s="367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</row>
    <row r="5" spans="1:42">
      <c r="A5" s="28"/>
      <c r="B5" s="28"/>
      <c r="C5" s="28"/>
      <c r="D5" s="133">
        <v>6.25E-2</v>
      </c>
      <c r="E5" s="133">
        <v>4.1666666666666664E-2</v>
      </c>
      <c r="F5" s="146"/>
      <c r="G5" s="127" t="s">
        <v>59</v>
      </c>
      <c r="H5" s="130" t="s">
        <v>9</v>
      </c>
      <c r="I5" s="28"/>
      <c r="J5" s="140"/>
      <c r="K5" s="140"/>
      <c r="L5" s="28"/>
      <c r="M5" s="171" t="s">
        <v>91</v>
      </c>
      <c r="N5" s="167">
        <f>DATE(An,5,1)</f>
        <v>42491</v>
      </c>
      <c r="O5" s="28"/>
      <c r="P5" s="28"/>
      <c r="Q5" s="78" t="s">
        <v>106</v>
      </c>
      <c r="R5" s="78"/>
      <c r="S5" s="7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</row>
    <row r="6" spans="1:42">
      <c r="A6" s="28"/>
      <c r="B6" s="28"/>
      <c r="C6" s="28"/>
      <c r="D6" s="133">
        <v>8.3333333333333301E-2</v>
      </c>
      <c r="E6" s="133">
        <v>5.2083333333333336E-2</v>
      </c>
      <c r="F6" s="146"/>
      <c r="G6" s="127" t="s">
        <v>79</v>
      </c>
      <c r="H6" s="131" t="s">
        <v>118</v>
      </c>
      <c r="I6" s="28"/>
      <c r="J6" s="140"/>
      <c r="K6" s="43"/>
      <c r="L6" s="28"/>
      <c r="M6" s="171" t="s">
        <v>92</v>
      </c>
      <c r="N6" s="167">
        <f>DATE(An,5,8)</f>
        <v>42498</v>
      </c>
      <c r="O6" s="28"/>
      <c r="P6" s="28"/>
      <c r="Q6" s="79" t="s">
        <v>101</v>
      </c>
      <c r="R6" s="79" t="s">
        <v>102</v>
      </c>
      <c r="S6" s="79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</row>
    <row r="7" spans="1:42">
      <c r="A7" s="28"/>
      <c r="B7" s="28"/>
      <c r="C7" s="28"/>
      <c r="D7" s="133">
        <v>0.104166666666667</v>
      </c>
      <c r="E7" s="133">
        <v>6.25E-2</v>
      </c>
      <c r="F7" s="146"/>
      <c r="G7" s="127" t="s">
        <v>6</v>
      </c>
      <c r="H7" s="149"/>
      <c r="I7" s="28"/>
      <c r="J7" s="140"/>
      <c r="K7" s="43"/>
      <c r="L7" s="28"/>
      <c r="M7" s="171" t="s">
        <v>93</v>
      </c>
      <c r="N7" s="167">
        <f>Paques+39</f>
        <v>42495</v>
      </c>
      <c r="O7" s="28"/>
      <c r="P7" s="28"/>
      <c r="Q7" s="79" t="s">
        <v>15</v>
      </c>
      <c r="R7" s="79" t="s">
        <v>103</v>
      </c>
      <c r="S7" s="79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</row>
    <row r="8" spans="1:42">
      <c r="A8" s="28"/>
      <c r="B8" s="28"/>
      <c r="C8" s="28"/>
      <c r="D8" s="133">
        <v>0.125</v>
      </c>
      <c r="E8" s="133">
        <v>7.2916666666666671E-2</v>
      </c>
      <c r="F8" s="146"/>
      <c r="G8" s="128" t="s">
        <v>14</v>
      </c>
      <c r="H8" s="149"/>
      <c r="I8" s="28"/>
      <c r="J8" s="140"/>
      <c r="K8" s="43"/>
      <c r="L8" s="28"/>
      <c r="M8" s="171" t="s">
        <v>94</v>
      </c>
      <c r="N8" s="167">
        <f>Paques+49</f>
        <v>42505</v>
      </c>
      <c r="O8" s="28"/>
      <c r="P8" s="28"/>
      <c r="Q8" s="79" t="s">
        <v>104</v>
      </c>
      <c r="R8" s="79" t="s">
        <v>105</v>
      </c>
      <c r="S8" s="79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</row>
    <row r="9" spans="1:42" ht="15.75" thickBot="1">
      <c r="A9" s="28"/>
      <c r="B9" s="28"/>
      <c r="C9" s="28"/>
      <c r="D9" s="133">
        <v>0.14583333333333301</v>
      </c>
      <c r="E9" s="133">
        <v>8.3333333333333329E-2</v>
      </c>
      <c r="F9" s="147"/>
      <c r="G9" s="174"/>
      <c r="H9" s="175"/>
      <c r="I9" s="28"/>
      <c r="J9" s="140"/>
      <c r="K9" s="43"/>
      <c r="L9" s="28"/>
      <c r="M9" s="171" t="s">
        <v>95</v>
      </c>
      <c r="N9" s="167">
        <f>Paques+50</f>
        <v>42506</v>
      </c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</row>
    <row r="10" spans="1:42" ht="15.75" thickBot="1">
      <c r="A10" s="28"/>
      <c r="B10" s="28"/>
      <c r="C10" s="28"/>
      <c r="D10" s="133">
        <v>0.16666666666666699</v>
      </c>
      <c r="E10" s="133">
        <v>9.375E-2</v>
      </c>
      <c r="F10" s="147"/>
      <c r="G10" s="365" t="s">
        <v>121</v>
      </c>
      <c r="H10" s="366"/>
      <c r="I10" s="28"/>
      <c r="J10" s="140"/>
      <c r="K10" s="43"/>
      <c r="L10" s="28"/>
      <c r="M10" s="171" t="s">
        <v>96</v>
      </c>
      <c r="N10" s="167">
        <f>DATE(An,7,14)</f>
        <v>42565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</row>
    <row r="11" spans="1:42">
      <c r="A11" s="28"/>
      <c r="B11" s="28"/>
      <c r="C11" s="28"/>
      <c r="D11" s="133">
        <v>0.1875</v>
      </c>
      <c r="E11" s="133">
        <v>0.10416666666666667</v>
      </c>
      <c r="F11" s="147"/>
      <c r="G11" s="174"/>
      <c r="H11" s="175"/>
      <c r="I11" s="28"/>
      <c r="J11" s="140"/>
      <c r="K11" s="43"/>
      <c r="L11" s="28"/>
      <c r="M11" s="171" t="s">
        <v>97</v>
      </c>
      <c r="N11" s="167">
        <f>DATE(An,8,15)</f>
        <v>42597</v>
      </c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</row>
    <row r="12" spans="1:42" ht="15" customHeight="1">
      <c r="A12" s="28"/>
      <c r="B12" s="28"/>
      <c r="C12" s="28"/>
      <c r="D12" s="133">
        <v>0.20833333333333301</v>
      </c>
      <c r="E12" s="133">
        <v>0.11458333333333333</v>
      </c>
      <c r="F12" s="147"/>
      <c r="G12" s="174"/>
      <c r="H12" s="175"/>
      <c r="I12" s="164"/>
      <c r="J12" s="164"/>
      <c r="K12" s="164"/>
      <c r="L12" s="28"/>
      <c r="M12" s="171" t="s">
        <v>98</v>
      </c>
      <c r="N12" s="167">
        <f>DATE(An,11,1)</f>
        <v>42675</v>
      </c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</row>
    <row r="13" spans="1:42" ht="14.1" customHeight="1">
      <c r="A13" s="28"/>
      <c r="B13" s="28"/>
      <c r="C13" s="28"/>
      <c r="D13" s="133">
        <v>0.22916666666666699</v>
      </c>
      <c r="E13" s="133">
        <v>0.125</v>
      </c>
      <c r="F13" s="148"/>
      <c r="G13" s="174"/>
      <c r="H13" s="175"/>
      <c r="I13" s="164"/>
      <c r="J13" s="164"/>
      <c r="K13" s="164"/>
      <c r="L13" s="28"/>
      <c r="M13" s="171" t="s">
        <v>99</v>
      </c>
      <c r="N13" s="167">
        <f>DATE(An,11,11)</f>
        <v>42685</v>
      </c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</row>
    <row r="14" spans="1:42" ht="15" customHeight="1" thickBot="1">
      <c r="A14" s="28"/>
      <c r="B14" s="28"/>
      <c r="C14" s="28"/>
      <c r="D14" s="133">
        <v>0.25</v>
      </c>
      <c r="E14" s="133">
        <v>0.13541666666666666</v>
      </c>
      <c r="F14" s="37"/>
      <c r="G14" s="174"/>
      <c r="H14" s="135"/>
      <c r="I14" s="164"/>
      <c r="J14" s="164"/>
      <c r="K14" s="164"/>
      <c r="L14" s="150"/>
      <c r="M14" s="172" t="s">
        <v>100</v>
      </c>
      <c r="N14" s="168">
        <f>DATE(An,12,25)</f>
        <v>42729</v>
      </c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</row>
    <row r="15" spans="1:42">
      <c r="A15" s="54"/>
      <c r="B15" s="54"/>
      <c r="C15" s="28"/>
      <c r="D15" s="133">
        <v>0.27083333333333298</v>
      </c>
      <c r="E15" s="133">
        <v>0.14583333333333334</v>
      </c>
      <c r="F15" s="37"/>
      <c r="G15" s="153"/>
      <c r="H15" s="28"/>
      <c r="I15" s="165"/>
      <c r="J15" s="165"/>
      <c r="K15" s="165"/>
      <c r="L15" s="151"/>
      <c r="M15" s="43"/>
      <c r="N15" s="43"/>
      <c r="O15" s="28"/>
      <c r="P15" s="28"/>
      <c r="Q15" s="376" t="s">
        <v>117</v>
      </c>
      <c r="R15" s="377"/>
      <c r="S15" s="380">
        <f ca="1">TODAY()</f>
        <v>42350</v>
      </c>
      <c r="T15" s="381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</row>
    <row r="16" spans="1:42" ht="15.75" thickBot="1">
      <c r="A16" s="54"/>
      <c r="B16" s="54"/>
      <c r="C16" s="28"/>
      <c r="D16" s="133">
        <v>0.29166666666666702</v>
      </c>
      <c r="E16" s="133">
        <v>0.15625</v>
      </c>
      <c r="F16" s="37"/>
      <c r="G16" s="142"/>
      <c r="H16" s="28"/>
      <c r="I16" s="165"/>
      <c r="J16" s="165"/>
      <c r="K16" s="165"/>
      <c r="L16" s="28"/>
      <c r="M16" s="43"/>
      <c r="N16" s="43"/>
      <c r="O16" s="28"/>
      <c r="P16" s="28"/>
      <c r="Q16" s="378"/>
      <c r="R16" s="379"/>
      <c r="S16" s="382"/>
      <c r="T16" s="383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</row>
    <row r="17" spans="1:42">
      <c r="A17" s="28"/>
      <c r="B17" s="28"/>
      <c r="C17" s="28"/>
      <c r="D17" s="133">
        <v>0.3125</v>
      </c>
      <c r="E17" s="133">
        <v>0.16666666666666666</v>
      </c>
      <c r="F17" s="37"/>
      <c r="G17" s="142"/>
      <c r="H17" s="28"/>
      <c r="I17" s="28"/>
      <c r="J17" s="140"/>
      <c r="K17" s="43"/>
      <c r="L17" s="43"/>
      <c r="M17" s="43"/>
      <c r="N17" s="43"/>
      <c r="O17" s="43"/>
      <c r="P17" s="126"/>
      <c r="Q17" s="143"/>
      <c r="R17" s="143"/>
      <c r="S17" s="143"/>
      <c r="T17" s="126"/>
      <c r="U17" s="126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</row>
    <row r="18" spans="1:42" ht="15.75" thickBot="1">
      <c r="A18" s="28"/>
      <c r="B18" s="28"/>
      <c r="C18" s="28"/>
      <c r="D18" s="133">
        <v>0.33333333333333298</v>
      </c>
      <c r="E18" s="133">
        <v>0.17708333333333334</v>
      </c>
      <c r="F18" s="37"/>
      <c r="G18" s="142"/>
      <c r="H18" s="28"/>
      <c r="I18" s="28"/>
      <c r="J18" s="43"/>
      <c r="K18" s="43"/>
      <c r="L18" s="43"/>
      <c r="M18" s="43"/>
      <c r="N18" s="43"/>
      <c r="O18" s="43"/>
      <c r="P18" s="126"/>
      <c r="Q18" s="126"/>
      <c r="R18" s="126"/>
      <c r="S18" s="126"/>
      <c r="T18" s="126"/>
      <c r="U18" s="126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</row>
    <row r="19" spans="1:42" ht="16.5" thickBot="1">
      <c r="A19" s="28"/>
      <c r="B19" s="28"/>
      <c r="C19" s="28"/>
      <c r="D19" s="133">
        <v>0.35416666666666702</v>
      </c>
      <c r="E19" s="133">
        <v>0.1875</v>
      </c>
      <c r="F19" s="37"/>
      <c r="G19" s="142"/>
      <c r="H19" s="28"/>
      <c r="I19" s="28"/>
      <c r="J19" s="28"/>
      <c r="K19" s="28"/>
      <c r="L19" s="43"/>
      <c r="M19" s="43"/>
      <c r="N19" s="43"/>
      <c r="O19" s="43"/>
      <c r="P19" s="126"/>
      <c r="Q19" s="374" t="s">
        <v>82</v>
      </c>
      <c r="R19" s="375"/>
      <c r="S19" s="375"/>
      <c r="T19" s="375"/>
      <c r="U19" s="363" t="s">
        <v>119</v>
      </c>
      <c r="V19" s="364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</row>
    <row r="20" spans="1:42" ht="15" customHeight="1">
      <c r="A20" s="28"/>
      <c r="B20" s="28"/>
      <c r="C20" s="28"/>
      <c r="D20" s="133">
        <v>0.375</v>
      </c>
      <c r="E20" s="133">
        <v>0.19791666666666666</v>
      </c>
      <c r="F20" s="142"/>
      <c r="G20" s="37"/>
      <c r="H20" s="28"/>
      <c r="I20" s="28"/>
      <c r="J20" s="154"/>
      <c r="K20" s="28"/>
      <c r="L20" s="43"/>
      <c r="M20" s="43"/>
      <c r="N20" s="43"/>
      <c r="O20" s="43"/>
      <c r="P20" s="126"/>
      <c r="Q20" s="388" t="s">
        <v>112</v>
      </c>
      <c r="R20" s="389"/>
      <c r="S20" s="390">
        <v>42402</v>
      </c>
      <c r="T20" s="391"/>
      <c r="U20" s="157" t="s">
        <v>120</v>
      </c>
      <c r="V20" s="158">
        <f ca="1">ABS(S15-S20)</f>
        <v>52</v>
      </c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</row>
    <row r="21" spans="1:42" ht="15" customHeight="1">
      <c r="A21" s="28"/>
      <c r="B21" s="28"/>
      <c r="C21" s="28"/>
      <c r="D21" s="133">
        <v>0.39583333333333298</v>
      </c>
      <c r="E21" s="134">
        <v>0.20833333333333334</v>
      </c>
      <c r="F21" s="142"/>
      <c r="G21" s="37"/>
      <c r="H21" s="28"/>
      <c r="I21" s="28"/>
      <c r="J21" s="154"/>
      <c r="K21" s="28"/>
      <c r="L21" s="43"/>
      <c r="M21" s="43"/>
      <c r="N21" s="43"/>
      <c r="O21" s="43"/>
      <c r="P21" s="126"/>
      <c r="Q21" s="392" t="s">
        <v>113</v>
      </c>
      <c r="R21" s="393"/>
      <c r="S21" s="394">
        <v>42461</v>
      </c>
      <c r="T21" s="395"/>
      <c r="U21" s="159" t="s">
        <v>120</v>
      </c>
      <c r="V21" s="160">
        <f ca="1">ABS(S15-S21)</f>
        <v>111</v>
      </c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</row>
    <row r="22" spans="1:42" ht="15.75" thickBot="1">
      <c r="A22" s="28"/>
      <c r="B22" s="28"/>
      <c r="C22" s="28"/>
      <c r="D22" s="133">
        <v>0.41666666666666702</v>
      </c>
      <c r="E22" s="37"/>
      <c r="F22" s="37"/>
      <c r="G22" s="142"/>
      <c r="H22" s="28"/>
      <c r="I22" s="28"/>
      <c r="J22" s="28"/>
      <c r="K22" s="28"/>
      <c r="L22" s="43"/>
      <c r="M22" s="43"/>
      <c r="N22" s="43"/>
      <c r="O22" s="43"/>
      <c r="P22" s="126"/>
      <c r="Q22" s="392" t="s">
        <v>8</v>
      </c>
      <c r="R22" s="393"/>
      <c r="S22" s="394">
        <v>42552</v>
      </c>
      <c r="T22" s="395"/>
      <c r="U22" s="159" t="s">
        <v>120</v>
      </c>
      <c r="V22" s="160">
        <f ca="1">ABS(S15-S22)</f>
        <v>202</v>
      </c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</row>
    <row r="23" spans="1:42" ht="16.5" thickTop="1" thickBot="1">
      <c r="A23" s="28"/>
      <c r="B23" s="28"/>
      <c r="C23" s="28"/>
      <c r="D23" s="133">
        <v>0.4375</v>
      </c>
      <c r="E23" s="37"/>
      <c r="F23" s="142"/>
      <c r="G23" s="370" t="s">
        <v>85</v>
      </c>
      <c r="H23" s="371"/>
      <c r="I23" s="371"/>
      <c r="J23" s="368">
        <v>2016</v>
      </c>
      <c r="K23" s="28"/>
      <c r="L23" s="43"/>
      <c r="M23" s="43"/>
      <c r="N23" s="43"/>
      <c r="O23" s="43"/>
      <c r="P23" s="126"/>
      <c r="Q23" s="384" t="s">
        <v>83</v>
      </c>
      <c r="R23" s="385"/>
      <c r="S23" s="386">
        <v>43405</v>
      </c>
      <c r="T23" s="387"/>
      <c r="U23" s="161" t="s">
        <v>120</v>
      </c>
      <c r="V23" s="162">
        <f ca="1">ABS(S15-S23)</f>
        <v>1055</v>
      </c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</row>
    <row r="24" spans="1:42" ht="15.75" thickBot="1">
      <c r="A24" s="28"/>
      <c r="B24" s="28"/>
      <c r="C24" s="28"/>
      <c r="D24" s="133">
        <v>0.45833333333333298</v>
      </c>
      <c r="E24" s="37"/>
      <c r="F24" s="142"/>
      <c r="G24" s="372"/>
      <c r="H24" s="373"/>
      <c r="I24" s="373"/>
      <c r="J24" s="369"/>
      <c r="K24" s="28"/>
      <c r="L24" s="28"/>
      <c r="M24" s="28"/>
      <c r="N24" s="28"/>
      <c r="O24" s="28"/>
      <c r="P24" s="126"/>
      <c r="Q24" s="126"/>
      <c r="R24" s="126"/>
      <c r="S24" s="126"/>
      <c r="T24" s="126"/>
      <c r="U24" s="126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</row>
    <row r="25" spans="1:42" ht="15" customHeight="1" thickTop="1">
      <c r="A25" s="28"/>
      <c r="B25" s="28"/>
      <c r="C25" s="28"/>
      <c r="D25" s="133">
        <v>0.47916666666666702</v>
      </c>
      <c r="E25" s="37"/>
      <c r="F25" s="142"/>
      <c r="G25" s="37"/>
      <c r="H25" s="28"/>
      <c r="I25" s="28"/>
      <c r="J25" s="28"/>
      <c r="K25" s="144"/>
      <c r="L25" s="28"/>
      <c r="M25" s="28"/>
      <c r="N25" s="28"/>
      <c r="O25" s="28"/>
      <c r="P25" s="126"/>
      <c r="Q25" s="126"/>
      <c r="R25" s="126"/>
      <c r="S25" s="126"/>
      <c r="T25" s="126"/>
      <c r="U25" s="126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</row>
    <row r="26" spans="1:42" ht="14.1" customHeight="1">
      <c r="A26" s="28"/>
      <c r="B26" s="28"/>
      <c r="C26" s="28"/>
      <c r="D26" s="133">
        <v>0.5</v>
      </c>
      <c r="E26" s="37"/>
      <c r="F26" s="142"/>
      <c r="G26" s="37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</row>
    <row r="27" spans="1:42" ht="14.1" customHeight="1">
      <c r="A27" s="28"/>
      <c r="B27" s="28"/>
      <c r="C27" s="28"/>
      <c r="D27" s="133">
        <v>0.52083333333333304</v>
      </c>
      <c r="E27" s="37"/>
      <c r="F27" s="142"/>
      <c r="G27" s="37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</row>
    <row r="28" spans="1:42" ht="15" customHeight="1">
      <c r="A28" s="28"/>
      <c r="B28" s="28"/>
      <c r="C28" s="28"/>
      <c r="D28" s="133">
        <v>0.54166666666666696</v>
      </c>
      <c r="E28" s="37"/>
      <c r="F28" s="142"/>
      <c r="G28" s="37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</row>
    <row r="29" spans="1:42">
      <c r="A29" s="28"/>
      <c r="B29" s="28"/>
      <c r="C29" s="28"/>
      <c r="D29" s="133">
        <v>0.5625</v>
      </c>
      <c r="E29" s="37"/>
      <c r="F29" s="142"/>
      <c r="G29" s="37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</row>
    <row r="30" spans="1:42">
      <c r="A30" s="28"/>
      <c r="B30" s="28"/>
      <c r="C30" s="28"/>
      <c r="D30" s="133">
        <v>0.58333333333333304</v>
      </c>
      <c r="E30" s="37"/>
      <c r="F30" s="142"/>
      <c r="G30" s="37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</row>
    <row r="31" spans="1:42">
      <c r="A31" s="28"/>
      <c r="B31" s="28"/>
      <c r="C31" s="28"/>
      <c r="D31" s="133">
        <v>0.60416666666666696</v>
      </c>
      <c r="E31" s="37"/>
      <c r="F31" s="142"/>
      <c r="G31" s="37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</row>
    <row r="32" spans="1:42">
      <c r="A32" s="28"/>
      <c r="B32" s="28"/>
      <c r="C32" s="28"/>
      <c r="D32" s="133">
        <v>0.625</v>
      </c>
      <c r="E32" s="37"/>
      <c r="F32" s="142"/>
      <c r="G32" s="37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</row>
    <row r="33" spans="1:42">
      <c r="A33" s="28"/>
      <c r="B33" s="28"/>
      <c r="C33" s="28"/>
      <c r="D33" s="133">
        <v>0.64583333333333304</v>
      </c>
      <c r="E33" s="37"/>
      <c r="F33" s="142"/>
      <c r="G33" s="37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</row>
    <row r="34" spans="1:42">
      <c r="A34" s="28"/>
      <c r="B34" s="28"/>
      <c r="C34" s="28"/>
      <c r="D34" s="133">
        <v>0.66666666666666696</v>
      </c>
      <c r="E34" s="37"/>
      <c r="F34" s="142"/>
      <c r="G34" s="37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</row>
    <row r="35" spans="1:42">
      <c r="A35" s="28"/>
      <c r="B35" s="28"/>
      <c r="C35" s="28"/>
      <c r="D35" s="133">
        <v>0.6875</v>
      </c>
      <c r="E35" s="37"/>
      <c r="F35" s="142"/>
      <c r="G35" s="37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</row>
    <row r="36" spans="1:42">
      <c r="A36" s="28"/>
      <c r="B36" s="28"/>
      <c r="C36" s="28"/>
      <c r="D36" s="133">
        <v>0.70833333333333304</v>
      </c>
      <c r="E36" s="37"/>
      <c r="F36" s="142"/>
      <c r="G36" s="37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</row>
    <row r="37" spans="1:42">
      <c r="A37" s="28"/>
      <c r="B37" s="28"/>
      <c r="C37" s="28"/>
      <c r="D37" s="133">
        <v>0.72916666666666696</v>
      </c>
      <c r="E37" s="37"/>
      <c r="F37" s="142"/>
      <c r="G37" s="37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</row>
    <row r="38" spans="1:42">
      <c r="A38" s="28"/>
      <c r="B38" s="28"/>
      <c r="C38" s="28"/>
      <c r="D38" s="133">
        <v>0.75</v>
      </c>
      <c r="E38" s="37"/>
      <c r="F38" s="142"/>
      <c r="G38" s="37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</row>
    <row r="39" spans="1:42">
      <c r="A39" s="28"/>
      <c r="B39" s="28"/>
      <c r="C39" s="28"/>
      <c r="D39" s="133">
        <v>0.77083333333333304</v>
      </c>
      <c r="E39" s="37"/>
      <c r="F39" s="142"/>
      <c r="G39" s="37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</row>
    <row r="40" spans="1:42">
      <c r="A40" s="28"/>
      <c r="B40" s="28"/>
      <c r="C40" s="28"/>
      <c r="D40" s="133">
        <v>0.79166666666666696</v>
      </c>
      <c r="E40" s="37"/>
      <c r="F40" s="142"/>
      <c r="G40" s="37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</row>
    <row r="41" spans="1:42">
      <c r="A41" s="28"/>
      <c r="B41" s="28"/>
      <c r="C41" s="28"/>
      <c r="D41" s="133">
        <v>0.8125</v>
      </c>
      <c r="E41" s="37"/>
      <c r="F41" s="142"/>
      <c r="G41" s="37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</row>
    <row r="42" spans="1:42">
      <c r="A42" s="28"/>
      <c r="B42" s="28"/>
      <c r="C42" s="28"/>
      <c r="D42" s="133">
        <v>0.83333333333333304</v>
      </c>
      <c r="E42" s="37"/>
      <c r="F42" s="142"/>
      <c r="G42" s="37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</row>
    <row r="43" spans="1:42">
      <c r="A43" s="28"/>
      <c r="B43" s="28"/>
      <c r="C43" s="28"/>
      <c r="D43" s="133">
        <v>0.85416666666666696</v>
      </c>
      <c r="E43" s="37"/>
      <c r="F43" s="142"/>
      <c r="G43" s="37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</row>
    <row r="44" spans="1:42">
      <c r="A44" s="28"/>
      <c r="B44" s="28"/>
      <c r="C44" s="28"/>
      <c r="D44" s="133">
        <v>0.875</v>
      </c>
      <c r="E44" s="37"/>
      <c r="F44" s="142"/>
      <c r="G44" s="37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</row>
    <row r="45" spans="1:42">
      <c r="A45" s="28"/>
      <c r="B45" s="28"/>
      <c r="C45" s="28"/>
      <c r="D45" s="133">
        <v>0.89583333333333304</v>
      </c>
      <c r="E45" s="37"/>
      <c r="F45" s="142"/>
      <c r="G45" s="37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</row>
    <row r="46" spans="1:42">
      <c r="A46" s="28"/>
      <c r="B46" s="28"/>
      <c r="C46" s="28"/>
      <c r="D46" s="133">
        <v>0.91666666666666696</v>
      </c>
      <c r="E46" s="37"/>
      <c r="F46" s="142"/>
      <c r="G46" s="37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</row>
    <row r="47" spans="1:42">
      <c r="A47" s="28"/>
      <c r="B47" s="28"/>
      <c r="C47" s="28"/>
      <c r="D47" s="133">
        <v>0.9375</v>
      </c>
      <c r="E47" s="37"/>
      <c r="F47" s="142"/>
      <c r="G47" s="37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</row>
    <row r="48" spans="1:42">
      <c r="A48" s="28"/>
      <c r="B48" s="28"/>
      <c r="C48" s="28"/>
      <c r="D48" s="133">
        <v>0.95833333333333304</v>
      </c>
      <c r="E48" s="37"/>
      <c r="F48" s="142"/>
      <c r="G48" s="37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</row>
    <row r="49" spans="1:42">
      <c r="A49" s="28"/>
      <c r="B49" s="28"/>
      <c r="C49" s="28"/>
      <c r="D49" s="134">
        <v>0.97916666666666696</v>
      </c>
      <c r="E49" s="37"/>
      <c r="F49" s="142"/>
      <c r="G49" s="37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</row>
    <row r="50" spans="1:42">
      <c r="A50" s="28"/>
      <c r="B50" s="28"/>
      <c r="C50" s="28"/>
      <c r="D50" s="141"/>
      <c r="E50" s="37"/>
      <c r="F50" s="142"/>
      <c r="G50" s="37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</row>
    <row r="51" spans="1:42">
      <c r="A51" s="28"/>
      <c r="B51" s="28"/>
      <c r="C51" s="140"/>
      <c r="D51" s="140"/>
      <c r="E51" s="37"/>
      <c r="F51" s="142"/>
      <c r="G51" s="37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</row>
    <row r="52" spans="1:42">
      <c r="A52" s="28"/>
      <c r="B52" s="28"/>
      <c r="C52" s="140"/>
      <c r="D52" s="140"/>
      <c r="E52" s="37"/>
      <c r="F52" s="142"/>
      <c r="G52" s="37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</row>
    <row r="53" spans="1:42">
      <c r="A53" s="28"/>
      <c r="B53" s="28"/>
      <c r="C53" s="140"/>
      <c r="D53" s="140"/>
      <c r="E53" s="37"/>
      <c r="F53" s="142"/>
      <c r="G53" s="37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</row>
    <row r="54" spans="1:42">
      <c r="A54" s="28"/>
      <c r="B54" s="28"/>
      <c r="C54" s="140"/>
      <c r="D54" s="140"/>
      <c r="E54" s="37"/>
      <c r="F54" s="142"/>
      <c r="G54" s="37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</row>
    <row r="55" spans="1:42">
      <c r="A55" s="28"/>
      <c r="B55" s="28"/>
      <c r="C55" s="140"/>
      <c r="D55" s="140"/>
      <c r="E55" s="37"/>
      <c r="F55" s="142"/>
      <c r="G55" s="37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</row>
    <row r="56" spans="1:42">
      <c r="A56" s="28"/>
      <c r="B56" s="28"/>
      <c r="C56" s="140"/>
      <c r="D56" s="140"/>
      <c r="E56" s="37"/>
      <c r="F56" s="142"/>
      <c r="G56" s="37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</row>
    <row r="57" spans="1:42">
      <c r="A57" s="28"/>
      <c r="B57" s="28"/>
      <c r="C57" s="140"/>
      <c r="D57" s="140"/>
      <c r="E57" s="37"/>
      <c r="F57" s="142"/>
      <c r="G57" s="37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</row>
    <row r="58" spans="1:42">
      <c r="A58" s="28"/>
      <c r="B58" s="28"/>
      <c r="C58" s="140"/>
      <c r="D58" s="140"/>
      <c r="E58" s="37"/>
      <c r="F58" s="142"/>
      <c r="G58" s="37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</row>
    <row r="59" spans="1:42">
      <c r="A59" s="28"/>
      <c r="B59" s="28"/>
      <c r="C59" s="140"/>
      <c r="D59" s="140"/>
      <c r="E59" s="37"/>
      <c r="F59" s="142"/>
      <c r="G59" s="37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</row>
    <row r="60" spans="1:42">
      <c r="A60" s="28"/>
      <c r="B60" s="28"/>
      <c r="C60" s="140"/>
      <c r="D60" s="140"/>
      <c r="E60" s="37"/>
      <c r="F60" s="142"/>
      <c r="G60" s="37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</row>
    <row r="61" spans="1:42">
      <c r="A61" s="28"/>
      <c r="B61" s="28"/>
      <c r="C61" s="140"/>
      <c r="D61" s="140"/>
      <c r="E61" s="37"/>
      <c r="F61" s="142"/>
      <c r="G61" s="37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</row>
    <row r="62" spans="1:42">
      <c r="A62" s="28"/>
      <c r="B62" s="28"/>
      <c r="C62" s="140"/>
      <c r="D62" s="140"/>
      <c r="E62" s="37"/>
      <c r="F62" s="142"/>
      <c r="G62" s="37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</row>
    <row r="63" spans="1:42">
      <c r="A63" s="28"/>
      <c r="B63" s="28"/>
      <c r="C63" s="140"/>
      <c r="D63" s="140"/>
      <c r="E63" s="37"/>
      <c r="F63" s="142"/>
      <c r="G63" s="37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</row>
    <row r="64" spans="1:42">
      <c r="A64" s="28"/>
      <c r="B64" s="28"/>
      <c r="C64" s="140"/>
      <c r="D64" s="140"/>
      <c r="E64" s="37"/>
      <c r="F64" s="142"/>
      <c r="G64" s="37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</row>
    <row r="65" spans="1:42">
      <c r="A65" s="28"/>
      <c r="B65" s="28"/>
      <c r="C65" s="43"/>
      <c r="D65" s="39"/>
      <c r="E65" s="37"/>
      <c r="F65" s="142"/>
      <c r="G65" s="3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</row>
    <row r="66" spans="1:42">
      <c r="A66" s="28"/>
      <c r="B66" s="28"/>
      <c r="C66" s="28"/>
      <c r="D66" s="37"/>
      <c r="E66" s="37"/>
      <c r="F66" s="142"/>
      <c r="G66" s="37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</row>
    <row r="67" spans="1:42">
      <c r="A67" s="28"/>
      <c r="B67" s="28"/>
      <c r="C67" s="28"/>
      <c r="D67" s="37"/>
      <c r="E67" s="37"/>
      <c r="F67" s="142"/>
      <c r="G67" s="37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</row>
    <row r="68" spans="1:42">
      <c r="A68" s="28"/>
      <c r="B68" s="28"/>
      <c r="C68" s="28"/>
      <c r="D68" s="37"/>
      <c r="E68" s="37"/>
      <c r="F68" s="142"/>
      <c r="G68" s="37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</row>
    <row r="69" spans="1:42">
      <c r="A69" s="28"/>
      <c r="B69" s="28"/>
      <c r="C69" s="28"/>
      <c r="D69" s="37"/>
      <c r="E69" s="37"/>
      <c r="F69" s="142"/>
      <c r="G69" s="37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</row>
    <row r="70" spans="1:42">
      <c r="A70" s="28"/>
      <c r="B70" s="28"/>
      <c r="C70" s="28"/>
      <c r="D70" s="37"/>
      <c r="E70" s="37"/>
      <c r="F70" s="142"/>
      <c r="G70" s="37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</row>
  </sheetData>
  <sheetProtection selectLockedCells="1"/>
  <mergeCells count="16">
    <mergeCell ref="U19:V19"/>
    <mergeCell ref="G10:H10"/>
    <mergeCell ref="Q3:S4"/>
    <mergeCell ref="J23:J24"/>
    <mergeCell ref="G23:I24"/>
    <mergeCell ref="Q19:T19"/>
    <mergeCell ref="Q15:R16"/>
    <mergeCell ref="S15:T16"/>
    <mergeCell ref="Q23:R23"/>
    <mergeCell ref="S23:T23"/>
    <mergeCell ref="Q20:R20"/>
    <mergeCell ref="S20:T20"/>
    <mergeCell ref="Q21:R21"/>
    <mergeCell ref="S21:T21"/>
    <mergeCell ref="Q22:R22"/>
    <mergeCell ref="S22:T22"/>
  </mergeCells>
  <conditionalFormatting sqref="S20:S23">
    <cfRule type="expression" dxfId="2" priority="1" stopIfTrue="1">
      <formula>(S20:S23&lt;=TODAY()+120)*(S20:S23&lt;&gt;"")</formula>
    </cfRule>
    <cfRule type="expression" dxfId="1" priority="2" stopIfTrue="1">
      <formula>(S20:S23&lt;=TODAY()+180)*(S20:S23&lt;&gt;"")</formula>
    </cfRule>
    <cfRule type="expression" dxfId="0" priority="3" stopIfTrue="1">
      <formula>(S20:S23&lt;=TODAY()&gt;180)*(S20:S23&lt;&gt;"")</formula>
    </cfRule>
  </conditionalFormatting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le2" enableFormatConditionsCalculation="0">
    <tabColor theme="1"/>
  </sheetPr>
  <dimension ref="A1:AE147"/>
  <sheetViews>
    <sheetView zoomScale="90" zoomScaleNormal="90" zoomScalePageLayoutView="90" workbookViewId="0">
      <selection activeCell="J18" sqref="J18"/>
    </sheetView>
  </sheetViews>
  <sheetFormatPr baseColWidth="10" defaultColWidth="10.85546875" defaultRowHeight="15"/>
  <cols>
    <col min="1" max="16384" width="10.85546875" style="89"/>
  </cols>
  <sheetData>
    <row r="1" spans="1:31" ht="15" customHeight="1" thickBot="1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2"/>
      <c r="V1" s="42"/>
      <c r="W1" s="43"/>
      <c r="X1" s="43"/>
      <c r="Y1" s="43"/>
      <c r="Z1" s="43"/>
      <c r="AA1" s="43"/>
      <c r="AB1" s="43"/>
      <c r="AC1" s="43"/>
      <c r="AD1" s="43"/>
      <c r="AE1" s="43"/>
    </row>
    <row r="2" spans="1:31" ht="15.95" customHeight="1" thickTop="1">
      <c r="A2" s="43"/>
      <c r="B2" s="43"/>
      <c r="C2" s="43"/>
      <c r="D2" s="43"/>
      <c r="E2" s="43"/>
      <c r="F2" s="43"/>
      <c r="G2" s="43"/>
      <c r="H2" s="90"/>
      <c r="I2" s="43"/>
      <c r="J2" s="402" t="s">
        <v>131</v>
      </c>
      <c r="K2" s="403"/>
      <c r="L2" s="403"/>
      <c r="M2" s="403"/>
      <c r="N2" s="403"/>
      <c r="O2" s="404"/>
      <c r="P2" s="43"/>
      <c r="Q2" s="43"/>
      <c r="R2" s="43"/>
      <c r="S2" s="43"/>
      <c r="T2" s="43"/>
      <c r="U2" s="415" t="s">
        <v>114</v>
      </c>
      <c r="V2" s="416"/>
      <c r="W2" s="43"/>
      <c r="X2" s="43"/>
      <c r="Y2" s="43"/>
      <c r="Z2" s="43"/>
      <c r="AA2" s="43"/>
      <c r="AB2" s="43"/>
      <c r="AC2" s="43"/>
      <c r="AD2" s="43"/>
      <c r="AE2" s="43"/>
    </row>
    <row r="3" spans="1:31">
      <c r="A3" s="43"/>
      <c r="B3" s="43"/>
      <c r="C3" s="43"/>
      <c r="D3" s="43"/>
      <c r="E3" s="43"/>
      <c r="F3" s="43"/>
      <c r="G3" s="43"/>
      <c r="H3" s="90"/>
      <c r="I3" s="43"/>
      <c r="J3" s="405"/>
      <c r="K3" s="406"/>
      <c r="L3" s="406"/>
      <c r="M3" s="406"/>
      <c r="N3" s="406"/>
      <c r="O3" s="407"/>
      <c r="P3" s="43"/>
      <c r="Q3" s="43"/>
      <c r="R3" s="43"/>
      <c r="S3" s="43"/>
      <c r="T3" s="43"/>
      <c r="U3" s="411" t="s">
        <v>115</v>
      </c>
      <c r="V3" s="412"/>
      <c r="W3" s="43"/>
      <c r="X3" s="43"/>
      <c r="Y3" s="43"/>
      <c r="Z3" s="43"/>
      <c r="AA3" s="43"/>
      <c r="AB3" s="43"/>
      <c r="AC3" s="43"/>
      <c r="AD3" s="43"/>
      <c r="AE3" s="43"/>
    </row>
    <row r="4" spans="1:31">
      <c r="A4" s="43"/>
      <c r="B4" s="43"/>
      <c r="C4" s="43"/>
      <c r="D4" s="43"/>
      <c r="E4" s="43"/>
      <c r="F4" s="43"/>
      <c r="G4" s="43"/>
      <c r="H4" s="90"/>
      <c r="I4" s="43"/>
      <c r="J4" s="405"/>
      <c r="K4" s="406"/>
      <c r="L4" s="406"/>
      <c r="M4" s="406"/>
      <c r="N4" s="406"/>
      <c r="O4" s="407"/>
      <c r="P4" s="43"/>
      <c r="Q4" s="43"/>
      <c r="R4" s="43"/>
      <c r="S4" s="43"/>
      <c r="T4" s="43"/>
      <c r="U4" s="413" t="s">
        <v>116</v>
      </c>
      <c r="V4" s="414"/>
      <c r="W4" s="43"/>
      <c r="X4" s="43"/>
      <c r="Y4" s="43"/>
      <c r="Z4" s="43"/>
      <c r="AA4" s="43"/>
      <c r="AB4" s="43"/>
      <c r="AC4" s="43"/>
      <c r="AD4" s="43"/>
      <c r="AE4" s="43"/>
    </row>
    <row r="5" spans="1:31">
      <c r="A5" s="43"/>
      <c r="B5" s="177"/>
      <c r="C5" s="177"/>
      <c r="D5" s="177"/>
      <c r="E5" s="177"/>
      <c r="F5" s="43"/>
      <c r="G5" s="43"/>
      <c r="H5" s="90"/>
      <c r="I5" s="43"/>
      <c r="J5" s="405"/>
      <c r="K5" s="406"/>
      <c r="L5" s="406"/>
      <c r="M5" s="406"/>
      <c r="N5" s="406"/>
      <c r="O5" s="407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</row>
    <row r="6" spans="1:31" ht="15" customHeight="1">
      <c r="A6" s="43"/>
      <c r="B6" s="40"/>
      <c r="C6" s="40"/>
      <c r="D6" s="40"/>
      <c r="E6" s="40"/>
      <c r="F6" s="43"/>
      <c r="G6" s="43"/>
      <c r="H6" s="90"/>
      <c r="I6" s="43"/>
      <c r="J6" s="405"/>
      <c r="K6" s="406"/>
      <c r="L6" s="406"/>
      <c r="M6" s="406"/>
      <c r="N6" s="406"/>
      <c r="O6" s="407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</row>
    <row r="7" spans="1:31">
      <c r="A7" s="43"/>
      <c r="B7" s="43"/>
      <c r="C7" s="43"/>
      <c r="D7" s="43"/>
      <c r="E7" s="43"/>
      <c r="F7" s="43"/>
      <c r="G7" s="43"/>
      <c r="H7" s="90"/>
      <c r="I7" s="43"/>
      <c r="J7" s="405"/>
      <c r="K7" s="406"/>
      <c r="L7" s="406"/>
      <c r="M7" s="406"/>
      <c r="N7" s="406"/>
      <c r="O7" s="407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</row>
    <row r="8" spans="1:31" ht="15.75" thickBot="1">
      <c r="A8" s="43"/>
      <c r="B8" s="43"/>
      <c r="C8" s="43"/>
      <c r="D8" s="43"/>
      <c r="E8" s="43"/>
      <c r="F8" s="43"/>
      <c r="G8" s="43"/>
      <c r="H8" s="90"/>
      <c r="I8" s="43"/>
      <c r="J8" s="405"/>
      <c r="K8" s="406"/>
      <c r="L8" s="406"/>
      <c r="M8" s="406"/>
      <c r="N8" s="406"/>
      <c r="O8" s="407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</row>
    <row r="9" spans="1:31">
      <c r="A9" s="43"/>
      <c r="B9" s="417" t="s">
        <v>109</v>
      </c>
      <c r="C9" s="418"/>
      <c r="D9" s="418"/>
      <c r="E9" s="419"/>
      <c r="F9" s="43"/>
      <c r="G9" s="43"/>
      <c r="H9" s="90"/>
      <c r="I9" s="43"/>
      <c r="J9" s="405"/>
      <c r="K9" s="406"/>
      <c r="L9" s="406"/>
      <c r="M9" s="406"/>
      <c r="N9" s="406"/>
      <c r="O9" s="407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</row>
    <row r="10" spans="1:31" ht="15.75" thickBot="1">
      <c r="A10" s="43"/>
      <c r="B10" s="420"/>
      <c r="C10" s="421"/>
      <c r="D10" s="421"/>
      <c r="E10" s="422"/>
      <c r="F10" s="43"/>
      <c r="G10" s="43"/>
      <c r="H10" s="90"/>
      <c r="I10" s="43"/>
      <c r="J10" s="405"/>
      <c r="K10" s="406"/>
      <c r="L10" s="406"/>
      <c r="M10" s="406"/>
      <c r="N10" s="406"/>
      <c r="O10" s="407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</row>
    <row r="11" spans="1:31" ht="15" customHeight="1">
      <c r="A11" s="43"/>
      <c r="B11" s="423" t="s">
        <v>123</v>
      </c>
      <c r="C11" s="424"/>
      <c r="D11" s="424"/>
      <c r="E11" s="425"/>
      <c r="F11" s="43"/>
      <c r="G11" s="43"/>
      <c r="H11" s="90"/>
      <c r="I11" s="43"/>
      <c r="J11" s="405"/>
      <c r="K11" s="406"/>
      <c r="L11" s="406"/>
      <c r="M11" s="406"/>
      <c r="N11" s="406"/>
      <c r="O11" s="407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</row>
    <row r="12" spans="1:31" ht="15.75" thickBot="1">
      <c r="A12" s="43"/>
      <c r="B12" s="426" t="s">
        <v>124</v>
      </c>
      <c r="C12" s="427"/>
      <c r="D12" s="427"/>
      <c r="E12" s="428"/>
      <c r="F12" s="43"/>
      <c r="G12" s="43"/>
      <c r="H12" s="90"/>
      <c r="I12" s="43"/>
      <c r="J12" s="405"/>
      <c r="K12" s="406"/>
      <c r="L12" s="406"/>
      <c r="M12" s="406"/>
      <c r="N12" s="406"/>
      <c r="O12" s="407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</row>
    <row r="13" spans="1:31" ht="15.75" thickBot="1">
      <c r="A13" s="43"/>
      <c r="B13" s="43"/>
      <c r="C13" s="43"/>
      <c r="D13" s="43"/>
      <c r="E13" s="43"/>
      <c r="F13" s="43"/>
      <c r="G13" s="43"/>
      <c r="H13" s="90"/>
      <c r="I13" s="43"/>
      <c r="J13" s="405"/>
      <c r="K13" s="406"/>
      <c r="L13" s="406"/>
      <c r="M13" s="406"/>
      <c r="N13" s="406"/>
      <c r="O13" s="407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</row>
    <row r="14" spans="1:31" ht="15.75" thickBot="1">
      <c r="A14" s="43"/>
      <c r="B14" s="429" t="s">
        <v>126</v>
      </c>
      <c r="C14" s="430"/>
      <c r="D14" s="430"/>
      <c r="E14" s="431"/>
      <c r="F14" s="43"/>
      <c r="G14" s="43"/>
      <c r="H14" s="90"/>
      <c r="I14" s="43"/>
      <c r="J14" s="408"/>
      <c r="K14" s="409"/>
      <c r="L14" s="409"/>
      <c r="M14" s="409"/>
      <c r="N14" s="409"/>
      <c r="O14" s="410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</row>
    <row r="15" spans="1:31">
      <c r="A15" s="43"/>
      <c r="B15" s="90"/>
      <c r="C15" s="90"/>
      <c r="D15" s="90"/>
      <c r="E15" s="90"/>
      <c r="F15" s="90"/>
      <c r="G15" s="90"/>
      <c r="H15" s="90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</row>
    <row r="16" spans="1:31">
      <c r="A16" s="43"/>
      <c r="B16" s="90"/>
      <c r="C16" s="90"/>
      <c r="D16" s="90"/>
      <c r="E16" s="90"/>
      <c r="F16" s="90"/>
      <c r="G16" s="90"/>
      <c r="H16" s="90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</row>
    <row r="17" spans="1:31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</row>
    <row r="18" spans="1:31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</row>
    <row r="19" spans="1:3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</row>
    <row r="20" spans="1:31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</row>
    <row r="21" spans="1:31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</row>
    <row r="22" spans="1:31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</row>
    <row r="23" spans="1:31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</row>
    <row r="24" spans="1:31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</row>
    <row r="25" spans="1:31" ht="15.75" thickBot="1">
      <c r="A25" s="43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</row>
    <row r="26" spans="1:31">
      <c r="A26" s="43"/>
      <c r="B26" s="43"/>
      <c r="C26" s="43"/>
      <c r="D26" s="43"/>
      <c r="E26" s="43"/>
      <c r="F26" s="43"/>
      <c r="G26" s="43"/>
      <c r="H26" s="43"/>
      <c r="I26" s="432" t="s">
        <v>130</v>
      </c>
      <c r="J26" s="433"/>
      <c r="K26" s="433"/>
      <c r="L26" s="433"/>
      <c r="M26" s="433"/>
      <c r="N26" s="433"/>
      <c r="O26" s="433"/>
      <c r="P26" s="434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</row>
    <row r="27" spans="1:31">
      <c r="A27" s="43"/>
      <c r="B27" s="43"/>
      <c r="C27" s="43"/>
      <c r="D27" s="43"/>
      <c r="E27" s="43"/>
      <c r="F27" s="43"/>
      <c r="G27" s="43"/>
      <c r="H27" s="43"/>
      <c r="I27" s="435"/>
      <c r="J27" s="436"/>
      <c r="K27" s="436"/>
      <c r="L27" s="436"/>
      <c r="M27" s="436"/>
      <c r="N27" s="436"/>
      <c r="O27" s="436"/>
      <c r="P27" s="437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</row>
    <row r="28" spans="1:31" ht="15.75" thickBot="1">
      <c r="A28" s="43"/>
      <c r="B28" s="43"/>
      <c r="C28" s="43"/>
      <c r="D28" s="43"/>
      <c r="E28" s="43"/>
      <c r="F28" s="43"/>
      <c r="G28" s="43"/>
      <c r="H28" s="43"/>
      <c r="I28" s="438"/>
      <c r="J28" s="439"/>
      <c r="K28" s="439"/>
      <c r="L28" s="439"/>
      <c r="M28" s="439"/>
      <c r="N28" s="439"/>
      <c r="O28" s="439"/>
      <c r="P28" s="440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</row>
    <row r="29" spans="1:31">
      <c r="A29" s="43"/>
      <c r="B29" s="43"/>
      <c r="C29" s="43"/>
      <c r="D29" s="43"/>
      <c r="E29" s="43"/>
      <c r="F29" s="43"/>
      <c r="G29" s="43"/>
      <c r="H29" s="43"/>
      <c r="I29" s="396"/>
      <c r="J29" s="397"/>
      <c r="K29" s="397"/>
      <c r="L29" s="397"/>
      <c r="M29" s="397"/>
      <c r="N29" s="397"/>
      <c r="O29" s="397"/>
      <c r="P29" s="398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</row>
    <row r="30" spans="1:31" ht="15.75" thickBot="1">
      <c r="A30" s="43"/>
      <c r="B30" s="43"/>
      <c r="C30" s="43"/>
      <c r="D30" s="43"/>
      <c r="E30" s="43"/>
      <c r="F30" s="43"/>
      <c r="G30" s="43"/>
      <c r="H30" s="43"/>
      <c r="I30" s="399"/>
      <c r="J30" s="400"/>
      <c r="K30" s="400"/>
      <c r="L30" s="400"/>
      <c r="M30" s="400"/>
      <c r="N30" s="400"/>
      <c r="O30" s="400"/>
      <c r="P30" s="401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</row>
    <row r="31" spans="1:31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</row>
    <row r="32" spans="1:3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</row>
    <row r="33" spans="1:31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</row>
    <row r="34" spans="1:31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</row>
    <row r="35" spans="1:31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</row>
    <row r="36" spans="1:31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</row>
    <row r="37" spans="1:31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</row>
    <row r="38" spans="1:31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</row>
    <row r="39" spans="1:31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</row>
    <row r="40" spans="1:31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</row>
    <row r="41" spans="1:31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</row>
    <row r="42" spans="1:31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</row>
    <row r="43" spans="1:31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</row>
    <row r="44" spans="1:31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</row>
    <row r="45" spans="1:31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</row>
    <row r="46" spans="1:31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</row>
    <row r="47" spans="1:31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</row>
    <row r="48" spans="1:31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</row>
    <row r="49" spans="1:31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</row>
    <row r="50" spans="1:31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</row>
    <row r="51" spans="1:31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</row>
    <row r="52" spans="1:31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</row>
    <row r="53" spans="1:31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</row>
    <row r="54" spans="1:31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</row>
    <row r="55" spans="1:31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</row>
    <row r="56" spans="1:31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</row>
    <row r="57" spans="1:31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</row>
    <row r="58" spans="1:31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</row>
    <row r="59" spans="1:31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</row>
    <row r="60" spans="1:31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</row>
    <row r="61" spans="1:31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</row>
    <row r="62" spans="1:31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</row>
    <row r="63" spans="1:31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</row>
    <row r="64" spans="1:31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</row>
    <row r="65" spans="1:31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</row>
    <row r="66" spans="1:31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</row>
    <row r="67" spans="1:31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</row>
    <row r="68" spans="1:31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</row>
    <row r="69" spans="1:31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</row>
    <row r="70" spans="1:31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</row>
    <row r="71" spans="1:31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</row>
    <row r="72" spans="1:31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</row>
    <row r="73" spans="1:31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</row>
    <row r="74" spans="1:31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</row>
    <row r="75" spans="1:31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</row>
    <row r="76" spans="1:31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</row>
    <row r="77" spans="1:31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</row>
    <row r="78" spans="1:31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</row>
    <row r="79" spans="1:31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</row>
    <row r="80" spans="1:31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</row>
    <row r="81" spans="1:31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</row>
    <row r="82" spans="1:31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</row>
    <row r="83" spans="1:31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</row>
    <row r="84" spans="1:31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</row>
    <row r="85" spans="1:31">
      <c r="A85" s="43"/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</row>
    <row r="86" spans="1:31">
      <c r="A86" s="43"/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</row>
    <row r="87" spans="1:31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</row>
    <row r="88" spans="1:31">
      <c r="A88" s="43"/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</row>
    <row r="89" spans="1:31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</row>
    <row r="90" spans="1:31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</row>
    <row r="91" spans="1:31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</row>
    <row r="92" spans="1:31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</row>
    <row r="93" spans="1:31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</row>
    <row r="94" spans="1:31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</row>
    <row r="95" spans="1:31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</row>
    <row r="96" spans="1:31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</row>
    <row r="97" spans="1:31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1:31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</row>
    <row r="99" spans="1:31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</row>
    <row r="100" spans="1:31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</row>
    <row r="101" spans="1:31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</row>
    <row r="102" spans="1:31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</row>
    <row r="103" spans="1:31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</row>
    <row r="104" spans="1:31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</row>
    <row r="105" spans="1:31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</row>
    <row r="106" spans="1:31">
      <c r="A106" s="43"/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</row>
    <row r="107" spans="1:31">
      <c r="A107" s="43"/>
      <c r="B107" s="43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</row>
    <row r="108" spans="1:31">
      <c r="A108" s="43"/>
      <c r="B108" s="43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</row>
    <row r="109" spans="1:31">
      <c r="A109" s="43"/>
      <c r="B109" s="43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</row>
    <row r="110" spans="1:31">
      <c r="A110" s="43"/>
      <c r="B110" s="43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</row>
    <row r="111" spans="1:31">
      <c r="A111" s="43"/>
      <c r="B111" s="43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</row>
    <row r="112" spans="1:31">
      <c r="A112" s="43"/>
      <c r="B112" s="43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</row>
    <row r="113" spans="1:31">
      <c r="A113" s="43"/>
      <c r="B113" s="43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</row>
    <row r="114" spans="1:31">
      <c r="A114" s="43"/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</row>
    <row r="115" spans="1:31">
      <c r="A115" s="43"/>
      <c r="B115" s="43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</row>
    <row r="116" spans="1:3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</row>
    <row r="117" spans="1:3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</row>
    <row r="118" spans="1:3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</row>
    <row r="119" spans="1:31">
      <c r="A119" s="43"/>
      <c r="B119" s="43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</row>
    <row r="120" spans="1:31">
      <c r="A120" s="43"/>
      <c r="B120" s="43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</row>
    <row r="121" spans="1:31">
      <c r="A121" s="43"/>
      <c r="B121" s="43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</row>
    <row r="122" spans="1:31">
      <c r="A122" s="43"/>
      <c r="B122" s="43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</row>
    <row r="123" spans="1:31">
      <c r="A123" s="43"/>
      <c r="B123" s="43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</row>
    <row r="124" spans="1:31">
      <c r="A124" s="43"/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</row>
    <row r="125" spans="1:31">
      <c r="A125" s="43"/>
      <c r="B125" s="43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</row>
    <row r="126" spans="1:3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</row>
    <row r="127" spans="1:3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</row>
    <row r="128" spans="1:3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</row>
    <row r="129" spans="1:3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</row>
    <row r="130" spans="1:3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</row>
    <row r="131" spans="1:3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</row>
    <row r="132" spans="1:3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</row>
    <row r="133" spans="1:3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</row>
    <row r="134" spans="1:3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</row>
    <row r="135" spans="1:3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</row>
    <row r="136" spans="1:3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</row>
    <row r="137" spans="1:3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</row>
    <row r="138" spans="1:3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</row>
    <row r="139" spans="1:3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</row>
    <row r="140" spans="1:3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</row>
    <row r="141" spans="1:3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</row>
    <row r="142" spans="1:3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</row>
    <row r="143" spans="1:3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</row>
    <row r="144" spans="1:3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</row>
    <row r="145" spans="1:3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</row>
    <row r="146" spans="1:3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</row>
    <row r="147" spans="1:3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</row>
  </sheetData>
  <sheetProtection selectLockedCells="1" selectUnlockedCells="1"/>
  <mergeCells count="10">
    <mergeCell ref="B9:E10"/>
    <mergeCell ref="B11:E11"/>
    <mergeCell ref="B12:E12"/>
    <mergeCell ref="B14:E14"/>
    <mergeCell ref="I26:P28"/>
    <mergeCell ref="I29:P30"/>
    <mergeCell ref="J2:O14"/>
    <mergeCell ref="U3:V3"/>
    <mergeCell ref="U4:V4"/>
    <mergeCell ref="U2:V2"/>
  </mergeCells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Janvier</vt:lpstr>
      <vt:lpstr>Stats année</vt:lpstr>
      <vt:lpstr>Réglages</vt:lpstr>
      <vt:lpstr>Aide et remerciements</vt:lpstr>
      <vt:lpstr>An</vt:lpstr>
      <vt:lpstr>Fériés</vt:lpstr>
      <vt:lpstr>Paques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Olivier</cp:lastModifiedBy>
  <dcterms:created xsi:type="dcterms:W3CDTF">2015-10-25T17:19:21Z</dcterms:created>
  <dcterms:modified xsi:type="dcterms:W3CDTF">2015-12-12T14:52:55Z</dcterms:modified>
</cp:coreProperties>
</file>