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hidePivotFieldList="1" defaultThemeVersion="124226"/>
  <bookViews>
    <workbookView xWindow="600" yWindow="180" windowWidth="17715" windowHeight="10740" tabRatio="907" firstSheet="5" activeTab="6"/>
  </bookViews>
  <sheets>
    <sheet name="Chantier" sheetId="2" state="hidden" r:id="rId1"/>
    <sheet name="Tâches" sheetId="42" state="hidden" r:id="rId2"/>
    <sheet name="Personnel" sheetId="3" state="hidden" r:id="rId3"/>
    <sheet name="MatL" sheetId="4" state="hidden" r:id="rId4"/>
    <sheet name="MatX" sheetId="5" state="hidden" r:id="rId5"/>
    <sheet name="BD" sheetId="7" r:id="rId6"/>
    <sheet name="SAISIE" sheetId="12" r:id="rId7"/>
    <sheet name="Impression" sheetId="24" r:id="rId8"/>
    <sheet name="Annexe" sheetId="45" state="hidden" r:id="rId9"/>
  </sheets>
  <externalReferences>
    <externalReference r:id="rId10"/>
  </externalReferences>
  <definedNames>
    <definedName name="_xlnm._FilterDatabase" localSheetId="5" hidden="1">BD!$A$1:$R$1</definedName>
    <definedName name="_xlnm._FilterDatabase" localSheetId="0" hidden="1">Chantier!#REF!</definedName>
    <definedName name="Annexe_Tarif_Code">Annexe_tarif[[#All],[code matériel]]</definedName>
    <definedName name="Annexe_tarif_cout">Annexe_tarif[[#All],[coût]]</definedName>
    <definedName name="Annexe_Tarif_unité">Annexe_tarif[[#All],[Unité]]</definedName>
    <definedName name="BD_Année">BD[Année]</definedName>
    <definedName name="BD_Centre1">BD[Centre1]</definedName>
    <definedName name="BD_Centre2">BD[Centre2]</definedName>
    <definedName name="BD_Chantier">BD[Chantier]</definedName>
    <definedName name="BD_Code">BD[Code]</definedName>
    <definedName name="BD_Coût_total">BD[Coût total]</definedName>
    <definedName name="BD_CoûtU">BD[Coût U]</definedName>
    <definedName name="BD_Date">BD[Date]</definedName>
    <definedName name="BD_etpannuel">BD[etp annuel]</definedName>
    <definedName name="BD_Libellé">BD[Libellé]</definedName>
    <definedName name="BD_Mois">BD[Mois]</definedName>
    <definedName name="BD_num">BD[N°]</definedName>
    <definedName name="BD_Qté">BD[Qté]</definedName>
    <definedName name="BD_Tâches">BD[Tâches]</definedName>
    <definedName name="BD_TâchesLib">BD[Tâches + lib]</definedName>
    <definedName name="BD_Type">BD[Type]</definedName>
    <definedName name="BD_Unité">BD[Unité]</definedName>
    <definedName name="BD_UT">BD[UT]</definedName>
    <definedName name="Chantier_Centre1" comment="Centre d'origine">Table_Chantiers[Centre 1]</definedName>
    <definedName name="Chantier_Centre2" comment="Centre de destination">Table_Chantiers[Centre 2]</definedName>
    <definedName name="Chantier_Code">Table_Chantiers[[Code ]]</definedName>
    <definedName name="Chantier_Lib">Table_Chantiers[Libellé]</definedName>
    <definedName name="Chantier_UT" comment="UT d'origine">Table_Chantiers[UT]</definedName>
    <definedName name="Code_chantier">[1]!Table_Chantiers[[Code ]]</definedName>
    <definedName name="Code_MatL" localSheetId="7">Table_MatL[Code]</definedName>
    <definedName name="Code_MatL">[1]!Table_MatL[Code]</definedName>
    <definedName name="Code_MatX" localSheetId="7">Table_MatX[Code]</definedName>
    <definedName name="Code_MatX">[1]!Table_MatX[Code]</definedName>
    <definedName name="Code_Personnel" localSheetId="7">Table_Personnel[Code]</definedName>
    <definedName name="Code_Personnel">[1]!Table_Personnel[Code]</definedName>
    <definedName name="Code_Tâches">#REF!</definedName>
    <definedName name="Coût_MatL" localSheetId="7">Table_MatL[Coût]</definedName>
    <definedName name="Coût_MatL">[1]!Table_MatL[Coût]</definedName>
    <definedName name="CoûtH_Personnel" localSheetId="7">Table_Personnel[Coût H]</definedName>
    <definedName name="CoûtH_Personnel">[1]!Table_Personnel[Coût H]</definedName>
    <definedName name="CoûtJ_Personnel" localSheetId="7">Table_Personnel[Coût J]</definedName>
    <definedName name="CoûtJ_Personnel">[1]!Table_Personnel[Coût J]</definedName>
    <definedName name="_xlnm.Print_Titles" localSheetId="5">BD!$1:$1</definedName>
    <definedName name="_xlnm.Print_Titles" localSheetId="0">Chantier!$1:$1</definedName>
    <definedName name="_xlnm.Print_Titles" localSheetId="3">MatL!$1:$1</definedName>
    <definedName name="_xlnm.Print_Titles" localSheetId="1">Tâches!$1:$1</definedName>
    <definedName name="Lib_chantier">[1]!Table_Chantiers[Libellé]</definedName>
    <definedName name="Lib_MatL" localSheetId="7">Table_MatL[Libellé]</definedName>
    <definedName name="Lib_MatL">[1]!Table_MatL[Libellé]</definedName>
    <definedName name="Lib_MatX" localSheetId="7">Table_MatX[[Libellé ]]</definedName>
    <definedName name="Lib_MatX">[1]!Table_MatX[[Libellé ]]</definedName>
    <definedName name="Lib_Personnel" localSheetId="7">Table_Personnel[Libellé]</definedName>
    <definedName name="Lib_Personnel">[1]!Table_Personnel[Libellé]</definedName>
    <definedName name="Lib_Tâches">#REF!</definedName>
    <definedName name="ll">Table_MatX[Unité]</definedName>
    <definedName name="MatL_Code">Table_MatL[Code]</definedName>
    <definedName name="MatL_Coût">Table_MatL[Coût]</definedName>
    <definedName name="MatL_fermé">Table_MatL[Fermé]</definedName>
    <definedName name="MatL_Lib">Table_MatL[Libellé]</definedName>
    <definedName name="MatL_Type">Table_MatL[Type]</definedName>
    <definedName name="MatL_Unite">Table_MatL[U]</definedName>
    <definedName name="MatX_Code">Table_MatX[Code]</definedName>
    <definedName name="MatX_Lib">Table_MatX[[Libellé ]]</definedName>
    <definedName name="MatX_Prix">Table_MatX[Px unitaire]</definedName>
    <definedName name="MatX_Unite">Table_MatX[Unité]</definedName>
    <definedName name="param_no_ligne">#REF!</definedName>
    <definedName name="Personnel_Cat">#REF!</definedName>
    <definedName name="Personnel_Code">Table_Personnel[Code]</definedName>
    <definedName name="Personnel_CoûtH">Table_Personnel[Coût H]</definedName>
    <definedName name="Personnel_CoûtJ">Table_Personnel[Coût J]</definedName>
    <definedName name="Personnel_Lib">Table_Personnel[Libellé]</definedName>
    <definedName name="Prix_MatX" localSheetId="7">Table_MatX[Px unitaire]</definedName>
    <definedName name="Prix_MatX">[1]!Table_MatX[Px unitaire]</definedName>
    <definedName name="Tâches_Code">Table_Tâches[Code]</definedName>
    <definedName name="Tâches_CodeETLib">Table_Tâches[Code+Lib]</definedName>
    <definedName name="Tâches_Lib">Table_Tâches[Libellé]</definedName>
    <definedName name="testouille">OFFSET(BD!$B$1,1,0,COUNTA(BD!$A:$A)-1,1)</definedName>
    <definedName name="Unite_MatL" localSheetId="7">Table_MatL[U]</definedName>
    <definedName name="Unite_MatL">[1]!Table_MatL[U]</definedName>
    <definedName name="Unite_MatX" localSheetId="7">Table_MatX[Unité]</definedName>
    <definedName name="Unite_MatX">[1]!Table_MatX[Unité]</definedName>
    <definedName name="_xlnm.Print_Area" localSheetId="5">BD!$A$1:$V$18</definedName>
    <definedName name="_xlnm.Print_Area" localSheetId="0">Chantier!$A$1:$F$54</definedName>
    <definedName name="_xlnm.Print_Area" localSheetId="7">Impression!#REF!</definedName>
    <definedName name="_xlnm.Print_Area" localSheetId="3">MatL!$A$1:$E$183</definedName>
    <definedName name="_xlnm.Print_Area" localSheetId="4">Table_MatX[#All]</definedName>
    <definedName name="_xlnm.Print_Area" localSheetId="2">Personnel!$A$1:$F$7</definedName>
    <definedName name="_xlnm.Print_Area" localSheetId="6">SAISIE!$B$25:$I$53</definedName>
    <definedName name="_xlnm.Print_Area" localSheetId="1">Table_Tâches[#All]</definedName>
  </definedNames>
  <calcPr calcId="125725"/>
</workbook>
</file>

<file path=xl/calcChain.xml><?xml version="1.0" encoding="utf-8"?>
<calcChain xmlns="http://schemas.openxmlformats.org/spreadsheetml/2006/main">
  <c r="K20" i="7"/>
  <c r="L20"/>
  <c r="M20"/>
  <c r="N20"/>
  <c r="O20"/>
  <c r="P20"/>
  <c r="Q20"/>
  <c r="H20" s="1"/>
  <c r="R20"/>
  <c r="K19"/>
  <c r="L19"/>
  <c r="M19"/>
  <c r="N19"/>
  <c r="O19"/>
  <c r="P19"/>
  <c r="Q19"/>
  <c r="H19" s="1"/>
  <c r="R19"/>
  <c r="K18"/>
  <c r="L18"/>
  <c r="M18"/>
  <c r="N18"/>
  <c r="O18"/>
  <c r="P18"/>
  <c r="Q18"/>
  <c r="H18" s="1"/>
  <c r="R18"/>
  <c r="R17"/>
  <c r="Q17"/>
  <c r="H17" s="1"/>
  <c r="I17" s="1"/>
  <c r="P17"/>
  <c r="O17"/>
  <c r="N17"/>
  <c r="M17"/>
  <c r="L17"/>
  <c r="K17"/>
  <c r="I20" l="1"/>
  <c r="J20"/>
  <c r="I19"/>
  <c r="J19"/>
  <c r="J17"/>
  <c r="I18"/>
  <c r="J18"/>
  <c r="D16" i="42"/>
  <c r="D17"/>
  <c r="D176" i="4" l="1"/>
  <c r="C176" s="1"/>
  <c r="E176" l="1"/>
  <c r="D97" l="1"/>
  <c r="C97" s="1"/>
  <c r="E97" l="1"/>
  <c r="D121" l="1"/>
  <c r="C121" s="1"/>
  <c r="D50"/>
  <c r="C50" s="1"/>
  <c r="E121" l="1"/>
  <c r="E50"/>
  <c r="D38" l="1"/>
  <c r="E38" s="1"/>
  <c r="C38" l="1"/>
  <c r="D146" l="1"/>
  <c r="C146" s="1"/>
  <c r="D142"/>
  <c r="C142" s="1"/>
  <c r="E146" l="1"/>
  <c r="E142"/>
  <c r="D99" l="1"/>
  <c r="E99" s="1"/>
  <c r="C99" l="1"/>
  <c r="D89"/>
  <c r="C89" s="1"/>
  <c r="D74"/>
  <c r="E74" s="1"/>
  <c r="E89" l="1"/>
  <c r="C74"/>
  <c r="D18" l="1"/>
  <c r="E18" s="1"/>
  <c r="C18" l="1"/>
  <c r="D90" l="1"/>
  <c r="C90" s="1"/>
  <c r="D75"/>
  <c r="C75" s="1"/>
  <c r="E90" l="1"/>
  <c r="E75"/>
  <c r="D10" l="1"/>
  <c r="C10" s="1"/>
  <c r="D113"/>
  <c r="E113" s="1"/>
  <c r="E10" l="1"/>
  <c r="C113"/>
  <c r="D103" l="1"/>
  <c r="C103" s="1"/>
  <c r="E103" l="1"/>
  <c r="D59" l="1"/>
  <c r="C59" s="1"/>
  <c r="E59" l="1"/>
  <c r="D109" l="1"/>
  <c r="E109" s="1"/>
  <c r="C109" l="1"/>
  <c r="D53" l="1"/>
  <c r="C53" s="1"/>
  <c r="E53" l="1"/>
  <c r="D175" l="1"/>
  <c r="C175" s="1"/>
  <c r="E175" l="1"/>
  <c r="D2" l="1"/>
  <c r="D3"/>
  <c r="D4"/>
  <c r="D5"/>
  <c r="D6"/>
  <c r="D7"/>
  <c r="D8"/>
  <c r="D9"/>
  <c r="D11"/>
  <c r="D12"/>
  <c r="D13"/>
  <c r="D14"/>
  <c r="D15"/>
  <c r="D16"/>
  <c r="D17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9"/>
  <c r="D40"/>
  <c r="D41"/>
  <c r="D42"/>
  <c r="D43"/>
  <c r="D44"/>
  <c r="D45"/>
  <c r="D46"/>
  <c r="D47"/>
  <c r="D48"/>
  <c r="D49"/>
  <c r="D51"/>
  <c r="D52"/>
  <c r="D54"/>
  <c r="D55"/>
  <c r="D56"/>
  <c r="D57"/>
  <c r="D58"/>
  <c r="D60"/>
  <c r="D61"/>
  <c r="D62"/>
  <c r="D63"/>
  <c r="D64"/>
  <c r="D65"/>
  <c r="D66"/>
  <c r="D67"/>
  <c r="D68"/>
  <c r="D69"/>
  <c r="D70"/>
  <c r="D71"/>
  <c r="D72"/>
  <c r="D73"/>
  <c r="D76"/>
  <c r="D77"/>
  <c r="D78"/>
  <c r="D79"/>
  <c r="D80"/>
  <c r="D81"/>
  <c r="D82"/>
  <c r="D83"/>
  <c r="D84"/>
  <c r="D85"/>
  <c r="D86"/>
  <c r="D87"/>
  <c r="D88"/>
  <c r="D91"/>
  <c r="D92"/>
  <c r="D93"/>
  <c r="D94"/>
  <c r="D95"/>
  <c r="D96"/>
  <c r="D98"/>
  <c r="D100"/>
  <c r="D101"/>
  <c r="D102"/>
  <c r="D104"/>
  <c r="D105"/>
  <c r="D106"/>
  <c r="D107"/>
  <c r="D108"/>
  <c r="D110"/>
  <c r="D111"/>
  <c r="D112"/>
  <c r="D114"/>
  <c r="D115"/>
  <c r="D116"/>
  <c r="D117"/>
  <c r="D118"/>
  <c r="D119"/>
  <c r="D120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3"/>
  <c r="D144"/>
  <c r="D145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7"/>
  <c r="D178"/>
  <c r="D179"/>
  <c r="D180"/>
  <c r="D181"/>
  <c r="D182"/>
  <c r="D183"/>
  <c r="E108" l="1"/>
  <c r="C108" l="1"/>
  <c r="E112"/>
  <c r="C112" l="1"/>
  <c r="E41"/>
  <c r="C41" l="1"/>
  <c r="C77"/>
  <c r="E64"/>
  <c r="E77" l="1"/>
  <c r="C64"/>
  <c r="C111" l="1"/>
  <c r="E111" l="1"/>
  <c r="E8" l="1"/>
  <c r="C8" l="1"/>
  <c r="E12" l="1"/>
  <c r="C12" l="1"/>
  <c r="C3" l="1"/>
  <c r="E3" l="1"/>
  <c r="C91" l="1"/>
  <c r="E65"/>
  <c r="E91" l="1"/>
  <c r="C65"/>
  <c r="E39" l="1"/>
  <c r="C39" l="1"/>
  <c r="C101" l="1"/>
  <c r="E101" l="1"/>
  <c r="C182" l="1"/>
  <c r="E182" l="1"/>
  <c r="C11"/>
  <c r="C107"/>
  <c r="C179"/>
  <c r="C35"/>
  <c r="C145"/>
  <c r="C164"/>
  <c r="C126"/>
  <c r="C180"/>
  <c r="C169"/>
  <c r="C168"/>
  <c r="C167"/>
  <c r="C166"/>
  <c r="C157"/>
  <c r="C153"/>
  <c r="C152"/>
  <c r="C150"/>
  <c r="C148"/>
  <c r="C147"/>
  <c r="C144"/>
  <c r="C136"/>
  <c r="C130"/>
  <c r="C125"/>
  <c r="C120"/>
  <c r="C119"/>
  <c r="C115"/>
  <c r="C110"/>
  <c r="C105"/>
  <c r="C93"/>
  <c r="C87"/>
  <c r="C85"/>
  <c r="C80"/>
  <c r="C70"/>
  <c r="C73"/>
  <c r="C63"/>
  <c r="C60"/>
  <c r="C54"/>
  <c r="C51"/>
  <c r="C47"/>
  <c r="C44"/>
  <c r="C27"/>
  <c r="C34"/>
  <c r="C22"/>
  <c r="C23"/>
  <c r="C16"/>
  <c r="C6"/>
  <c r="E11" l="1"/>
  <c r="E107"/>
  <c r="E179"/>
  <c r="E35"/>
  <c r="E145"/>
  <c r="E164"/>
  <c r="E126"/>
  <c r="E180"/>
  <c r="E169"/>
  <c r="E168"/>
  <c r="E167"/>
  <c r="E166"/>
  <c r="E157"/>
  <c r="E153"/>
  <c r="E152"/>
  <c r="E150"/>
  <c r="E148"/>
  <c r="E147"/>
  <c r="E144"/>
  <c r="E136"/>
  <c r="E130"/>
  <c r="E125"/>
  <c r="E120"/>
  <c r="E119"/>
  <c r="E115"/>
  <c r="E110"/>
  <c r="E105"/>
  <c r="E93"/>
  <c r="E87"/>
  <c r="E85"/>
  <c r="E80"/>
  <c r="E70"/>
  <c r="E73"/>
  <c r="E63"/>
  <c r="E60"/>
  <c r="E54"/>
  <c r="E51"/>
  <c r="E47"/>
  <c r="E44"/>
  <c r="E27"/>
  <c r="E34"/>
  <c r="E22"/>
  <c r="E23"/>
  <c r="E6"/>
  <c r="E16"/>
  <c r="C162" l="1"/>
  <c r="E162" l="1"/>
  <c r="C40" l="1"/>
  <c r="E40" l="1"/>
  <c r="C9" l="1"/>
  <c r="E9" l="1"/>
  <c r="C178" l="1"/>
  <c r="C171"/>
  <c r="C170"/>
  <c r="C156"/>
  <c r="C154"/>
  <c r="C155"/>
  <c r="C149"/>
  <c r="C139"/>
  <c r="C134"/>
  <c r="C131"/>
  <c r="C124"/>
  <c r="C118"/>
  <c r="C117"/>
  <c r="C106"/>
  <c r="C102"/>
  <c r="C100"/>
  <c r="C94"/>
  <c r="C88"/>
  <c r="C79"/>
  <c r="C71"/>
  <c r="C62"/>
  <c r="C55"/>
  <c r="C49"/>
  <c r="C45"/>
  <c r="C37"/>
  <c r="C32"/>
  <c r="C30"/>
  <c r="C17"/>
  <c r="C2"/>
  <c r="E7"/>
  <c r="E178" l="1"/>
  <c r="E171"/>
  <c r="E170"/>
  <c r="E156"/>
  <c r="E154"/>
  <c r="E155"/>
  <c r="E149"/>
  <c r="E139"/>
  <c r="E134"/>
  <c r="E131"/>
  <c r="E124"/>
  <c r="E118"/>
  <c r="E117"/>
  <c r="E106"/>
  <c r="E102"/>
  <c r="E100"/>
  <c r="E94"/>
  <c r="E88"/>
  <c r="E79"/>
  <c r="E71"/>
  <c r="E62"/>
  <c r="E55"/>
  <c r="E49"/>
  <c r="E45"/>
  <c r="E37"/>
  <c r="E32"/>
  <c r="E30"/>
  <c r="E17"/>
  <c r="E2"/>
  <c r="C7"/>
  <c r="C161" l="1"/>
  <c r="E161" l="1"/>
  <c r="C177"/>
  <c r="C133"/>
  <c r="C122"/>
  <c r="C98"/>
  <c r="C92"/>
  <c r="C52"/>
  <c r="E83"/>
  <c r="E177" l="1"/>
  <c r="E133"/>
  <c r="E122"/>
  <c r="E98"/>
  <c r="E92"/>
  <c r="E52"/>
  <c r="C83"/>
  <c r="C81"/>
  <c r="E81" l="1"/>
  <c r="C163"/>
  <c r="C43"/>
  <c r="C24"/>
  <c r="E181"/>
  <c r="E72"/>
  <c r="C69"/>
  <c r="C46"/>
  <c r="C31"/>
  <c r="E163" l="1"/>
  <c r="E43"/>
  <c r="E24"/>
  <c r="C181"/>
  <c r="C72"/>
  <c r="E69"/>
  <c r="E46"/>
  <c r="E31"/>
  <c r="E15"/>
  <c r="C15" l="1"/>
  <c r="E25" l="1"/>
  <c r="C25" l="1"/>
  <c r="P16" i="7" l="1"/>
  <c r="O16"/>
  <c r="N16"/>
  <c r="M16"/>
  <c r="L16"/>
  <c r="K16"/>
  <c r="P15"/>
  <c r="O15"/>
  <c r="N15"/>
  <c r="M15"/>
  <c r="L15"/>
  <c r="K15"/>
  <c r="Q14"/>
  <c r="H14" s="1"/>
  <c r="P14"/>
  <c r="O14"/>
  <c r="N14"/>
  <c r="M14"/>
  <c r="L14"/>
  <c r="K14"/>
  <c r="Q13"/>
  <c r="H13" s="1"/>
  <c r="J13" s="1"/>
  <c r="P13"/>
  <c r="O13"/>
  <c r="N13"/>
  <c r="M13"/>
  <c r="L13"/>
  <c r="K13"/>
  <c r="P12"/>
  <c r="O12"/>
  <c r="N12"/>
  <c r="M12"/>
  <c r="L12"/>
  <c r="K12"/>
  <c r="P11"/>
  <c r="O11"/>
  <c r="N11"/>
  <c r="M11"/>
  <c r="L11"/>
  <c r="K11"/>
  <c r="P10"/>
  <c r="O10"/>
  <c r="N10"/>
  <c r="M10"/>
  <c r="L10"/>
  <c r="K10"/>
  <c r="P9"/>
  <c r="O9"/>
  <c r="N9"/>
  <c r="M9"/>
  <c r="L9"/>
  <c r="K9"/>
  <c r="Q8"/>
  <c r="H8" s="1"/>
  <c r="P8"/>
  <c r="O8"/>
  <c r="N8"/>
  <c r="M8"/>
  <c r="L8"/>
  <c r="K8"/>
  <c r="I8" l="1"/>
  <c r="J8"/>
  <c r="J14"/>
  <c r="I14"/>
  <c r="I13"/>
  <c r="P7" l="1"/>
  <c r="O7"/>
  <c r="N7"/>
  <c r="M7"/>
  <c r="L7"/>
  <c r="K7"/>
  <c r="Q6"/>
  <c r="H6" s="1"/>
  <c r="J6" s="1"/>
  <c r="P6"/>
  <c r="O6"/>
  <c r="N6"/>
  <c r="M6"/>
  <c r="L6"/>
  <c r="K6"/>
  <c r="P5"/>
  <c r="O5"/>
  <c r="N5"/>
  <c r="M5"/>
  <c r="L5"/>
  <c r="K5"/>
  <c r="Q4"/>
  <c r="H4" s="1"/>
  <c r="I4" s="1"/>
  <c r="P4"/>
  <c r="O4"/>
  <c r="N4"/>
  <c r="M4"/>
  <c r="L4"/>
  <c r="K4"/>
  <c r="P3"/>
  <c r="O3"/>
  <c r="N3"/>
  <c r="M3"/>
  <c r="L3"/>
  <c r="K3"/>
  <c r="Q2"/>
  <c r="H2" s="1"/>
  <c r="J2" s="1"/>
  <c r="P2"/>
  <c r="O2"/>
  <c r="N2"/>
  <c r="M2"/>
  <c r="L2"/>
  <c r="K2"/>
  <c r="C28" i="4"/>
  <c r="C29"/>
  <c r="C26"/>
  <c r="C33"/>
  <c r="C36"/>
  <c r="T2" i="7" l="1"/>
  <c r="T3"/>
  <c r="T5"/>
  <c r="T4"/>
  <c r="T6"/>
  <c r="T7"/>
  <c r="T8"/>
  <c r="T9"/>
  <c r="T10"/>
  <c r="T11"/>
  <c r="T16"/>
  <c r="T14"/>
  <c r="T17"/>
  <c r="T13"/>
  <c r="T12"/>
  <c r="T15"/>
  <c r="E26" i="4"/>
  <c r="J4" i="7"/>
  <c r="I2"/>
  <c r="I6"/>
  <c r="E36" i="4"/>
  <c r="E33"/>
  <c r="E28"/>
  <c r="E29"/>
  <c r="C21" l="1"/>
  <c r="C20"/>
  <c r="C19"/>
  <c r="C14"/>
  <c r="C13"/>
  <c r="C5"/>
  <c r="E4"/>
  <c r="Q5" i="7" l="1"/>
  <c r="Q3"/>
  <c r="Q7"/>
  <c r="E21" i="4"/>
  <c r="E20"/>
  <c r="E19"/>
  <c r="E14"/>
  <c r="E13"/>
  <c r="E5"/>
  <c r="C4"/>
  <c r="C57"/>
  <c r="C58"/>
  <c r="C42"/>
  <c r="C66"/>
  <c r="C68"/>
  <c r="C183"/>
  <c r="C76"/>
  <c r="C82"/>
  <c r="C95"/>
  <c r="C86"/>
  <c r="C104"/>
  <c r="C96"/>
  <c r="C151"/>
  <c r="C127"/>
  <c r="C173"/>
  <c r="C138"/>
  <c r="C174"/>
  <c r="C141"/>
  <c r="C158"/>
  <c r="C123"/>
  <c r="C165"/>
  <c r="C128"/>
  <c r="C160"/>
  <c r="C137"/>
  <c r="E183" l="1"/>
  <c r="E58"/>
  <c r="H3" i="7"/>
  <c r="I3" s="1"/>
  <c r="H5"/>
  <c r="I5" s="1"/>
  <c r="E42" i="4"/>
  <c r="E76"/>
  <c r="E57"/>
  <c r="E151"/>
  <c r="E66"/>
  <c r="H7" i="7"/>
  <c r="E104" i="4"/>
  <c r="E127"/>
  <c r="E95"/>
  <c r="E68"/>
  <c r="E86"/>
  <c r="E165"/>
  <c r="E141"/>
  <c r="E158"/>
  <c r="E128"/>
  <c r="E173"/>
  <c r="E96"/>
  <c r="E82"/>
  <c r="E160"/>
  <c r="E174"/>
  <c r="E137"/>
  <c r="E123"/>
  <c r="E138"/>
  <c r="J3" i="7" l="1"/>
  <c r="J5"/>
  <c r="I7"/>
  <c r="J7"/>
  <c r="C140" i="4"/>
  <c r="C143"/>
  <c r="C159"/>
  <c r="C172"/>
  <c r="C132"/>
  <c r="C116"/>
  <c r="E135"/>
  <c r="C129"/>
  <c r="C114"/>
  <c r="C84"/>
  <c r="C78"/>
  <c r="E67"/>
  <c r="C61"/>
  <c r="C56"/>
  <c r="Q11" i="7" l="1"/>
  <c r="Q16"/>
  <c r="Q12"/>
  <c r="Q10"/>
  <c r="Q15"/>
  <c r="E172" i="4"/>
  <c r="E159"/>
  <c r="E143"/>
  <c r="E132"/>
  <c r="E140"/>
  <c r="E116"/>
  <c r="C135"/>
  <c r="E129"/>
  <c r="E114"/>
  <c r="E84"/>
  <c r="E78"/>
  <c r="E56"/>
  <c r="C67"/>
  <c r="E61"/>
  <c r="H15" i="7" l="1"/>
  <c r="I15" s="1"/>
  <c r="H10"/>
  <c r="J10" s="1"/>
  <c r="H12"/>
  <c r="I12" s="1"/>
  <c r="H16"/>
  <c r="H11"/>
  <c r="I10" l="1"/>
  <c r="J15"/>
  <c r="J12"/>
  <c r="I11"/>
  <c r="J11"/>
  <c r="J16"/>
  <c r="I16"/>
  <c r="E48" i="4" l="1"/>
  <c r="C48"/>
  <c r="Q9" i="7" l="1"/>
  <c r="H9" s="1"/>
  <c r="F2" i="3"/>
  <c r="F3"/>
  <c r="F4"/>
  <c r="F5"/>
  <c r="F6"/>
  <c r="J9" i="7" l="1"/>
  <c r="I9"/>
  <c r="D39" i="12"/>
  <c r="D44"/>
  <c r="AA23" l="1"/>
  <c r="U3" l="1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"/>
  <c r="K34" l="1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33"/>
  <c r="D35" l="1"/>
  <c r="D34"/>
  <c r="D33"/>
  <c r="D37" l="1"/>
  <c r="D36"/>
  <c r="F29"/>
  <c r="D38" l="1"/>
  <c r="W32" l="1"/>
  <c r="A4" i="45" l="1"/>
  <c r="C14" s="1"/>
  <c r="D14" s="1"/>
  <c r="E14" s="1"/>
  <c r="C8" l="1"/>
  <c r="D8" s="1"/>
  <c r="E8" s="1"/>
  <c r="C15"/>
  <c r="D15" s="1"/>
  <c r="E15" s="1"/>
  <c r="C4"/>
  <c r="D4" s="1"/>
  <c r="E4" s="1"/>
  <c r="C12"/>
  <c r="D12" s="1"/>
  <c r="E12" s="1"/>
  <c r="C16"/>
  <c r="D16" s="1"/>
  <c r="E16" s="1"/>
  <c r="C5"/>
  <c r="D5" s="1"/>
  <c r="E5" s="1"/>
  <c r="C13"/>
  <c r="D13" s="1"/>
  <c r="E13" s="1"/>
  <c r="C7"/>
  <c r="D7" s="1"/>
  <c r="E7" s="1"/>
  <c r="F16" l="1"/>
  <c r="F4"/>
  <c r="F14"/>
  <c r="F12"/>
  <c r="F8"/>
  <c r="F7"/>
  <c r="F13"/>
  <c r="C11"/>
  <c r="D11" s="1"/>
  <c r="E11" s="1"/>
  <c r="C10"/>
  <c r="D10" s="1"/>
  <c r="E10" s="1"/>
  <c r="F15"/>
  <c r="C9"/>
  <c r="D9" s="1"/>
  <c r="E9" s="1"/>
  <c r="C6"/>
  <c r="F6" s="1"/>
  <c r="F5"/>
  <c r="F11" l="1"/>
  <c r="F9"/>
  <c r="D6"/>
  <c r="E6" s="1"/>
  <c r="E17" s="1"/>
  <c r="F10"/>
  <c r="S17" i="7" l="1"/>
  <c r="S19"/>
  <c r="S20"/>
  <c r="S18"/>
  <c r="S16"/>
  <c r="S12"/>
  <c r="S8"/>
  <c r="S15"/>
  <c r="S11"/>
  <c r="S14"/>
  <c r="S10"/>
  <c r="S13"/>
  <c r="S9"/>
  <c r="S7"/>
  <c r="S3"/>
  <c r="S6"/>
  <c r="S2"/>
  <c r="S5"/>
  <c r="S4"/>
  <c r="G33" i="12"/>
  <c r="H33" l="1"/>
  <c r="G34" l="1"/>
  <c r="H34" s="1"/>
  <c r="I34" s="1"/>
  <c r="I33"/>
  <c r="G40"/>
  <c r="H40" s="1"/>
  <c r="I40" s="1"/>
  <c r="D40"/>
  <c r="G39"/>
  <c r="H39" s="1"/>
  <c r="I39" s="1"/>
  <c r="G38"/>
  <c r="H38" s="1"/>
  <c r="I38" s="1"/>
  <c r="G37"/>
  <c r="H37" s="1"/>
  <c r="I37" s="1"/>
  <c r="G36"/>
  <c r="H36" s="1"/>
  <c r="I36" s="1"/>
  <c r="G35"/>
  <c r="H35" s="1"/>
  <c r="I35" s="1"/>
  <c r="G3" i="2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41" i="12" l="1"/>
  <c r="H41" s="1"/>
  <c r="G42"/>
  <c r="H42" s="1"/>
  <c r="G43"/>
  <c r="H43" s="1"/>
  <c r="G44"/>
  <c r="H44" s="1"/>
  <c r="G45"/>
  <c r="H45" s="1"/>
  <c r="G46"/>
  <c r="H46" s="1"/>
  <c r="G47"/>
  <c r="H47" s="1"/>
  <c r="G48"/>
  <c r="H48" s="1"/>
  <c r="G49"/>
  <c r="H49" s="1"/>
  <c r="G50"/>
  <c r="H50" s="1"/>
  <c r="G51"/>
  <c r="H51" s="1"/>
  <c r="G52"/>
  <c r="H52" s="1"/>
  <c r="G53"/>
  <c r="H53" s="1"/>
  <c r="D41" l="1"/>
  <c r="I41"/>
  <c r="I42" l="1"/>
  <c r="I43"/>
  <c r="I44"/>
  <c r="I45"/>
  <c r="I46"/>
  <c r="I47"/>
  <c r="I48"/>
  <c r="I49"/>
  <c r="I50"/>
  <c r="I51"/>
  <c r="I52"/>
  <c r="I53"/>
  <c r="D42"/>
  <c r="D43"/>
  <c r="D45"/>
  <c r="D46"/>
  <c r="D47"/>
  <c r="D48"/>
  <c r="D49"/>
  <c r="D50"/>
  <c r="D51"/>
  <c r="D52"/>
  <c r="D5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G3" l="1"/>
  <c r="G4"/>
  <c r="G5"/>
  <c r="G6"/>
  <c r="G7"/>
  <c r="G8"/>
  <c r="G9"/>
  <c r="G10"/>
  <c r="G11"/>
  <c r="G12"/>
  <c r="G13"/>
  <c r="G14"/>
  <c r="G15"/>
  <c r="G16"/>
  <c r="G17"/>
  <c r="G18"/>
  <c r="D18" s="1"/>
  <c r="G19"/>
  <c r="G20"/>
  <c r="G21"/>
  <c r="G22"/>
  <c r="C20" l="1"/>
  <c r="S20" s="1"/>
  <c r="B20"/>
  <c r="D20"/>
  <c r="R20" s="1"/>
  <c r="C12"/>
  <c r="S12" s="1"/>
  <c r="D12"/>
  <c r="R12" s="1"/>
  <c r="B12"/>
  <c r="B4"/>
  <c r="D4"/>
  <c r="C4"/>
  <c r="S4" s="1"/>
  <c r="C19"/>
  <c r="S19" s="1"/>
  <c r="D19"/>
  <c r="R19" s="1"/>
  <c r="B19"/>
  <c r="C15"/>
  <c r="S15" s="1"/>
  <c r="D15"/>
  <c r="R15" s="1"/>
  <c r="B15"/>
  <c r="B11"/>
  <c r="C11"/>
  <c r="S11" s="1"/>
  <c r="D11"/>
  <c r="R11" s="1"/>
  <c r="D7"/>
  <c r="R7" s="1"/>
  <c r="B7"/>
  <c r="C7"/>
  <c r="S7" s="1"/>
  <c r="C3"/>
  <c r="D3"/>
  <c r="B3"/>
  <c r="B18"/>
  <c r="R18"/>
  <c r="C18"/>
  <c r="S18" s="1"/>
  <c r="D14"/>
  <c r="R14" s="1"/>
  <c r="C14"/>
  <c r="S14" s="1"/>
  <c r="B14"/>
  <c r="C10"/>
  <c r="S10" s="1"/>
  <c r="D10"/>
  <c r="R10" s="1"/>
  <c r="B10"/>
  <c r="B6"/>
  <c r="D6"/>
  <c r="R6" s="1"/>
  <c r="C6"/>
  <c r="S6" s="1"/>
  <c r="B16"/>
  <c r="D16"/>
  <c r="R16" s="1"/>
  <c r="C16"/>
  <c r="S16" s="1"/>
  <c r="C8"/>
  <c r="S8" s="1"/>
  <c r="B8"/>
  <c r="D8"/>
  <c r="R8" s="1"/>
  <c r="C21"/>
  <c r="S21" s="1"/>
  <c r="B21"/>
  <c r="D21"/>
  <c r="R21" s="1"/>
  <c r="B17"/>
  <c r="D17"/>
  <c r="R17" s="1"/>
  <c r="C17"/>
  <c r="S17" s="1"/>
  <c r="B13"/>
  <c r="C13"/>
  <c r="S13" s="1"/>
  <c r="D13"/>
  <c r="R13" s="1"/>
  <c r="C9"/>
  <c r="S9" s="1"/>
  <c r="B9"/>
  <c r="D9"/>
  <c r="R9" s="1"/>
  <c r="C5"/>
  <c r="S5" s="1"/>
  <c r="B5"/>
  <c r="D5"/>
  <c r="R5" s="1"/>
  <c r="D22"/>
  <c r="R22" s="1"/>
  <c r="C22"/>
  <c r="S22" s="1"/>
  <c r="B22"/>
  <c r="K3" l="1"/>
  <c r="S3"/>
  <c r="M11"/>
  <c r="N4"/>
  <c r="M15"/>
  <c r="O18"/>
  <c r="N20"/>
  <c r="M18"/>
  <c r="K21"/>
  <c r="K9"/>
  <c r="K7"/>
  <c r="L15"/>
  <c r="L7"/>
  <c r="M7"/>
  <c r="K5"/>
  <c r="M3"/>
  <c r="M19"/>
  <c r="N16"/>
  <c r="K13"/>
  <c r="N12"/>
  <c r="L11"/>
  <c r="L19"/>
  <c r="N8"/>
  <c r="O5"/>
  <c r="L13"/>
  <c r="K17"/>
  <c r="L3"/>
  <c r="N9"/>
  <c r="N18"/>
  <c r="N5"/>
  <c r="K10"/>
  <c r="L21"/>
  <c r="O21"/>
  <c r="N10"/>
  <c r="O9"/>
  <c r="N21"/>
  <c r="K6"/>
  <c r="M5"/>
  <c r="O7"/>
  <c r="L17"/>
  <c r="K18"/>
  <c r="O22"/>
  <c r="L18"/>
  <c r="N6"/>
  <c r="O11"/>
  <c r="M6"/>
  <c r="N19"/>
  <c r="M9"/>
  <c r="L6"/>
  <c r="L10"/>
  <c r="M22"/>
  <c r="K15"/>
  <c r="O10"/>
  <c r="M21"/>
  <c r="M8"/>
  <c r="N17"/>
  <c r="L5"/>
  <c r="O13"/>
  <c r="M20"/>
  <c r="O17"/>
  <c r="O15"/>
  <c r="N14"/>
  <c r="L9"/>
  <c r="N11"/>
  <c r="K19"/>
  <c r="L14"/>
  <c r="K14"/>
  <c r="O6"/>
  <c r="L22"/>
  <c r="O19"/>
  <c r="M10"/>
  <c r="N15"/>
  <c r="N7"/>
  <c r="K11"/>
  <c r="M17"/>
  <c r="K22"/>
  <c r="N13"/>
  <c r="N22"/>
  <c r="M13"/>
  <c r="K12"/>
  <c r="O14"/>
  <c r="M14"/>
  <c r="O8"/>
  <c r="K16"/>
  <c r="O12"/>
  <c r="L12"/>
  <c r="M12"/>
  <c r="O16"/>
  <c r="L16"/>
  <c r="M16"/>
  <c r="K8"/>
  <c r="O20"/>
  <c r="L8"/>
  <c r="K4"/>
  <c r="K20"/>
  <c r="L20"/>
  <c r="O3"/>
  <c r="N3"/>
  <c r="O4"/>
  <c r="M4"/>
  <c r="L4"/>
  <c r="AA11" l="1"/>
  <c r="AA20"/>
  <c r="AA8"/>
  <c r="AA14"/>
  <c r="AA13"/>
  <c r="AA4"/>
  <c r="AA17"/>
  <c r="AA19"/>
  <c r="AA16"/>
  <c r="AA12"/>
  <c r="AA22"/>
  <c r="T15"/>
  <c r="AA15"/>
  <c r="AA10"/>
  <c r="AA5"/>
  <c r="AA7"/>
  <c r="AA9"/>
  <c r="AA18"/>
  <c r="AA6"/>
  <c r="AA21"/>
  <c r="AA3"/>
  <c r="T11"/>
  <c r="T19"/>
  <c r="T14"/>
  <c r="T13"/>
  <c r="T16"/>
  <c r="T12"/>
  <c r="T22"/>
  <c r="T8"/>
  <c r="T10"/>
  <c r="T5"/>
  <c r="T7"/>
  <c r="T4"/>
  <c r="T17"/>
  <c r="T9"/>
  <c r="T20"/>
  <c r="T18"/>
  <c r="T6"/>
  <c r="T21"/>
  <c r="T3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P22" l="1"/>
  <c r="Q22"/>
  <c r="H22" s="1"/>
  <c r="I22" s="1"/>
  <c r="P16"/>
  <c r="Q16"/>
  <c r="H16" s="1"/>
  <c r="I16" s="1"/>
  <c r="P21"/>
  <c r="Q21"/>
  <c r="H21" s="1"/>
  <c r="I21" s="1"/>
  <c r="P20"/>
  <c r="Q20"/>
  <c r="H20" s="1"/>
  <c r="I20" s="1"/>
  <c r="P19"/>
  <c r="Q19"/>
  <c r="H19" s="1"/>
  <c r="I19" s="1"/>
  <c r="P18"/>
  <c r="Q18"/>
  <c r="H18" s="1"/>
  <c r="I18" s="1"/>
  <c r="P17"/>
  <c r="Q17"/>
  <c r="H17" s="1"/>
  <c r="I17" s="1"/>
  <c r="P15"/>
  <c r="Q15"/>
  <c r="H15" s="1"/>
  <c r="I15" s="1"/>
  <c r="P14"/>
  <c r="Q14"/>
  <c r="H14" s="1"/>
  <c r="I14" s="1"/>
  <c r="P13"/>
  <c r="Q13"/>
  <c r="H13" s="1"/>
  <c r="I13" s="1"/>
  <c r="P12"/>
  <c r="Q12"/>
  <c r="H12" s="1"/>
  <c r="I12" s="1"/>
  <c r="P11"/>
  <c r="Q11"/>
  <c r="H11" s="1"/>
  <c r="I11" s="1"/>
  <c r="P10"/>
  <c r="Q10"/>
  <c r="H10" s="1"/>
  <c r="I10" s="1"/>
  <c r="P9"/>
  <c r="Q9"/>
  <c r="H9" s="1"/>
  <c r="I9" s="1"/>
  <c r="P8"/>
  <c r="Q8"/>
  <c r="H8" s="1"/>
  <c r="I8" s="1"/>
  <c r="P7"/>
  <c r="Q7"/>
  <c r="H7" s="1"/>
  <c r="I7" s="1"/>
  <c r="P6"/>
  <c r="Q6"/>
  <c r="H6" s="1"/>
  <c r="I6" s="1"/>
  <c r="P3"/>
  <c r="Q3"/>
  <c r="H3" s="1"/>
  <c r="I3" s="1"/>
  <c r="P5"/>
  <c r="Q5"/>
  <c r="H5" s="1"/>
  <c r="I5" s="1"/>
  <c r="P4"/>
  <c r="Q4"/>
  <c r="H4" s="1"/>
  <c r="I4" s="1"/>
  <c r="J3" l="1"/>
  <c r="J11"/>
  <c r="J9"/>
  <c r="J15"/>
  <c r="J5"/>
  <c r="D33" i="42"/>
  <c r="D34"/>
  <c r="D35"/>
  <c r="D36"/>
  <c r="D37"/>
  <c r="D38"/>
  <c r="D39"/>
  <c r="D40"/>
  <c r="D32"/>
  <c r="D3"/>
  <c r="D4"/>
  <c r="D5"/>
  <c r="D6"/>
  <c r="D7"/>
  <c r="D8"/>
  <c r="D9"/>
  <c r="D10"/>
  <c r="D11"/>
  <c r="D12"/>
  <c r="D13"/>
  <c r="D14"/>
  <c r="D15"/>
  <c r="D18"/>
  <c r="D19"/>
  <c r="D20"/>
  <c r="D21"/>
  <c r="D22"/>
  <c r="D23"/>
  <c r="D24"/>
  <c r="D25"/>
  <c r="D26"/>
  <c r="D27"/>
  <c r="D28"/>
  <c r="D29"/>
  <c r="D30"/>
  <c r="D31"/>
  <c r="D2"/>
  <c r="R3" i="12" l="1"/>
  <c r="R4"/>
  <c r="R2" i="7"/>
  <c r="R4"/>
  <c r="R3"/>
  <c r="R7"/>
  <c r="R6"/>
  <c r="R5"/>
  <c r="R16"/>
  <c r="R15"/>
  <c r="R14"/>
  <c r="R13"/>
  <c r="R12"/>
  <c r="R11"/>
  <c r="R10"/>
  <c r="R9"/>
  <c r="R8"/>
  <c r="J7" i="12"/>
  <c r="J13"/>
  <c r="J19"/>
  <c r="J20"/>
  <c r="J10"/>
  <c r="J21"/>
  <c r="J14"/>
  <c r="J6"/>
  <c r="J8"/>
  <c r="J4"/>
  <c r="J22"/>
  <c r="J12"/>
  <c r="J16"/>
  <c r="J17"/>
  <c r="J18"/>
  <c r="W55" l="1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G2" i="2" l="1"/>
  <c r="E2" i="12"/>
  <c r="F2" l="1"/>
  <c r="P2" s="1"/>
  <c r="G2"/>
  <c r="B2" s="1"/>
  <c r="Q2" s="1"/>
  <c r="C2" l="1"/>
  <c r="S2" s="1"/>
  <c r="H2"/>
  <c r="O2"/>
  <c r="M2"/>
  <c r="N2"/>
  <c r="D2"/>
  <c r="R2" s="1"/>
  <c r="I2" l="1"/>
  <c r="L2"/>
  <c r="K2"/>
  <c r="AA2" l="1"/>
  <c r="T2"/>
  <c r="J2"/>
  <c r="W13" l="1"/>
  <c r="A13" s="1"/>
  <c r="J44" s="1"/>
  <c r="W19"/>
  <c r="A19" s="1"/>
  <c r="J50" s="1"/>
  <c r="W15"/>
  <c r="A15" s="1"/>
  <c r="J46" s="1"/>
  <c r="W10"/>
  <c r="A10" s="1"/>
  <c r="J41" s="1"/>
  <c r="W21"/>
  <c r="A21" s="1"/>
  <c r="J52" s="1"/>
  <c r="W11"/>
  <c r="A11" s="1"/>
  <c r="J42" s="1"/>
  <c r="W6"/>
  <c r="A6" s="1"/>
  <c r="J37" s="1"/>
  <c r="W2"/>
  <c r="A2" s="1"/>
  <c r="J33" s="1"/>
  <c r="W14"/>
  <c r="A14" s="1"/>
  <c r="J45" s="1"/>
  <c r="W3"/>
  <c r="A3" s="1"/>
  <c r="J34" s="1"/>
  <c r="W9"/>
  <c r="A9" s="1"/>
  <c r="J40" s="1"/>
  <c r="W5"/>
  <c r="A5" s="1"/>
  <c r="J36" s="1"/>
  <c r="W4"/>
  <c r="A4" s="1"/>
  <c r="J35" s="1"/>
  <c r="W18"/>
  <c r="A18" s="1"/>
  <c r="J49" s="1"/>
  <c r="W8"/>
  <c r="A8" s="1"/>
  <c r="J39" s="1"/>
  <c r="W16"/>
  <c r="A16" s="1"/>
  <c r="J47" s="1"/>
  <c r="W17"/>
  <c r="A17" s="1"/>
  <c r="J48" s="1"/>
  <c r="W22"/>
  <c r="A22" s="1"/>
  <c r="J53" s="1"/>
  <c r="W12"/>
  <c r="A12" s="1"/>
  <c r="J43" s="1"/>
  <c r="W7"/>
  <c r="A7" s="1"/>
  <c r="J38" s="1"/>
  <c r="W20"/>
  <c r="A20" s="1"/>
  <c r="J51" s="1"/>
</calcChain>
</file>

<file path=xl/sharedStrings.xml><?xml version="1.0" encoding="utf-8"?>
<sst xmlns="http://schemas.openxmlformats.org/spreadsheetml/2006/main" count="1306" uniqueCount="612">
  <si>
    <t>Date</t>
  </si>
  <si>
    <t>CS MIRE</t>
  </si>
  <si>
    <t>UT OUES</t>
  </si>
  <si>
    <t>J</t>
  </si>
  <si>
    <t>CP VITT</t>
  </si>
  <si>
    <t>CP NEUF</t>
  </si>
  <si>
    <t>UT OUEST PLAINE</t>
  </si>
  <si>
    <t>CS LAMA</t>
  </si>
  <si>
    <t>CP DARN</t>
  </si>
  <si>
    <t>P</t>
  </si>
  <si>
    <t>E</t>
  </si>
  <si>
    <t>T</t>
  </si>
  <si>
    <t>ABSOR</t>
  </si>
  <si>
    <t>U</t>
  </si>
  <si>
    <t>BETON</t>
  </si>
  <si>
    <t>M3</t>
  </si>
  <si>
    <t>CIMEN</t>
  </si>
  <si>
    <t>EF</t>
  </si>
  <si>
    <t>EMULS</t>
  </si>
  <si>
    <t>MELAN</t>
  </si>
  <si>
    <t>SAUMU</t>
  </si>
  <si>
    <t>SEL</t>
  </si>
  <si>
    <t>Tâche :</t>
  </si>
  <si>
    <t>Libellé</t>
  </si>
  <si>
    <t>Coût</t>
  </si>
  <si>
    <t>Total</t>
  </si>
  <si>
    <t>N°</t>
  </si>
  <si>
    <t>Chantier</t>
  </si>
  <si>
    <t>Tâches</t>
  </si>
  <si>
    <t>Feuille de saisie</t>
  </si>
  <si>
    <t>Qté</t>
  </si>
  <si>
    <t>Code</t>
  </si>
  <si>
    <t>REER</t>
  </si>
  <si>
    <t>AGENT DE MAITRISE</t>
  </si>
  <si>
    <t>ADJOINT TECHNIQUE</t>
  </si>
  <si>
    <t>Unité</t>
  </si>
  <si>
    <t>Px unitaire</t>
  </si>
  <si>
    <t>Cat.</t>
  </si>
  <si>
    <t>H</t>
  </si>
  <si>
    <t>Chantier :</t>
  </si>
  <si>
    <t>Date :</t>
  </si>
  <si>
    <t>Type</t>
  </si>
  <si>
    <t>Coût U</t>
  </si>
  <si>
    <t>Coût total</t>
  </si>
  <si>
    <t>Km</t>
  </si>
  <si>
    <t>pour macro</t>
  </si>
  <si>
    <t xml:space="preserve">Code </t>
  </si>
  <si>
    <t>Centre 1</t>
  </si>
  <si>
    <t>Centre 2</t>
  </si>
  <si>
    <t>UT</t>
  </si>
  <si>
    <t>Fermé</t>
  </si>
  <si>
    <t>U1</t>
  </si>
  <si>
    <t>U2</t>
  </si>
  <si>
    <t>Coût H</t>
  </si>
  <si>
    <t>Coût J</t>
  </si>
  <si>
    <t xml:space="preserve">Libellé </t>
  </si>
  <si>
    <t>Prop.</t>
  </si>
  <si>
    <t>Code Centre</t>
  </si>
  <si>
    <t>CS BAIN</t>
  </si>
  <si>
    <t>CP DOMP</t>
  </si>
  <si>
    <t>CP REMI</t>
  </si>
  <si>
    <t>CP GERA</t>
  </si>
  <si>
    <t>CS SENO</t>
  </si>
  <si>
    <t>CP BRUY</t>
  </si>
  <si>
    <t>CS RAMB</t>
  </si>
  <si>
    <t>CP STDI</t>
  </si>
  <si>
    <t>CP EPIN</t>
  </si>
  <si>
    <t>UT CENT</t>
  </si>
  <si>
    <t>UT CENTRE MOSELLE</t>
  </si>
  <si>
    <t>UT ESTM</t>
  </si>
  <si>
    <t>UT EST MONTAGNE</t>
  </si>
  <si>
    <t>PARC</t>
  </si>
  <si>
    <t>PA EXPL</t>
  </si>
  <si>
    <t>CS BRES</t>
  </si>
  <si>
    <t>SIEGE</t>
  </si>
  <si>
    <t>ok</t>
  </si>
  <si>
    <t>.01</t>
  </si>
  <si>
    <t>.02</t>
  </si>
  <si>
    <t>.03</t>
  </si>
  <si>
    <t>.04</t>
  </si>
  <si>
    <t>.05</t>
  </si>
  <si>
    <t>.06</t>
  </si>
  <si>
    <t>.07</t>
  </si>
  <si>
    <t>.08</t>
  </si>
  <si>
    <t>.09</t>
  </si>
  <si>
    <t>.10</t>
  </si>
  <si>
    <t>.11</t>
  </si>
  <si>
    <t>.12</t>
  </si>
  <si>
    <t>.13</t>
  </si>
  <si>
    <t>.14</t>
  </si>
  <si>
    <t>.15</t>
  </si>
  <si>
    <t>.16</t>
  </si>
  <si>
    <t>.17</t>
  </si>
  <si>
    <t>.18</t>
  </si>
  <si>
    <t>.19</t>
  </si>
  <si>
    <t>.20</t>
  </si>
  <si>
    <t>.21</t>
  </si>
  <si>
    <t>mois</t>
  </si>
  <si>
    <t>Centre1</t>
  </si>
  <si>
    <t>Centre2</t>
  </si>
  <si>
    <t>N° saisie</t>
  </si>
  <si>
    <t>Mois</t>
  </si>
  <si>
    <t>libellé</t>
  </si>
  <si>
    <t>pour macro impression</t>
  </si>
  <si>
    <t>année</t>
  </si>
  <si>
    <t>Année</t>
  </si>
  <si>
    <t>tâche+lib</t>
  </si>
  <si>
    <t>DIVERSES AUTRES ACTIVITES SUPPORT</t>
  </si>
  <si>
    <t>SECRETARIAT,GESTION PERS-ACTIV. ET MOY. GEN.</t>
  </si>
  <si>
    <t>COMPTABILITE</t>
  </si>
  <si>
    <t>FORMATION DONNEE</t>
  </si>
  <si>
    <t>FORMATION RECUE</t>
  </si>
  <si>
    <t>ENCADREMENT</t>
  </si>
  <si>
    <t>CONGES MALADIE, MATERNITE ET ACCIDENTS SERV.</t>
  </si>
  <si>
    <t>ABSENCES AUTORISEES</t>
  </si>
  <si>
    <t>GESTION DU DOMAINE PUBLIC ROUTIER</t>
  </si>
  <si>
    <t>ING. DES TRAVAUX HORS DOMAINE ROUTIER CLASSE</t>
  </si>
  <si>
    <t>SURVEILLANCE ET GESTION DES TRAVAUX D'O.A.</t>
  </si>
  <si>
    <t>ETUDES DES OUVRAGES D'ART</t>
  </si>
  <si>
    <t>SURVEILLANCE ET GESTION DES TRAVAUX ROUTIERS</t>
  </si>
  <si>
    <t>ETUDES ROUTIERES (yc Acquisitions Foncières)</t>
  </si>
  <si>
    <t>INGENIERIE EXPLOITATION ET SECURITE ROUTIERE</t>
  </si>
  <si>
    <t>INGENIERIE DU SERVICE HIVERNAL</t>
  </si>
  <si>
    <t>INGENIERIE DES TRAVAUX D'ENTRETIEN (HORS VH)</t>
  </si>
  <si>
    <t>PANNE</t>
  </si>
  <si>
    <t>INACTIVITE ENGINS ROULANTS</t>
  </si>
  <si>
    <t>TRAVAUX OPA COORDINATIONS POUR EXPLOIT. PARC</t>
  </si>
  <si>
    <t>AUTRES TACHES DIVERSES</t>
  </si>
  <si>
    <t>MAINTENANCE DES VEHICULES ET ENGINS</t>
  </si>
  <si>
    <t>SIGNALISATION POUR DEVIATION ET CONCEPTION</t>
  </si>
  <si>
    <t>EQUIPEMENTS DE SECURITE</t>
  </si>
  <si>
    <t>SIGNALISATION PERMANENTE</t>
  </si>
  <si>
    <t>ENTRETIEN ET REPARATION DES OUVRAGES D'ART</t>
  </si>
  <si>
    <t>SERVICE HIVERNAL</t>
  </si>
  <si>
    <t>AUTRES TACHES D'ENTRETIEN DES DEPENDANCES</t>
  </si>
  <si>
    <t>ENTRETIEN DES PARKINGS ET AIRES DE REPOS</t>
  </si>
  <si>
    <t>FAUCHAGE DEUXIEME COUPE</t>
  </si>
  <si>
    <t>FAUCHAGE PREMIERE COUPE</t>
  </si>
  <si>
    <t>ASSAINISSEMENT DE LA ROUTE</t>
  </si>
  <si>
    <t>ENROBES DE TOUS TYPES (HORS TRAVAUX NEUFS)</t>
  </si>
  <si>
    <t>ENDUITS SUPERFICIELS</t>
  </si>
  <si>
    <t>ENTRETIEN COURANT DES CHAUSSEES</t>
  </si>
  <si>
    <t>Code+Lib</t>
  </si>
  <si>
    <t>Tâches + lib</t>
  </si>
  <si>
    <t>ETP annuel</t>
  </si>
  <si>
    <t>etp annuel</t>
  </si>
  <si>
    <t>Libellé court</t>
  </si>
  <si>
    <t>ENDUITS</t>
  </si>
  <si>
    <t>ENROBES</t>
  </si>
  <si>
    <t>ASS. ROUTE</t>
  </si>
  <si>
    <t>FAUCHAGE C1</t>
  </si>
  <si>
    <t>FAUCHAGE C2</t>
  </si>
  <si>
    <t>ENT. AIRES</t>
  </si>
  <si>
    <t>ENT. AUTRES</t>
  </si>
  <si>
    <t>SERV. HIVERNAL</t>
  </si>
  <si>
    <t>ENT. &amp; REP. OA</t>
  </si>
  <si>
    <t>SIGNAL. PERM.</t>
  </si>
  <si>
    <t>EQUIP. SECURITE</t>
  </si>
  <si>
    <t>INTERVENTIONS</t>
  </si>
  <si>
    <t>DEVIATION</t>
  </si>
  <si>
    <t>MAINT. MAT.</t>
  </si>
  <si>
    <t>AUTRES TACHES</t>
  </si>
  <si>
    <t>ING. ENTRETIEN</t>
  </si>
  <si>
    <t>ING. VH</t>
  </si>
  <si>
    <t>ING. EXPLOITATION</t>
  </si>
  <si>
    <t>SURV. ROUTES</t>
  </si>
  <si>
    <t>ETUDES O.A</t>
  </si>
  <si>
    <t>ETUDES ROUTES</t>
  </si>
  <si>
    <t>SURV. O.A</t>
  </si>
  <si>
    <t>ING. HORS ROUTES</t>
  </si>
  <si>
    <t>GESTION DP</t>
  </si>
  <si>
    <t>ABSENCES</t>
  </si>
  <si>
    <t>SECRETARIAT</t>
  </si>
  <si>
    <t>DIVERS</t>
  </si>
  <si>
    <t>ENTRETIEN COURANT</t>
  </si>
  <si>
    <t>TRAVAUX OPA PARC</t>
  </si>
  <si>
    <t>INACTIVITE</t>
  </si>
  <si>
    <t xml:space="preserve">CONGES, ARTT </t>
  </si>
  <si>
    <t>CONGES, RTT</t>
  </si>
  <si>
    <t>MALADIE, AT</t>
  </si>
  <si>
    <t>Autre</t>
  </si>
  <si>
    <t>Autre service du CG</t>
  </si>
  <si>
    <t>CEP Bruyères</t>
  </si>
  <si>
    <t>CEP Darney</t>
  </si>
  <si>
    <t>CEP Dompaire</t>
  </si>
  <si>
    <t>CEP Epinal</t>
  </si>
  <si>
    <t>CEP Gérardmer</t>
  </si>
  <si>
    <t>CEP Neufchâteau</t>
  </si>
  <si>
    <t>CEP Remiremont</t>
  </si>
  <si>
    <t>CEP Saint Dié</t>
  </si>
  <si>
    <t>CEP Vittel</t>
  </si>
  <si>
    <t>CES Bains</t>
  </si>
  <si>
    <t>CES La Bresse</t>
  </si>
  <si>
    <t>CES Lamarche</t>
  </si>
  <si>
    <t>CES Mirecourt</t>
  </si>
  <si>
    <t>CES Rambervillers</t>
  </si>
  <si>
    <t>CES Senones</t>
  </si>
  <si>
    <t>Parc Exploitation</t>
  </si>
  <si>
    <t>Parc Départemental</t>
  </si>
  <si>
    <t>Siège CG</t>
  </si>
  <si>
    <t>raccourci ctrl + d</t>
  </si>
  <si>
    <t>Absorbant 40L/20KG</t>
  </si>
  <si>
    <t>Béton</t>
  </si>
  <si>
    <t>Ciment 25 Kg</t>
  </si>
  <si>
    <t>Enrobés à froid</t>
  </si>
  <si>
    <t>Emulsion 65%</t>
  </si>
  <si>
    <t>Mélange béton</t>
  </si>
  <si>
    <t>Saumure</t>
  </si>
  <si>
    <t>Sel</t>
  </si>
  <si>
    <t>jusqu'ici</t>
  </si>
  <si>
    <t>jour ferie</t>
  </si>
  <si>
    <t>jour semaine</t>
  </si>
  <si>
    <t xml:space="preserve">Jour de l'an </t>
  </si>
  <si>
    <t xml:space="preserve">Pâques </t>
  </si>
  <si>
    <t>Lundi de Pâques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</si>
  <si>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</si>
  <si>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</si>
  <si>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</si>
  <si>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</si>
  <si>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</si>
  <si>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</si>
  <si>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</si>
  <si>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</si>
  <si>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</si>
  <si>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</si>
  <si>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date</t>
  </si>
  <si>
    <t xml:space="preserve">si jour fér à déduire </t>
  </si>
  <si>
    <t>Total jour férié du mois</t>
  </si>
  <si>
    <t>Total jours fériés à déduire des jours ouvrés</t>
  </si>
  <si>
    <t>A ne pas supprimer</t>
  </si>
  <si>
    <t>Annexe chantier</t>
  </si>
  <si>
    <t>macro envoi</t>
  </si>
  <si>
    <t>pour macro max</t>
  </si>
  <si>
    <t>Onglet à ne pas toucher, sert à formule et/ou macro</t>
  </si>
  <si>
    <t>Annexe onglet BD</t>
  </si>
  <si>
    <t>A TECHNIQUE</t>
  </si>
  <si>
    <t>ADMINISTRATIF</t>
  </si>
  <si>
    <t xml:space="preserve">Annexe pour tarifs </t>
  </si>
  <si>
    <t>code matériel</t>
  </si>
  <si>
    <t>coût</t>
  </si>
  <si>
    <t>Exception</t>
  </si>
  <si>
    <t>01xxx</t>
  </si>
  <si>
    <t>02xxx</t>
  </si>
  <si>
    <t>03xxx</t>
  </si>
  <si>
    <t>04xxx</t>
  </si>
  <si>
    <t>05xxx</t>
  </si>
  <si>
    <t>06xxx</t>
  </si>
  <si>
    <t>10xxx</t>
  </si>
  <si>
    <t>12xxx</t>
  </si>
  <si>
    <t>14xxx</t>
  </si>
  <si>
    <t>16xxx</t>
  </si>
  <si>
    <t>17xxx</t>
  </si>
  <si>
    <t>18xxx</t>
  </si>
  <si>
    <t>18724 : 10 €/h, 18900, 18903, 18905 à 30 €/h</t>
  </si>
  <si>
    <t>19xxx</t>
  </si>
  <si>
    <t>24xxx</t>
  </si>
  <si>
    <t>26xxx</t>
  </si>
  <si>
    <t>26036 à 20 €/h</t>
  </si>
  <si>
    <t>28xxx</t>
  </si>
  <si>
    <t>32xxx</t>
  </si>
  <si>
    <t>38xxx</t>
  </si>
  <si>
    <t>38030, 38032, 38037 à 3 €/h</t>
  </si>
  <si>
    <t>39xxx</t>
  </si>
  <si>
    <t>44xxx</t>
  </si>
  <si>
    <t>48xxx</t>
  </si>
  <si>
    <t>55xxx</t>
  </si>
  <si>
    <t>62xxx</t>
  </si>
  <si>
    <t>64xxx</t>
  </si>
  <si>
    <t>67xxx</t>
  </si>
  <si>
    <t>68xxx</t>
  </si>
  <si>
    <t>69xxx</t>
  </si>
  <si>
    <t>70xxx</t>
  </si>
  <si>
    <t>73xxx</t>
  </si>
  <si>
    <t>74xxx</t>
  </si>
  <si>
    <t>76xxx</t>
  </si>
  <si>
    <t>77xxx</t>
  </si>
  <si>
    <t>81xxx</t>
  </si>
  <si>
    <t>82xxx</t>
  </si>
  <si>
    <t>89xxx</t>
  </si>
  <si>
    <t>pour formule</t>
  </si>
  <si>
    <t>codes</t>
  </si>
  <si>
    <t>(formule automatique)</t>
  </si>
  <si>
    <t xml:space="preserve">Attention,  ne rien saisir dans les colonnes C et E </t>
  </si>
  <si>
    <t>MAN</t>
  </si>
  <si>
    <t>Mission aménagement numérique</t>
  </si>
  <si>
    <t>MI 01</t>
  </si>
  <si>
    <t>Mirecourt (Travail code en 01)</t>
  </si>
  <si>
    <t>MI 03</t>
  </si>
  <si>
    <t>Mirecourt (Travail code en 03)</t>
  </si>
  <si>
    <t>MI 13</t>
  </si>
  <si>
    <t>Mirecourt (Travail code en 13)</t>
  </si>
  <si>
    <t>MI COL</t>
  </si>
  <si>
    <t>Mirecourt pour collèges</t>
  </si>
  <si>
    <t>MI DAR</t>
  </si>
  <si>
    <t>Mirecourt pour CEP Darney</t>
  </si>
  <si>
    <t>MI JUV</t>
  </si>
  <si>
    <t>Mirecourt pour Zone JUVAINCOURT</t>
  </si>
  <si>
    <t>MI LAM</t>
  </si>
  <si>
    <t>Mirecourt pour CES Lamarche</t>
  </si>
  <si>
    <t>MI NEU</t>
  </si>
  <si>
    <t>Mirecourt pour CEP Neufchâteau</t>
  </si>
  <si>
    <t>MI VIT</t>
  </si>
  <si>
    <t>Mirecourt pour CEP Vittel</t>
  </si>
  <si>
    <t>MSVSM</t>
  </si>
  <si>
    <t>Mirecourt pour Maison de la Solidarité et de la Vie Sociale de Mirecourt (ex DVIS)</t>
  </si>
  <si>
    <t>MSVSV</t>
  </si>
  <si>
    <t>Vittel pour Maison de la Solidarité et de la Vie Sociale de Vittel (ex DVIS)</t>
  </si>
  <si>
    <t xml:space="preserve">Vittel (Travail code en 01) </t>
  </si>
  <si>
    <t>Vittel (Travail code en 03)</t>
  </si>
  <si>
    <t>Vittel (Travail code en 13)</t>
  </si>
  <si>
    <t>VI COL</t>
  </si>
  <si>
    <t>Vittel pour collèges</t>
  </si>
  <si>
    <t>VI DAR</t>
  </si>
  <si>
    <t>Vittel pour CEP Darney</t>
  </si>
  <si>
    <t>VI LAM</t>
  </si>
  <si>
    <t>Vittel pour CES Lamarche</t>
  </si>
  <si>
    <t>VI MIR</t>
  </si>
  <si>
    <t>Vittel pour CES Mirecourt</t>
  </si>
  <si>
    <t>VI NEU</t>
  </si>
  <si>
    <t>Vittel pour CEP Neufchâteau</t>
  </si>
  <si>
    <t xml:space="preserve">Darney (Travail code en 01) </t>
  </si>
  <si>
    <t>Darney  (Travail code en 03)</t>
  </si>
  <si>
    <t>Darney  (Travail code en 13)</t>
  </si>
  <si>
    <t>DA COL</t>
  </si>
  <si>
    <t>Darney pour collèges</t>
  </si>
  <si>
    <t>DA LAM</t>
  </si>
  <si>
    <t>Darney pour CES Lamarche</t>
  </si>
  <si>
    <t>DA MIR</t>
  </si>
  <si>
    <t>Darney pour CES Mirecourt</t>
  </si>
  <si>
    <t>DA NEU</t>
  </si>
  <si>
    <t>Darney pour CEP Neufchâteau</t>
  </si>
  <si>
    <t>DA VIT</t>
  </si>
  <si>
    <t>Darney pour CEP Vittel</t>
  </si>
  <si>
    <t>MSVS D</t>
  </si>
  <si>
    <t>Darney pour Maison de la Solidarité et de la Vie Sociale Darney (ex DVIS)</t>
  </si>
  <si>
    <t xml:space="preserve">Lamarche (Travail code en 01) </t>
  </si>
  <si>
    <t>Lamarche  (Travail code en 03)</t>
  </si>
  <si>
    <t>Lamarche  (Travail code en 13)</t>
  </si>
  <si>
    <t>LA COL</t>
  </si>
  <si>
    <t>Lamarche pour collèges</t>
  </si>
  <si>
    <t>Lamarche pour ZAC Damblain</t>
  </si>
  <si>
    <t>LA DAR</t>
  </si>
  <si>
    <t>Lamarche pour CEP Darney</t>
  </si>
  <si>
    <t>LA MIR</t>
  </si>
  <si>
    <t>Lamarche pour CES Mirecourt</t>
  </si>
  <si>
    <t>LA NEU</t>
  </si>
  <si>
    <t>Lamarche pour CEP Neufchâteau</t>
  </si>
  <si>
    <t>LA VIT</t>
  </si>
  <si>
    <t>Lamarche pour CEP Vittel</t>
  </si>
  <si>
    <t>LAM TI</t>
  </si>
  <si>
    <t>Forêt de Tignécourt</t>
  </si>
  <si>
    <t>TI NAT</t>
  </si>
  <si>
    <t>Expo nature images</t>
  </si>
  <si>
    <t>MSVSN</t>
  </si>
  <si>
    <t>Neufchâteau pour Maison de la Solidarité et de la Vie Sociale Neufchâteau (ex DVIS)</t>
  </si>
  <si>
    <t xml:space="preserve">Neufchâteau (Travail code en 01) </t>
  </si>
  <si>
    <t>Neufchâteau  (Travail code en 03)</t>
  </si>
  <si>
    <t>Neufchâteau  (Travail code en 13)</t>
  </si>
  <si>
    <t>NE COL</t>
  </si>
  <si>
    <t>Neufchâteau pour collèges</t>
  </si>
  <si>
    <t>NE DAR</t>
  </si>
  <si>
    <t>Neufchâteau pour CEP Darney</t>
  </si>
  <si>
    <t>NE DOM</t>
  </si>
  <si>
    <t>Neufchâteau pour Domrémy</t>
  </si>
  <si>
    <t>NE GRD</t>
  </si>
  <si>
    <t xml:space="preserve">Neufchâteau pour Grand </t>
  </si>
  <si>
    <t>NE LAM</t>
  </si>
  <si>
    <t>Neufchâteau pour CES Lamarche</t>
  </si>
  <si>
    <t>NE MIR</t>
  </si>
  <si>
    <t>Neufchâteau pour CES Mirecourt</t>
  </si>
  <si>
    <t>NE VIT</t>
  </si>
  <si>
    <t>Neufchâteau pour CEP Vittel</t>
  </si>
  <si>
    <t>NE ZAN</t>
  </si>
  <si>
    <t>Neufchâteau pour ZAC Neuilly</t>
  </si>
  <si>
    <t>Camion Mirecourt</t>
  </si>
  <si>
    <t>Tracteur Mirecourt</t>
  </si>
  <si>
    <t xml:space="preserve">Débroussailleuse Mirecourt </t>
  </si>
  <si>
    <t>Remorque Mirecourt</t>
  </si>
  <si>
    <t xml:space="preserve">Lame Mirecourt </t>
  </si>
  <si>
    <t>Lame Mirecourt</t>
  </si>
  <si>
    <t xml:space="preserve">Rabot Mirecourt </t>
  </si>
  <si>
    <t xml:space="preserve">Saleuse Mirecourt </t>
  </si>
  <si>
    <t>Lame fer Mirecourt</t>
  </si>
  <si>
    <t>32L73</t>
  </si>
  <si>
    <t>Camion Vittel</t>
  </si>
  <si>
    <t>Rotofaucheuse Vittel</t>
  </si>
  <si>
    <t>Balayeuse Vittel</t>
  </si>
  <si>
    <t xml:space="preserve">Lame Vittel </t>
  </si>
  <si>
    <t>Lame Vittel</t>
  </si>
  <si>
    <t>Saleuse Vittel</t>
  </si>
  <si>
    <t>Clio chef</t>
  </si>
  <si>
    <t>Peugeot Philippe</t>
  </si>
  <si>
    <t>Kangoo Vittel</t>
  </si>
  <si>
    <t>Kangoo Mirecourt</t>
  </si>
  <si>
    <t>Kangoo UT</t>
  </si>
  <si>
    <t>Fourgon VQ</t>
  </si>
  <si>
    <t>Fourgon Vittel</t>
  </si>
  <si>
    <t>Fourgon benne Mirecourt</t>
  </si>
  <si>
    <t>Fougon benne Vittel</t>
  </si>
  <si>
    <t>Fourgon Mirecourt</t>
  </si>
  <si>
    <t>1.01</t>
  </si>
  <si>
    <t>1.02</t>
  </si>
  <si>
    <t>1.03</t>
  </si>
  <si>
    <t>1.04</t>
  </si>
  <si>
    <t>1.05</t>
  </si>
  <si>
    <t>1.06</t>
  </si>
  <si>
    <t>Pers</t>
  </si>
  <si>
    <t>MatL</t>
  </si>
  <si>
    <t>MatX</t>
  </si>
  <si>
    <t>mi 01</t>
  </si>
  <si>
    <t>sel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</si>
  <si>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</si>
  <si>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</si>
  <si>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</si>
  <si>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</si>
  <si>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</si>
  <si>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</si>
  <si>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</si>
  <si>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</si>
  <si>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</si>
  <si>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O</t>
  </si>
  <si>
    <t>Camionnette Parc (Prêt)</t>
  </si>
  <si>
    <t>VI 03</t>
  </si>
  <si>
    <t>DA 01</t>
  </si>
  <si>
    <t>DA 03</t>
  </si>
  <si>
    <t>DA 13</t>
  </si>
  <si>
    <t>LA 01</t>
  </si>
  <si>
    <t>LA 03</t>
  </si>
  <si>
    <t>LA 13</t>
  </si>
  <si>
    <t>NE 01</t>
  </si>
  <si>
    <t>NE 03</t>
  </si>
  <si>
    <t>NE 13</t>
  </si>
  <si>
    <t>VI 01</t>
  </si>
  <si>
    <t>VI 13</t>
  </si>
  <si>
    <t>Fourgon Master Lamarche</t>
  </si>
  <si>
    <t>Camion 7T Lamarche</t>
  </si>
  <si>
    <t>Tracteur 4x4 Lamarche</t>
  </si>
  <si>
    <t>Tracteur Kubota Lamarche</t>
  </si>
  <si>
    <t>18A01</t>
  </si>
  <si>
    <t>Tracteur Renault Lamarche</t>
  </si>
  <si>
    <t>Fourgon Lamarche</t>
  </si>
  <si>
    <t>Saleuse Lamarche</t>
  </si>
  <si>
    <t>Chargeur Lamarche</t>
  </si>
  <si>
    <t>Débroussailleuse Lamarche</t>
  </si>
  <si>
    <t>LA DAM</t>
  </si>
  <si>
    <t>Rotofaucheuse Lamarche</t>
  </si>
  <si>
    <t>Lame 14059 Lamarche</t>
  </si>
  <si>
    <t>Lame 12028 Lamarche</t>
  </si>
  <si>
    <t>Remorque à panneaux Lamarche</t>
  </si>
  <si>
    <t>Kangoo Lamarche</t>
  </si>
  <si>
    <t>Peugeot Darney</t>
  </si>
  <si>
    <t>Twingo Darney</t>
  </si>
  <si>
    <t>Kangoo Darney (Franck)</t>
  </si>
  <si>
    <t xml:space="preserve">Fourgon Darney </t>
  </si>
  <si>
    <t xml:space="preserve">Camion Darney </t>
  </si>
  <si>
    <t xml:space="preserve">Tracteur Darney </t>
  </si>
  <si>
    <t xml:space="preserve">Télescopique Manitou Darney </t>
  </si>
  <si>
    <t xml:space="preserve">Lame Darney </t>
  </si>
  <si>
    <t xml:space="preserve">Rabot Darney </t>
  </si>
  <si>
    <t xml:space="preserve">Saleuse Darney </t>
  </si>
  <si>
    <t>Remorque Darney Triganon</t>
  </si>
  <si>
    <t>Chargeur Darney</t>
  </si>
  <si>
    <t>Débroussailleuse Darney</t>
  </si>
  <si>
    <t>Balayeuse Darney</t>
  </si>
  <si>
    <t>49xxx</t>
  </si>
  <si>
    <t>Non configuré</t>
  </si>
  <si>
    <t>07xxx</t>
  </si>
  <si>
    <t>08xxx</t>
  </si>
  <si>
    <t>09xxx</t>
  </si>
  <si>
    <t>11xxx</t>
  </si>
  <si>
    <t>13xxx</t>
  </si>
  <si>
    <t>15xxx</t>
  </si>
  <si>
    <t>20xxx</t>
  </si>
  <si>
    <t>21xxx</t>
  </si>
  <si>
    <t>22xxx</t>
  </si>
  <si>
    <t>23xxx</t>
  </si>
  <si>
    <t>25xxx</t>
  </si>
  <si>
    <t>27xxx</t>
  </si>
  <si>
    <t>29xxx</t>
  </si>
  <si>
    <t>30xxx</t>
  </si>
  <si>
    <t>31xxx</t>
  </si>
  <si>
    <t>33xxx</t>
  </si>
  <si>
    <t>34xxx</t>
  </si>
  <si>
    <t>35xxx</t>
  </si>
  <si>
    <t>36xxx</t>
  </si>
  <si>
    <t>37xxx</t>
  </si>
  <si>
    <t>40xxx</t>
  </si>
  <si>
    <t>41xxx</t>
  </si>
  <si>
    <t>42xxx</t>
  </si>
  <si>
    <t>43xxx</t>
  </si>
  <si>
    <t>45xxx</t>
  </si>
  <si>
    <t>46xxx</t>
  </si>
  <si>
    <t>47xxx</t>
  </si>
  <si>
    <t>50xxx</t>
  </si>
  <si>
    <t>51xxx</t>
  </si>
  <si>
    <t>52xxx</t>
  </si>
  <si>
    <t>53xxx</t>
  </si>
  <si>
    <t>54xxx</t>
  </si>
  <si>
    <t>56xxx</t>
  </si>
  <si>
    <t>57xxx</t>
  </si>
  <si>
    <t>58xxx</t>
  </si>
  <si>
    <t>59xxx</t>
  </si>
  <si>
    <t>60xxx</t>
  </si>
  <si>
    <t>61xxx</t>
  </si>
  <si>
    <t>63xxx</t>
  </si>
  <si>
    <t>65xxx</t>
  </si>
  <si>
    <t>66xxx</t>
  </si>
  <si>
    <t>71xxx</t>
  </si>
  <si>
    <t>72xxx</t>
  </si>
  <si>
    <t>75xxx</t>
  </si>
  <si>
    <t>78xxx</t>
  </si>
  <si>
    <t>79xxx</t>
  </si>
  <si>
    <t>80xxx</t>
  </si>
  <si>
    <t>83xxx</t>
  </si>
  <si>
    <t>84xxx</t>
  </si>
  <si>
    <t>85xxx</t>
  </si>
  <si>
    <t>86xxx</t>
  </si>
  <si>
    <t>87xxx</t>
  </si>
  <si>
    <t>88xxx</t>
  </si>
  <si>
    <t>Clio Parc</t>
  </si>
  <si>
    <t>SABLE</t>
  </si>
  <si>
    <t>Sable</t>
  </si>
  <si>
    <t>Microtracteur Darney</t>
  </si>
  <si>
    <t>UTOP</t>
  </si>
  <si>
    <t>Agents bureaux UTOP</t>
  </si>
  <si>
    <t>Camion Lamarche (pour VH)</t>
  </si>
  <si>
    <t>Peugeot 206 Neuneu</t>
  </si>
  <si>
    <t>Kangoo Neuneu</t>
  </si>
  <si>
    <t>Fourgon Pata Neuneu</t>
  </si>
  <si>
    <t>Fourgon faucheurs Neuneu</t>
  </si>
  <si>
    <t>Fourgon signalisation Neuneu</t>
  </si>
  <si>
    <t>Fourgon Neuneu</t>
  </si>
  <si>
    <t>Camion Neuneu</t>
  </si>
  <si>
    <t>Camion Neuneu (VH uniquement)</t>
  </si>
  <si>
    <t>Tracteur Neuneu</t>
  </si>
  <si>
    <t>Chargeur Neuneu</t>
  </si>
  <si>
    <t>Débroussailleuse Neuneu</t>
  </si>
  <si>
    <t>Rotofaucheuse Neuneu</t>
  </si>
  <si>
    <t>Balayeuse portée Neuneu</t>
  </si>
  <si>
    <t>Bouille émulsion Neuneu</t>
  </si>
  <si>
    <t>Lame Neuneu</t>
  </si>
  <si>
    <t>Rabot Neuneu</t>
  </si>
  <si>
    <t>Saleuse Neuneu</t>
  </si>
  <si>
    <t>Grue Neuneu</t>
  </si>
  <si>
    <t>Fourgon poubelles Neuneu</t>
  </si>
  <si>
    <t>Remorque Neuneu</t>
  </si>
  <si>
    <t>Compacteur Neuneu</t>
  </si>
  <si>
    <t>F</t>
  </si>
  <si>
    <t>32L72</t>
  </si>
  <si>
    <t>Manuscopique Neuneu</t>
  </si>
  <si>
    <t>Télescopique Neuneu</t>
  </si>
  <si>
    <t>Véhicule prêt Neuneu</t>
  </si>
  <si>
    <t>Voiture Mirecourt prêt</t>
  </si>
  <si>
    <t>Kangoo Parc prêt</t>
  </si>
  <si>
    <t>Voiture prêt</t>
  </si>
  <si>
    <t xml:space="preserve">P.A.T. 2500 L </t>
  </si>
  <si>
    <t>Tracteur Vittel Occasionnel en mars et avril</t>
  </si>
  <si>
    <t>Broyeur Vittel Occasionnel mars et avril</t>
  </si>
  <si>
    <t xml:space="preserve">Citerne Lamarche et Darney OCC </t>
  </si>
  <si>
    <t xml:space="preserve">Caisson DARNEY occ </t>
  </si>
  <si>
    <t>Chargeur occ lamarche?</t>
  </si>
  <si>
    <t>Tracteur occ lamarche</t>
  </si>
  <si>
    <t>Manuscopique Vittel (remplacé par 32016)</t>
  </si>
  <si>
    <t>Remorque panneaux Vittel</t>
  </si>
  <si>
    <t>Camion Vittel (pour VH)</t>
  </si>
  <si>
    <t>Camion Mirecourt (pour VH)</t>
  </si>
  <si>
    <t>Camion prêt pour Darney</t>
  </si>
  <si>
    <t>Camion Lamarche Darney Occ rien en juin, à fermer en juillet ?</t>
  </si>
  <si>
    <t>Tracteur Mirecourt (ARRET AU 04/02)</t>
  </si>
  <si>
    <t>Chargeur Mirecourt (ARRET AU 04/02)</t>
  </si>
  <si>
    <t>Pelle parc prêt</t>
  </si>
  <si>
    <t>Camion prêt occasionnel</t>
  </si>
  <si>
    <t>Tracteur prêt</t>
  </si>
  <si>
    <t>Débroussailleuse prêt</t>
  </si>
  <si>
    <t>Twingo prêt</t>
  </si>
  <si>
    <t>Kangooo prêt</t>
  </si>
  <si>
    <t>Tracteur Vittel DEPUIS OCTOBRE</t>
  </si>
  <si>
    <t>Débroussailleuse Vittel DEPUIS OCTOBRE</t>
  </si>
  <si>
    <t>Fourgon prêt</t>
  </si>
  <si>
    <t>Camion HIVER Lamarche</t>
  </si>
  <si>
    <t>Lame HIVER Lamarche</t>
  </si>
  <si>
    <t>Manuscopique Vittel depuis le 20/08</t>
  </si>
  <si>
    <t>Camion 5t Lamarche (quand panne 14059)</t>
  </si>
  <si>
    <t>Tracteur Vittel devient Mirecourt à partir du 04/02</t>
  </si>
  <si>
    <t>Tracteur Darney</t>
  </si>
  <si>
    <t>Reform</t>
  </si>
  <si>
    <t>Chargeur Vittel devient Mirecourt à partir du 04/02</t>
  </si>
  <si>
    <t>Rotofaucheuse Darney</t>
  </si>
  <si>
    <t>Girobroyeur Tignécourt</t>
  </si>
  <si>
    <t>Gyrobroyeur Lamarche</t>
  </si>
  <si>
    <t>P.A.T. 2500 L</t>
  </si>
  <si>
    <t>Tracteur Vittel A FERMER début octobre depuis décembre sur neuneu en occ</t>
  </si>
  <si>
    <t>Débroussailleuse Vittel A FERMER début octobre depuis décembre sur neuneu en occ</t>
  </si>
  <si>
    <t>Remorque Reform</t>
  </si>
  <si>
    <t>PRIM</t>
  </si>
  <si>
    <t>Primaire</t>
  </si>
  <si>
    <t>GNT</t>
  </si>
  <si>
    <t>GNT 0/20, 0/315, 0/40, 20/40…</t>
  </si>
  <si>
    <t>EC</t>
  </si>
  <si>
    <t>Enrobés à chaud</t>
  </si>
  <si>
    <t>GRAV</t>
  </si>
  <si>
    <t>Gravillons 4/6, 6/10…</t>
  </si>
  <si>
    <t>ACCIDENTS (interventions, réparations…) YC DANS VQ</t>
  </si>
  <si>
    <t>INTERVENTIONS VQ (sauf accidents)</t>
  </si>
  <si>
    <t>INTERVENTIONS EXCEPTIONNELLES</t>
  </si>
  <si>
    <t>3157.01</t>
  </si>
  <si>
    <t/>
  </si>
  <si>
    <t>3158.01</t>
  </si>
  <si>
    <t>3159.01</t>
  </si>
  <si>
    <t>3160.01</t>
  </si>
  <si>
    <t>3161.01</t>
  </si>
  <si>
    <t>3162.01</t>
  </si>
</sst>
</file>

<file path=xl/styles.xml><?xml version="1.0" encoding="utf-8"?>
<styleSheet xmlns="http://schemas.openxmlformats.org/spreadsheetml/2006/main">
  <numFmts count="7">
    <numFmt numFmtId="164" formatCode="00"/>
    <numFmt numFmtId="165" formatCode="dd/mm/yy"/>
    <numFmt numFmtId="166" formatCode="0#,##0"/>
    <numFmt numFmtId="167" formatCode="0###0"/>
    <numFmt numFmtId="168" formatCode="0.000000"/>
    <numFmt numFmtId="169" formatCode="0#\x\x\x"/>
    <numFmt numFmtId="170" formatCode="dd/mm/yy;@"/>
  </numFmts>
  <fonts count="3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924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.5"/>
      <color rgb="FF000000"/>
      <name val="Verdana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211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1" fontId="0" fillId="0" borderId="0" xfId="0" applyNumberFormat="1"/>
    <xf numFmtId="2" fontId="0" fillId="0" borderId="0" xfId="0" applyNumberFormat="1"/>
    <xf numFmtId="2" fontId="0" fillId="0" borderId="0" xfId="0" applyNumberFormat="1" applyFill="1" applyAlignment="1">
      <alignment horizontal="center" vertical="center"/>
    </xf>
    <xf numFmtId="2" fontId="18" fillId="0" borderId="0" xfId="0" applyNumberFormat="1" applyFont="1" applyFill="1" applyAlignment="1">
      <alignment horizontal="center" vertical="center"/>
    </xf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 applyProtection="1"/>
    <xf numFmtId="0" fontId="0" fillId="0" borderId="0" xfId="0" quotePrefix="1" applyAlignment="1" applyProtection="1"/>
    <xf numFmtId="0" fontId="16" fillId="0" borderId="0" xfId="0" applyFont="1" applyAlignment="1">
      <alignment horizontal="center" vertical="center"/>
    </xf>
    <xf numFmtId="0" fontId="16" fillId="0" borderId="0" xfId="0" applyFont="1"/>
    <xf numFmtId="1" fontId="0" fillId="0" borderId="0" xfId="0" applyNumberFormat="1"/>
    <xf numFmtId="0" fontId="0" fillId="33" borderId="0" xfId="0" applyFill="1" applyBorder="1" applyAlignment="1">
      <alignment vertical="center"/>
    </xf>
    <xf numFmtId="0" fontId="16" fillId="33" borderId="0" xfId="0" applyFont="1" applyFill="1" applyBorder="1" applyAlignment="1">
      <alignment vertical="center"/>
    </xf>
    <xf numFmtId="0" fontId="0" fillId="33" borderId="0" xfId="0" applyFill="1" applyBorder="1" applyAlignment="1">
      <alignment horizontal="center" vertical="center"/>
    </xf>
    <xf numFmtId="0" fontId="0" fillId="33" borderId="0" xfId="0" applyFill="1" applyBorder="1" applyAlignment="1">
      <alignment horizontal="left" vertical="center"/>
    </xf>
    <xf numFmtId="0" fontId="16" fillId="33" borderId="0" xfId="0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right" vertical="center"/>
    </xf>
    <xf numFmtId="0" fontId="0" fillId="0" borderId="10" xfId="0" applyFont="1" applyFill="1" applyBorder="1" applyAlignment="1">
      <alignment horizontal="center" vertical="center"/>
    </xf>
    <xf numFmtId="1" fontId="18" fillId="34" borderId="10" xfId="0" applyNumberFormat="1" applyFont="1" applyFill="1" applyBorder="1" applyAlignment="1" applyProtection="1">
      <alignment horizontal="center" vertical="center"/>
      <protection locked="0"/>
    </xf>
    <xf numFmtId="167" fontId="18" fillId="34" borderId="10" xfId="0" applyNumberFormat="1" applyFont="1" applyFill="1" applyBorder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 vertical="center"/>
      <protection locked="0"/>
    </xf>
    <xf numFmtId="2" fontId="1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8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8" fillId="0" borderId="0" xfId="0" applyFont="1" applyBorder="1" applyAlignment="1">
      <alignment vertical="center"/>
    </xf>
    <xf numFmtId="1" fontId="21" fillId="0" borderId="0" xfId="0" applyNumberFormat="1" applyFont="1" applyAlignment="1" applyProtection="1">
      <alignment horizontal="center"/>
      <protection locked="0"/>
    </xf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6" fillId="33" borderId="0" xfId="0" applyFont="1" applyFill="1" applyBorder="1" applyAlignment="1">
      <alignment horizontal="center" vertical="center"/>
    </xf>
    <xf numFmtId="1" fontId="18" fillId="0" borderId="0" xfId="0" applyNumberFormat="1" applyFont="1" applyFill="1" applyAlignment="1">
      <alignment horizontal="center" vertical="center"/>
    </xf>
    <xf numFmtId="2" fontId="18" fillId="0" borderId="0" xfId="0" applyNumberFormat="1" applyFont="1" applyFill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2" fontId="0" fillId="0" borderId="0" xfId="0" applyNumberFormat="1" applyFill="1" applyAlignment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6" fillId="33" borderId="0" xfId="0" applyFont="1" applyFill="1" applyBorder="1" applyAlignment="1">
      <alignment horizontal="center" vertical="center"/>
    </xf>
    <xf numFmtId="0" fontId="0" fillId="33" borderId="0" xfId="0" applyFill="1" applyBorder="1" applyAlignment="1">
      <alignment horizontal="left" vertical="center"/>
    </xf>
    <xf numFmtId="166" fontId="18" fillId="0" borderId="0" xfId="0" applyNumberFormat="1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vertical="center"/>
    </xf>
    <xf numFmtId="166" fontId="0" fillId="0" borderId="0" xfId="0" applyNumberFormat="1" applyAlignment="1">
      <alignment vertical="center"/>
    </xf>
    <xf numFmtId="2" fontId="0" fillId="0" borderId="0" xfId="0" applyNumberFormat="1" applyFont="1" applyFill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/>
    </xf>
    <xf numFmtId="3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167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1" fontId="21" fillId="0" borderId="0" xfId="0" applyNumberFormat="1" applyFont="1" applyAlignment="1">
      <alignment horizontal="center"/>
    </xf>
    <xf numFmtId="0" fontId="16" fillId="0" borderId="0" xfId="0" applyFont="1" applyAlignment="1" applyProtection="1">
      <alignment horizontal="center" vertical="center"/>
    </xf>
    <xf numFmtId="0" fontId="0" fillId="0" borderId="0" xfId="0" quotePrefix="1" applyAlignment="1" applyProtection="1">
      <alignment vertical="center"/>
    </xf>
    <xf numFmtId="0" fontId="0" fillId="0" borderId="0" xfId="0" applyAlignment="1" applyProtection="1">
      <alignment horizontal="right" vertical="center"/>
    </xf>
    <xf numFmtId="1" fontId="20" fillId="0" borderId="0" xfId="0" applyNumberFormat="1" applyFont="1" applyAlignment="1" applyProtection="1">
      <alignment horizontal="center"/>
    </xf>
    <xf numFmtId="1" fontId="27" fillId="0" borderId="0" xfId="0" applyNumberFormat="1" applyFont="1" applyAlignment="1" applyProtection="1">
      <alignment horizontal="center"/>
    </xf>
    <xf numFmtId="1" fontId="27" fillId="0" borderId="0" xfId="0" applyNumberFormat="1" applyFont="1" applyAlignment="1" applyProtection="1">
      <alignment horizontal="left"/>
    </xf>
    <xf numFmtId="0" fontId="1" fillId="0" borderId="0" xfId="0" applyFont="1" applyProtection="1"/>
    <xf numFmtId="2" fontId="0" fillId="0" borderId="0" xfId="0" applyNumberFormat="1" applyFill="1"/>
    <xf numFmtId="0" fontId="16" fillId="3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8" fontId="0" fillId="0" borderId="0" xfId="0" applyNumberFormat="1"/>
    <xf numFmtId="0" fontId="0" fillId="0" borderId="0" xfId="0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center"/>
    </xf>
    <xf numFmtId="0" fontId="18" fillId="0" borderId="0" xfId="0" applyNumberFormat="1" applyFont="1" applyFill="1" applyAlignment="1" applyProtection="1">
      <alignment horizontal="center" vertical="center"/>
      <protection locked="0"/>
    </xf>
    <xf numFmtId="14" fontId="18" fillId="0" borderId="0" xfId="0" applyNumberFormat="1" applyFont="1" applyFill="1" applyAlignment="1" applyProtection="1">
      <alignment horizontal="center" vertical="center"/>
      <protection locked="0"/>
    </xf>
    <xf numFmtId="166" fontId="0" fillId="0" borderId="0" xfId="0" applyNumberFormat="1" applyFill="1" applyAlignment="1" applyProtection="1">
      <alignment horizontal="center" vertical="center"/>
      <protection locked="0"/>
    </xf>
    <xf numFmtId="2" fontId="0" fillId="0" borderId="10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4" fontId="28" fillId="0" borderId="0" xfId="0" applyNumberFormat="1" applyFont="1" applyFill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14" fontId="18" fillId="0" borderId="0" xfId="0" applyNumberFormat="1" applyFont="1" applyFill="1" applyAlignment="1">
      <alignment horizontal="center" vertical="center"/>
    </xf>
    <xf numFmtId="0" fontId="16" fillId="0" borderId="0" xfId="0" applyFont="1" applyAlignment="1" applyProtection="1">
      <alignment vertical="center"/>
    </xf>
    <xf numFmtId="0" fontId="16" fillId="35" borderId="0" xfId="0" applyFont="1" applyFill="1"/>
    <xf numFmtId="0" fontId="16" fillId="35" borderId="0" xfId="0" applyFont="1" applyFill="1" applyAlignment="1" applyProtection="1">
      <alignment vertical="center"/>
    </xf>
    <xf numFmtId="0" fontId="16" fillId="35" borderId="0" xfId="0" applyFont="1" applyFill="1" applyAlignment="1" applyProtection="1">
      <alignment horizontal="right" vertical="center"/>
    </xf>
    <xf numFmtId="0" fontId="21" fillId="35" borderId="0" xfId="0" applyFont="1" applyFill="1" applyAlignment="1" applyProtection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6" fillId="0" borderId="0" xfId="0" applyFont="1" applyAlignment="1" applyProtection="1">
      <alignment horizontal="left" vertical="center"/>
    </xf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0" fillId="33" borderId="0" xfId="0" applyFont="1" applyFill="1" applyBorder="1" applyAlignment="1">
      <alignment vertical="center"/>
    </xf>
    <xf numFmtId="0" fontId="1" fillId="33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0" fillId="33" borderId="0" xfId="0" applyFill="1" applyBorder="1" applyAlignment="1" applyProtection="1">
      <alignment vertical="center"/>
    </xf>
    <xf numFmtId="0" fontId="0" fillId="33" borderId="0" xfId="0" applyNumberFormat="1" applyFill="1" applyBorder="1" applyAlignment="1" applyProtection="1">
      <alignment horizontal="center" vertical="center"/>
    </xf>
    <xf numFmtId="0" fontId="16" fillId="33" borderId="0" xfId="0" applyFont="1" applyFill="1" applyBorder="1" applyAlignment="1" applyProtection="1">
      <alignment vertical="center"/>
    </xf>
    <xf numFmtId="0" fontId="0" fillId="33" borderId="0" xfId="0" applyFill="1" applyBorder="1" applyAlignment="1" applyProtection="1">
      <alignment horizontal="center" vertical="center"/>
    </xf>
    <xf numFmtId="165" fontId="0" fillId="33" borderId="0" xfId="0" applyNumberFormat="1" applyFill="1" applyBorder="1" applyAlignment="1" applyProtection="1">
      <alignment horizontal="center" vertical="center"/>
    </xf>
    <xf numFmtId="167" fontId="0" fillId="33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8" fontId="18" fillId="0" borderId="0" xfId="0" applyNumberFormat="1" applyFont="1" applyFill="1" applyAlignment="1">
      <alignment horizontal="center" vertical="center"/>
    </xf>
    <xf numFmtId="0" fontId="18" fillId="34" borderId="0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0" xfId="0" applyFont="1" applyAlignment="1">
      <alignment vertical="center"/>
    </xf>
    <xf numFmtId="2" fontId="18" fillId="34" borderId="10" xfId="0" applyNumberFormat="1" applyFont="1" applyFill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 shrinkToFit="1"/>
    </xf>
    <xf numFmtId="0" fontId="18" fillId="0" borderId="14" xfId="0" applyFont="1" applyBorder="1" applyAlignment="1" applyProtection="1">
      <alignment horizontal="center" vertical="center" shrinkToFit="1"/>
    </xf>
    <xf numFmtId="0" fontId="18" fillId="0" borderId="15" xfId="0" applyFont="1" applyBorder="1" applyAlignment="1" applyProtection="1">
      <alignment horizontal="center" vertical="center" shrinkToFit="1"/>
    </xf>
    <xf numFmtId="0" fontId="25" fillId="0" borderId="0" xfId="0" applyFont="1" applyAlignment="1" applyProtection="1">
      <alignment horizontal="center" vertical="center"/>
    </xf>
    <xf numFmtId="0" fontId="31" fillId="0" borderId="0" xfId="42" applyFont="1" applyAlignment="1">
      <alignment vertical="center"/>
    </xf>
    <xf numFmtId="0" fontId="24" fillId="0" borderId="0" xfId="0" applyFont="1"/>
    <xf numFmtId="0" fontId="32" fillId="0" borderId="0" xfId="0" applyFont="1" applyFill="1" applyAlignment="1">
      <alignment vertical="center"/>
    </xf>
    <xf numFmtId="0" fontId="20" fillId="0" borderId="0" xfId="0" applyFont="1"/>
    <xf numFmtId="0" fontId="0" fillId="0" borderId="0" xfId="0" quotePrefix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14" fontId="0" fillId="34" borderId="0" xfId="0" applyNumberFormat="1" applyFill="1" applyBorder="1" applyAlignment="1" applyProtection="1">
      <alignment horizontal="center" vertical="center"/>
      <protection locked="0"/>
    </xf>
    <xf numFmtId="0" fontId="18" fillId="0" borderId="0" xfId="0" applyFont="1"/>
    <xf numFmtId="2" fontId="0" fillId="0" borderId="0" xfId="0" applyNumberFormat="1" applyBorder="1" applyAlignment="1">
      <alignment horizontal="center"/>
    </xf>
    <xf numFmtId="0" fontId="0" fillId="36" borderId="16" xfId="0" applyFont="1" applyFill="1" applyBorder="1"/>
    <xf numFmtId="0" fontId="0" fillId="0" borderId="16" xfId="0" applyFont="1" applyBorder="1"/>
    <xf numFmtId="169" fontId="0" fillId="0" borderId="0" xfId="0" applyNumberFormat="1"/>
    <xf numFmtId="169" fontId="0" fillId="0" borderId="16" xfId="0" applyNumberFormat="1" applyFont="1" applyBorder="1"/>
    <xf numFmtId="2" fontId="18" fillId="0" borderId="0" xfId="0" applyNumberFormat="1" applyFont="1" applyFill="1" applyAlignment="1" applyProtection="1">
      <alignment horizontal="center" vertical="center"/>
      <protection locked="0"/>
    </xf>
    <xf numFmtId="1" fontId="18" fillId="0" borderId="0" xfId="0" applyNumberFormat="1" applyFont="1" applyFill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locked="0"/>
    </xf>
    <xf numFmtId="1" fontId="33" fillId="0" borderId="0" xfId="0" applyNumberFormat="1" applyFont="1" applyAlignment="1" applyProtection="1">
      <alignment horizontal="center" vertical="center"/>
      <protection locked="0"/>
    </xf>
    <xf numFmtId="0" fontId="33" fillId="0" borderId="0" xfId="0" applyNumberFormat="1" applyFont="1" applyFill="1" applyAlignment="1" applyProtection="1">
      <alignment horizontal="center" vertical="center"/>
      <protection locked="0"/>
    </xf>
    <xf numFmtId="2" fontId="33" fillId="0" borderId="0" xfId="0" applyNumberFormat="1" applyFont="1" applyAlignment="1" applyProtection="1">
      <alignment horizontal="center" vertical="center"/>
      <protection locked="0"/>
    </xf>
    <xf numFmtId="166" fontId="18" fillId="34" borderId="0" xfId="0" applyNumberFormat="1" applyFont="1" applyFill="1" applyBorder="1" applyAlignment="1" applyProtection="1">
      <alignment horizontal="center" vertical="center"/>
      <protection locked="0"/>
    </xf>
    <xf numFmtId="170" fontId="0" fillId="0" borderId="0" xfId="0" applyNumberFormat="1" applyFill="1" applyAlignment="1" applyProtection="1">
      <alignment horizontal="center" vertical="center"/>
      <protection locked="0"/>
    </xf>
    <xf numFmtId="170" fontId="0" fillId="0" borderId="0" xfId="0" applyNumberFormat="1" applyProtection="1">
      <protection locked="0"/>
    </xf>
    <xf numFmtId="0" fontId="0" fillId="35" borderId="0" xfId="0" applyFill="1" applyAlignment="1">
      <alignment horizontal="center" vertical="center"/>
    </xf>
    <xf numFmtId="0" fontId="34" fillId="0" borderId="0" xfId="0" applyNumberFormat="1" applyFont="1" applyFill="1" applyAlignment="1" applyProtection="1">
      <alignment horizontal="center" vertical="center"/>
      <protection locked="0"/>
    </xf>
    <xf numFmtId="1" fontId="34" fillId="0" borderId="0" xfId="0" applyNumberFormat="1" applyFont="1" applyAlignment="1" applyProtection="1">
      <alignment horizontal="center" vertical="center"/>
      <protection locked="0"/>
    </xf>
    <xf numFmtId="2" fontId="34" fillId="0" borderId="0" xfId="0" applyNumberFormat="1" applyFont="1" applyAlignment="1" applyProtection="1">
      <alignment horizontal="center" vertical="center"/>
      <protection locked="0"/>
    </xf>
    <xf numFmtId="167" fontId="16" fillId="0" borderId="0" xfId="0" applyNumberFormat="1" applyFont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vertical="center"/>
      <protection locked="0"/>
    </xf>
    <xf numFmtId="1" fontId="25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NumberFormat="1" applyFont="1" applyFill="1" applyAlignment="1" applyProtection="1">
      <alignment horizontal="center" vertical="center"/>
      <protection locked="0"/>
    </xf>
    <xf numFmtId="2" fontId="25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7" fillId="0" borderId="0" xfId="0" applyFont="1" applyFill="1" applyAlignment="1" applyProtection="1">
      <alignment horizontal="center" vertical="center"/>
      <protection locked="0"/>
    </xf>
    <xf numFmtId="0" fontId="16" fillId="37" borderId="10" xfId="0" applyFont="1" applyFill="1" applyBorder="1" applyAlignment="1">
      <alignment horizontal="center" vertical="center"/>
    </xf>
    <xf numFmtId="1" fontId="18" fillId="37" borderId="10" xfId="0" applyNumberFormat="1" applyFont="1" applyFill="1" applyBorder="1" applyAlignment="1" applyProtection="1">
      <alignment horizontal="center" vertical="center"/>
      <protection locked="0"/>
    </xf>
    <xf numFmtId="167" fontId="18" fillId="37" borderId="10" xfId="0" applyNumberFormat="1" applyFont="1" applyFill="1" applyBorder="1" applyAlignment="1" applyProtection="1">
      <alignment horizontal="center" vertical="center"/>
      <protection locked="0"/>
    </xf>
    <xf numFmtId="0" fontId="0" fillId="37" borderId="11" xfId="0" applyFont="1" applyFill="1" applyBorder="1" applyAlignment="1">
      <alignment horizontal="left" vertical="center"/>
    </xf>
    <xf numFmtId="0" fontId="0" fillId="37" borderId="12" xfId="0" applyFont="1" applyFill="1" applyBorder="1" applyAlignment="1">
      <alignment horizontal="left" vertical="center"/>
    </xf>
    <xf numFmtId="2" fontId="18" fillId="37" borderId="10" xfId="0" applyNumberFormat="1" applyFont="1" applyFill="1" applyBorder="1" applyAlignment="1" applyProtection="1">
      <alignment horizontal="center" vertical="center"/>
      <protection locked="0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37" borderId="11" xfId="0" applyFont="1" applyFill="1" applyBorder="1" applyAlignment="1">
      <alignment horizontal="center" vertical="center"/>
    </xf>
    <xf numFmtId="0" fontId="16" fillId="37" borderId="12" xfId="0" applyFont="1" applyFill="1" applyBorder="1" applyAlignment="1">
      <alignment horizontal="center" vertical="center"/>
    </xf>
    <xf numFmtId="0" fontId="18" fillId="0" borderId="0" xfId="0" applyFont="1" applyFill="1" applyAlignment="1" applyProtection="1">
      <alignment horizontal="center" vertical="center"/>
      <protection locked="0"/>
    </xf>
    <xf numFmtId="170" fontId="18" fillId="0" borderId="0" xfId="0" applyNumberFormat="1" applyFont="1" applyFill="1" applyAlignment="1" applyProtection="1">
      <alignment horizontal="center" vertical="center"/>
      <protection locked="0"/>
    </xf>
    <xf numFmtId="166" fontId="18" fillId="0" borderId="0" xfId="0" applyNumberFormat="1" applyFont="1" applyFill="1" applyAlignment="1" applyProtection="1">
      <alignment horizontal="center" vertical="center"/>
      <protection locked="0"/>
    </xf>
    <xf numFmtId="4" fontId="18" fillId="0" borderId="0" xfId="0" applyNumberFormat="1" applyFont="1" applyFill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2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numFmt numFmtId="164" formatCode="00"/>
    </dxf>
    <dxf>
      <numFmt numFmtId="164" formatCode="00"/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numFmt numFmtId="164" formatCode="00"/>
    </dxf>
    <dxf>
      <numFmt numFmtId="2" formatCode="0.00"/>
      <alignment horizontal="right" vertical="center" textRotation="0" wrapText="0" indent="0" relativeIndent="255" justifyLastLine="0" shrinkToFit="0" readingOrder="0"/>
      <protection locked="0" hidden="0"/>
    </dxf>
    <dxf>
      <numFmt numFmtId="2" formatCode="0.00"/>
      <alignment horizontal="right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numFmt numFmtId="1" formatCode="0"/>
      <alignment horizontal="center" vertical="center" textRotation="0" wrapText="0" indent="0" relativeIndent="255" justifyLastLine="0" shrinkToFit="0" readingOrder="0"/>
      <protection locked="0" hidden="0"/>
    </dxf>
    <dxf>
      <alignment horizontal="general" vertical="center" textRotation="0" wrapText="0" indent="0" relativeIndent="255" justifyLastLine="0" shrinkToFit="0" readingOrder="0"/>
      <protection locked="0" hidden="0"/>
    </dxf>
    <dxf>
      <numFmt numFmtId="1" formatCode="0"/>
      <alignment horizontal="general" vertical="center" textRotation="0" wrapText="0" indent="0" relativeIndent="255" justifyLastLine="0" shrinkToFit="0" readingOrder="0"/>
      <protection locked="0" hidden="0"/>
    </dxf>
    <dxf>
      <alignment horizontal="general" vertical="center" textRotation="0" wrapText="0" indent="0" relativeIndent="255" justifyLastLine="0" shrinkToFit="0" readingOrder="0"/>
      <protection locked="0" hidden="0"/>
    </dxf>
    <dxf>
      <numFmt numFmtId="1" formatCode="0"/>
      <alignment horizontal="center" vertical="center" textRotation="0" wrapText="0" indent="0" relativeIndent="255" justifyLastLine="0" shrinkToFit="0" readingOrder="0"/>
      <protection locked="0" hidden="0"/>
    </dxf>
    <dxf>
      <alignment horizontal="general" vertical="center" textRotation="0" wrapText="0" indent="0" relativeIndent="255" justifyLastLine="0" shrinkToFit="0" readingOrder="0"/>
      <protection locked="0" hidden="0"/>
    </dxf>
    <dxf>
      <numFmt numFmtId="30" formatCode="@"/>
      <alignment horizontal="general" vertical="center" textRotation="0" wrapText="0" indent="0" relativeIndent="255" justifyLastLine="0" shrinkToFit="0" readingOrder="0"/>
      <protection locked="0" hidden="0"/>
    </dxf>
    <dxf>
      <numFmt numFmtId="1" formatCode="0"/>
      <protection locked="0" hidden="0"/>
    </dxf>
    <dxf>
      <numFmt numFmtId="1" formatCode="0"/>
      <alignment horizontal="general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relativeIndent="255" justifyLastLine="0" shrinkToFit="0" readingOrder="0"/>
      <protection locked="0" hidden="0"/>
    </dxf>
    <dxf>
      <numFmt numFmtId="1" formatCode="0"/>
      <alignment horizontal="center" vertical="center" textRotation="0" wrapText="0" indent="0" relativeIndent="255" justifyLastLine="0" shrinkToFit="0" readingOrder="0"/>
      <protection locked="0" hidden="0"/>
    </dxf>
    <dxf>
      <numFmt numFmtId="1" formatCode="0"/>
      <alignment horizontal="center" vertical="center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relativeIndent="255" justifyLastLine="0" shrinkToFit="0" readingOrder="0"/>
      <protection locked="0" hidden="0"/>
    </dxf>
    <dxf>
      <numFmt numFmtId="1" formatCode="0"/>
      <alignment horizontal="general" vertical="center" textRotation="0" wrapText="0" indent="0" relativeIndent="255" justifyLastLine="0" shrinkToFit="0" readingOrder="0"/>
      <protection locked="0" hidden="0"/>
    </dxf>
    <dxf>
      <numFmt numFmtId="167" formatCode="0###0"/>
      <alignment horizontal="center" vertical="center" textRotation="0" wrapText="0" indent="0" relativeIndent="255" justifyLastLine="0" shrinkToFit="0" readingOrder="0"/>
      <protection locked="0" hidden="0"/>
    </dxf>
    <dxf>
      <alignment horizontal="general" vertical="center" textRotation="0" wrapText="0" indent="0" relativeIndent="255" justifyLastLine="0" shrinkToFit="0" readingOrder="0"/>
      <protection locked="0" hidden="0"/>
    </dxf>
    <dxf>
      <protection locked="0" hidden="0"/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dotted">
          <color theme="0" tint="-0.34998626667073579"/>
        </top>
        <bottom style="dotted">
          <color theme="0" tint="-0.34998626667073579"/>
        </bottom>
      </border>
      <protection locked="0" hidden="0"/>
    </dxf>
    <dxf>
      <numFmt numFmtId="2" formatCode="0.00"/>
      <alignment horizontal="center" vertical="bottom" textRotation="0" wrapText="0" indent="0" relativeIndent="255" justifyLastLine="0" shrinkToFit="0" readingOrder="0"/>
      <protection locked="0" hidden="0"/>
    </dxf>
    <dxf>
      <numFmt numFmtId="2" formatCode="0.00"/>
      <alignment horizontal="center" vertical="bottom" textRotation="0" wrapText="0" indent="0" relativeIndent="255" justifyLastLine="0" shrinkToFit="0" readingOrder="0"/>
      <protection locked="0" hidden="0"/>
    </dxf>
    <dxf>
      <numFmt numFmtId="2" formatCode="0.00"/>
      <alignment horizontal="center" vertical="bottom" textRotation="0" wrapText="0" indent="0" relativeIndent="255" justifyLastLine="0" shrinkToFit="0" readingOrder="0"/>
      <protection locked="0" hidden="0"/>
    </dxf>
    <dxf>
      <numFmt numFmtId="1" formatCode="0"/>
      <alignment horizontal="left" vertical="bottom" textRotation="0" wrapText="0" indent="0" relativeIndent="255" justifyLastLine="0" shrinkToFit="0" readingOrder="0"/>
      <protection locked="0" hidden="0"/>
    </dxf>
    <dxf>
      <numFmt numFmtId="164" formatCode="00"/>
      <alignment horizontal="center" vertical="bottom" textRotation="0" wrapText="0" indent="0" relativeIndent="255" justifyLastLine="0" shrinkToFit="0" readingOrder="0"/>
      <protection locked="0" hidden="0"/>
    </dxf>
    <dxf>
      <border diagonalUp="0" diagonalDown="0">
        <left/>
        <right/>
        <top/>
        <bottom/>
      </border>
    </dxf>
    <dxf>
      <alignment horizontal="center" vertical="bottom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#,##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protection locked="0" hidden="0"/>
    </dxf>
    <dxf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relativeIndent="255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relativeIndent="255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relativeIndent="255" justifyLastLine="0" shrinkToFit="0" readingOrder="0"/>
      <protection locked="0" hidden="0"/>
    </dxf>
    <dxf>
      <protection locked="0" hidden="0"/>
    </dxf>
    <dxf>
      <numFmt numFmtId="1" formatCode="0"/>
      <protection locked="0" hidden="0"/>
    </dxf>
    <dxf>
      <protection locked="0" hidden="0"/>
    </dxf>
    <dxf>
      <numFmt numFmtId="30" formatCode="@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relativeIndent="255" justifyLastLine="0" shrinkToFit="0" readingOrder="0"/>
      <protection locked="0" hidden="0"/>
    </dxf>
  </dxfs>
  <tableStyles count="0" defaultTableStyle="TableStyleMedium2" defaultPivotStyle="PivotStyleLight16"/>
  <colors>
    <mruColors>
      <color rgb="FF990099"/>
      <color rgb="FF99FF99"/>
      <color rgb="FFE8BAD1"/>
      <color rgb="FFCB6196"/>
      <color rgb="FFFF6600"/>
      <color rgb="FF993366"/>
      <color rgb="FFD60093"/>
      <color rgb="FFFFFFAB"/>
      <color rgb="FFCDC800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a)Menu_tables'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53</xdr:row>
      <xdr:rowOff>104776</xdr:rowOff>
    </xdr:from>
    <xdr:to>
      <xdr:col>2</xdr:col>
      <xdr:colOff>819151</xdr:colOff>
      <xdr:row>56</xdr:row>
      <xdr:rowOff>28575</xdr:rowOff>
    </xdr:to>
    <xdr:sp macro="[0]!Validation_saisies" textlink="">
      <xdr:nvSpPr>
        <xdr:cNvPr id="13" name="Plaque 12"/>
        <xdr:cNvSpPr/>
      </xdr:nvSpPr>
      <xdr:spPr>
        <a:xfrm>
          <a:off x="523875" y="5772151"/>
          <a:ext cx="1209676" cy="552449"/>
        </a:xfrm>
        <a:prstGeom prst="bevel">
          <a:avLst/>
        </a:prstGeom>
        <a:solidFill>
          <a:srgbClr val="81FF81"/>
        </a:solidFill>
        <a:ln w="952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Sauvegarde</a:t>
          </a:r>
          <a:r>
            <a:rPr lang="fr-FR" baseline="0">
              <a:solidFill>
                <a:sysClr val="windowText" lastClr="000000"/>
              </a:solidFill>
            </a:rPr>
            <a:t> des données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304798</xdr:colOff>
      <xdr:row>53</xdr:row>
      <xdr:rowOff>104775</xdr:rowOff>
    </xdr:from>
    <xdr:to>
      <xdr:col>4</xdr:col>
      <xdr:colOff>590473</xdr:colOff>
      <xdr:row>56</xdr:row>
      <xdr:rowOff>28200</xdr:rowOff>
    </xdr:to>
    <xdr:sp macro="[0]!Impression_saisies" textlink="">
      <xdr:nvSpPr>
        <xdr:cNvPr id="14" name="Plaque 13"/>
        <xdr:cNvSpPr/>
      </xdr:nvSpPr>
      <xdr:spPr>
        <a:xfrm>
          <a:off x="2047873" y="5772150"/>
          <a:ext cx="1209600" cy="55207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  <a:ln w="9525">
          <a:solidFill>
            <a:schemeClr val="accent4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Impression après saisie</a:t>
          </a:r>
        </a:p>
      </xdr:txBody>
    </xdr:sp>
    <xdr:clientData/>
  </xdr:twoCellAnchor>
  <xdr:twoCellAnchor>
    <xdr:from>
      <xdr:col>5</xdr:col>
      <xdr:colOff>19050</xdr:colOff>
      <xdr:row>53</xdr:row>
      <xdr:rowOff>114301</xdr:rowOff>
    </xdr:from>
    <xdr:to>
      <xdr:col>7</xdr:col>
      <xdr:colOff>57075</xdr:colOff>
      <xdr:row>56</xdr:row>
      <xdr:rowOff>19051</xdr:rowOff>
    </xdr:to>
    <xdr:sp macro="" textlink="">
      <xdr:nvSpPr>
        <xdr:cNvPr id="6" name="Plaque 5">
          <a:hlinkClick xmlns:r="http://schemas.openxmlformats.org/officeDocument/2006/relationships" r:id="rId1"/>
        </xdr:cNvPr>
        <xdr:cNvSpPr/>
      </xdr:nvSpPr>
      <xdr:spPr>
        <a:xfrm>
          <a:off x="3571875" y="5781676"/>
          <a:ext cx="1209600" cy="533400"/>
        </a:xfrm>
        <a:prstGeom prst="bevel">
          <a:avLst/>
        </a:prstGeom>
        <a:solidFill>
          <a:srgbClr val="33CCCC"/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  <xdr:twoCellAnchor>
    <xdr:from>
      <xdr:col>7</xdr:col>
      <xdr:colOff>371475</xdr:colOff>
      <xdr:row>53</xdr:row>
      <xdr:rowOff>114301</xdr:rowOff>
    </xdr:from>
    <xdr:to>
      <xdr:col>9</xdr:col>
      <xdr:colOff>57075</xdr:colOff>
      <xdr:row>56</xdr:row>
      <xdr:rowOff>19051</xdr:rowOff>
    </xdr:to>
    <xdr:sp macro="" textlink="">
      <xdr:nvSpPr>
        <xdr:cNvPr id="12" name="Plaque 11">
          <a:hlinkClick xmlns:r="http://schemas.openxmlformats.org/officeDocument/2006/relationships" r:id="rId2"/>
        </xdr:cNvPr>
        <xdr:cNvSpPr/>
      </xdr:nvSpPr>
      <xdr:spPr>
        <a:xfrm>
          <a:off x="5095875" y="5781676"/>
          <a:ext cx="1209600" cy="533400"/>
        </a:xfrm>
        <a:prstGeom prst="bevel">
          <a:avLst/>
        </a:prstGeom>
        <a:solidFill>
          <a:schemeClr val="accent6">
            <a:lumMod val="75000"/>
          </a:scheme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Menu des tables</a:t>
          </a:r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10</xdr:col>
      <xdr:colOff>631760</xdr:colOff>
      <xdr:row>30</xdr:row>
      <xdr:rowOff>0</xdr:rowOff>
    </xdr:to>
    <xdr:sp macro="" textlink="">
      <xdr:nvSpPr>
        <xdr:cNvPr id="8" name="Rectangle à coins arrondis 7"/>
        <xdr:cNvSpPr/>
      </xdr:nvSpPr>
      <xdr:spPr>
        <a:xfrm>
          <a:off x="0" y="524847"/>
          <a:ext cx="6861888" cy="845587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216033</xdr:colOff>
      <xdr:row>53</xdr:row>
      <xdr:rowOff>147295</xdr:rowOff>
    </xdr:from>
    <xdr:to>
      <xdr:col>11</xdr:col>
      <xdr:colOff>88377</xdr:colOff>
      <xdr:row>56</xdr:row>
      <xdr:rowOff>35922</xdr:rowOff>
    </xdr:to>
    <xdr:pic macro="[0]!ThisWorkbook.Quitter_classeur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471110" y="5754280"/>
          <a:ext cx="638272" cy="5170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ex/excel%20poubell/Corail28.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antier"/>
      <sheetName val="Tâches"/>
      <sheetName val="Personnel"/>
      <sheetName val="MatL"/>
      <sheetName val="MatX"/>
      <sheetName val="BD"/>
      <sheetName val="SAISIE"/>
      <sheetName val="Modif"/>
      <sheetName val="Impression"/>
      <sheetName val="Menu"/>
      <sheetName val="a)Menu_tâches"/>
      <sheetName val="Act_Personnel"/>
      <sheetName val="Corail28.10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5" name="Table_Chantiers" displayName="Table_Chantiers" ref="A1:F54" headerRowDxfId="91" dataDxfId="90">
  <autoFilter ref="A1:F54"/>
  <sortState ref="A2:F54">
    <sortCondition ref="A1:A54"/>
  </sortState>
  <tableColumns count="6">
    <tableColumn id="1" name="Code " totalsRowLabel="Total" dataDxfId="89" totalsRowDxfId="88"/>
    <tableColumn id="2" name="Libellé" dataDxfId="87" totalsRowDxfId="86"/>
    <tableColumn id="3" name="Centre 1" dataDxfId="85" totalsRowDxfId="84"/>
    <tableColumn id="4" name="Centre 2" dataDxfId="83" totalsRowDxfId="82"/>
    <tableColumn id="5" name="UT" dataDxfId="81" totalsRowDxfId="80"/>
    <tableColumn id="6" name="Fermé" totalsRowFunction="count" dataDxfId="79" totalsRow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9" name="Table_Tâches" displayName="Table_Tâches" ref="A1:D40" totalsRowShown="0" headerRowDxfId="77" dataDxfId="76">
  <autoFilter ref="A1:D40"/>
  <sortState ref="A2:D39">
    <sortCondition ref="A1:A39"/>
  </sortState>
  <tableColumns count="4">
    <tableColumn id="1" name="Code" dataDxfId="75"/>
    <tableColumn id="2" name="Libellé" dataDxfId="74"/>
    <tableColumn id="3" name="Libellé court" dataDxfId="73"/>
    <tableColumn id="5" name="Code+Lib" dataDxfId="72">
      <calculatedColumnFormula>A2&amp; " " &amp;B2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_Personnel" displayName="Table_Personnel" ref="A1:F6" totalsRowShown="0" headerRowDxfId="71" dataDxfId="70" tableBorderDxfId="69">
  <autoFilter ref="A1:F6"/>
  <sortState ref="A2:F9">
    <sortCondition ref="A1:A9"/>
  </sortState>
  <tableColumns count="6">
    <tableColumn id="1" name="Code" dataDxfId="68"/>
    <tableColumn id="2" name="Libellé" dataDxfId="67"/>
    <tableColumn id="3" name="U1" dataDxfId="66"/>
    <tableColumn id="4" name="Coût H" dataDxfId="65"/>
    <tableColumn id="5" name="U2" dataDxfId="64"/>
    <tableColumn id="6" name="Coût J" dataDxfId="63">
      <calculatedColumnFormula>ROUND(D2*7.75,2)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_MatL" displayName="Table_MatL" ref="A1:G183" totalsRowShown="0" headerRowDxfId="62" dataDxfId="61">
  <autoFilter ref="A1:G183"/>
  <sortState ref="A2:G183">
    <sortCondition ref="A1:A183"/>
  </sortState>
  <tableColumns count="7">
    <tableColumn id="1" name="Code" dataDxfId="60"/>
    <tableColumn id="3" name="Libellé" dataDxfId="59"/>
    <tableColumn id="4" name="U" dataDxfId="58">
      <calculatedColumnFormula>IFERROR(LOOKUP(Table_MatL[[#This Row],[pour formule]],Annexe_Tarif_Code,Annexe_Tarif_unité),"")</calculatedColumnFormula>
    </tableColumn>
    <tableColumn id="2" name="pour formule" dataDxfId="57">
      <calculatedColumnFormula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calculatedColumnFormula>
    </tableColumn>
    <tableColumn id="5" name="Coût" dataDxfId="56">
      <calculatedColumnFormula>IFERROR(LOOKUP(Table_MatL[[#This Row],[pour formule]],Annexe_Tarif_Code,Annexe_tarif_cout),"")</calculatedColumnFormula>
    </tableColumn>
    <tableColumn id="7" name="Type" dataDxfId="55"/>
    <tableColumn id="8" name="Fermé" dataDxfId="54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1" name="Table_MatX" displayName="Table_MatX" ref="A1:E14" headerRowDxfId="53" dataDxfId="52" totalsRowDxfId="51">
  <autoFilter ref="A1:E14"/>
  <sortState ref="A2:E14">
    <sortCondition ref="A1:A14"/>
  </sortState>
  <tableColumns count="5">
    <tableColumn id="1" name="Code" totalsRowLabel="Total" dataDxfId="50" totalsRowDxfId="49"/>
    <tableColumn id="2" name="Prop." dataDxfId="48" totalsRowDxfId="47"/>
    <tableColumn id="3" name="Libellé " dataDxfId="46" totalsRowDxfId="45"/>
    <tableColumn id="4" name="Unité" dataDxfId="44" totalsRowDxfId="43"/>
    <tableColumn id="5" name="Px unitaire" totalsRowFunction="sum" dataDxfId="42" totalsRowDxfId="41"/>
  </tableColumns>
  <tableStyleInfo name="TableStyleMedium25" showFirstColumn="0" showLastColumn="0" showRowStripes="1" showColumnStripes="0"/>
</table>
</file>

<file path=xl/tables/table6.xml><?xml version="1.0" encoding="utf-8"?>
<table xmlns="http://schemas.openxmlformats.org/spreadsheetml/2006/main" id="7" name="BD" displayName="BD" ref="A1:U20" totalsRowShown="0" headerRowDxfId="22" dataDxfId="0">
  <autoFilter ref="A1:U20">
    <filterColumn colId="19"/>
    <filterColumn colId="20"/>
  </autoFilter>
  <sortState ref="A2:S20">
    <sortCondition ref="A1:A20"/>
  </sortState>
  <tableColumns count="21">
    <tableColumn id="1" name="N°" dataDxfId="21"/>
    <tableColumn id="2" name="Chantier" dataDxfId="20"/>
    <tableColumn id="3" name="Date" dataDxfId="19"/>
    <tableColumn id="4" name="Tâches" dataDxfId="18"/>
    <tableColumn id="5" name="Type" dataDxfId="17"/>
    <tableColumn id="6" name="Code" dataDxfId="16"/>
    <tableColumn id="7" name="Qté" dataDxfId="15"/>
    <tableColumn id="8" name="Coût U" dataDxfId="14">
      <calculatedColumnFormula>IFERROR(IF(AND(Q2="H",E2="Pers"),LOOKUP(F2,Personnel_Code,Personnel_CoûtH),IF(AND(Q2="J",E2="Pers"),LOOKUP(F2,Personnel_Code,Personnel_CoûtJ),IF(E2="MatL",LOOKUP(F2,MatL_Code,MatL_Coût),IF(E2="MatX",LOOKUP(F2,MatX_Code,MatX_Prix),"")))),"")</calculatedColumnFormula>
    </tableColumn>
    <tableColumn id="9" name="Coût total" dataDxfId="13">
      <calculatedColumnFormula>IFERROR(G2*H2,"")</calculatedColumnFormula>
    </tableColumn>
    <tableColumn id="10" name="pour macro" dataDxfId="12">
      <calculatedColumnFormula>IF(H2="","non","")</calculatedColumnFormula>
    </tableColumn>
    <tableColumn id="11" name="Mois" dataDxfId="11">
      <calculatedColumnFormula>IF(C2="","",MONTH(C2))</calculatedColumnFormula>
    </tableColumn>
    <tableColumn id="12" name="Année" dataDxfId="10">
      <calculatedColumnFormula>IF(C2="","",YEAR(C2))</calculatedColumnFormula>
    </tableColumn>
    <tableColumn id="13" name="Centre1" dataDxfId="9">
      <calculatedColumnFormula>IF(B2="","",LOOKUP(B2,Table_Chantiers[],Chantier_Centre1))</calculatedColumnFormula>
    </tableColumn>
    <tableColumn id="14" name="Centre2" dataDxfId="8">
      <calculatedColumnFormula>IF(B2="","",LOOKUP(B2,Table_Chantiers[],Chantier_Centre2))</calculatedColumnFormula>
    </tableColumn>
    <tableColumn id="15" name="UT" dataDxfId="7">
      <calculatedColumnFormula>IF(B2="","",LOOKUP(B2,Table_Chantiers[],Chantier_UT))</calculatedColumnFormula>
    </tableColumn>
    <tableColumn id="16" name="Libellé" dataDxfId="6">
      <calculatedColumnFormula>IFERROR(IF(E2="Pers",LOOKUP(F2,Personnel_Code,Personnel_Lib),IF(E2="MatL",LOOKUP(F2,MatL_Code,MatL_Lib),IF(E2="MatX",LOOKUP(F2,MatX_Code,MatX_Lib),""))),"Cat. et Code non compatibles")</calculatedColumnFormula>
    </tableColumn>
    <tableColumn id="17" name="Unité" dataDxfId="5">
      <calculatedColumnFormula>IFERROR(IF(AND(E2="Pers",RIGHT(B2,2)="13"),"J",IF(AND(E2="Pers",LEFT(B2,2)="UT"),"J",IF(AND(E2="Pers",RIGHT(B2,2)&lt;&gt;"13"),"H",IF(E2="MatL",LOOKUP(F2,MatL_Code,MatL_Unite),IF(E2="MatX",LOOKUP(F2,MatX_Code,MatX_Unite),""))))),"")</calculatedColumnFormula>
    </tableColumn>
    <tableColumn id="18" name="Tâches + lib" dataDxfId="4">
      <calculatedColumnFormula>IFERROR(IF(D2="","",LOOKUP(D2,Table_Tâches[],Tâches_CodeETLib)),"")</calculatedColumnFormula>
    </tableColumn>
    <tableColumn id="19" name="etp annuel" dataDxfId="3">
      <calculatedColumnFormula>IF(OR(C2="",G2=""),"",G2/(NETWORKDAYS(DATE(YEAR(C2),1,1),DATE(YEAR(C2),12,31))-Annexe!$E$17))</calculatedColumnFormula>
    </tableColumn>
    <tableColumn id="20" name="macro envoi" dataDxfId="2"/>
    <tableColumn id="21" name="pour macro max" dataDxfId="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" name="Annexe_tarif" displayName="Annexe_tarif" ref="A30:D127" totalsRowShown="0" headerRowDxfId="28" dataDxfId="27">
  <autoFilter ref="A30:D127"/>
  <sortState ref="A31:D73">
    <sortCondition ref="A30:A73"/>
  </sortState>
  <tableColumns count="4">
    <tableColumn id="1" name="code matériel" dataDxfId="26"/>
    <tableColumn id="2" name="coût" dataDxfId="25"/>
    <tableColumn id="3" name="Unité" dataDxfId="24"/>
    <tableColumn id="4" name="Exception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81FF81"/>
    <pageSetUpPr autoPageBreaks="0" fitToPage="1"/>
  </sheetPr>
  <dimension ref="A1:O134"/>
  <sheetViews>
    <sheetView showGridLines="0" zoomScale="115" zoomScaleNormal="115" workbookViewId="0"/>
  </sheetViews>
  <sheetFormatPr baseColWidth="10" defaultRowHeight="15"/>
  <cols>
    <col min="1" max="1" width="9.42578125" customWidth="1"/>
    <col min="2" max="2" width="42.42578125" customWidth="1"/>
    <col min="3" max="5" width="11.42578125" style="89"/>
    <col min="6" max="6" width="7.42578125" hidden="1" customWidth="1"/>
    <col min="7" max="7" width="11.42578125" style="97"/>
    <col min="9" max="9" width="21.5703125" bestFit="1" customWidth="1"/>
  </cols>
  <sheetData>
    <row r="1" spans="1:15" s="2" customFormat="1">
      <c r="A1" s="45" t="s">
        <v>46</v>
      </c>
      <c r="B1" s="45" t="s">
        <v>23</v>
      </c>
      <c r="C1" s="57" t="s">
        <v>47</v>
      </c>
      <c r="D1" s="57" t="s">
        <v>48</v>
      </c>
      <c r="E1" s="57" t="s">
        <v>49</v>
      </c>
      <c r="F1" s="45" t="s">
        <v>50</v>
      </c>
      <c r="G1" s="94"/>
    </row>
    <row r="2" spans="1:15">
      <c r="A2" s="46" t="s">
        <v>423</v>
      </c>
      <c r="B2" s="47" t="s">
        <v>320</v>
      </c>
      <c r="C2" s="57" t="s">
        <v>8</v>
      </c>
      <c r="D2" s="57" t="s">
        <v>8</v>
      </c>
      <c r="E2" s="57" t="s">
        <v>2</v>
      </c>
      <c r="F2" s="48"/>
      <c r="G2" s="95" t="str">
        <f>IFERROR(IF(AND(Table_Chantiers[[#This Row],[Centre 1]]&lt;&gt;"",Table_Chantiers[[#This Row],[UT]]&lt;&gt;"",Table_Chantiers[[#This Row],[Centre 2]]=""),"Remplir col. D",""),"")</f>
        <v/>
      </c>
    </row>
    <row r="3" spans="1:15">
      <c r="A3" s="46" t="s">
        <v>424</v>
      </c>
      <c r="B3" s="47" t="s">
        <v>321</v>
      </c>
      <c r="C3" s="57" t="s">
        <v>8</v>
      </c>
      <c r="D3" s="57" t="s">
        <v>8</v>
      </c>
      <c r="E3" s="57" t="s">
        <v>2</v>
      </c>
      <c r="F3" s="48"/>
      <c r="G3" s="96" t="str">
        <f>IFERROR(IF(AND(Table_Chantiers[[#This Row],[Centre 1]]&lt;&gt;"",Table_Chantiers[[#This Row],[UT]]&lt;&gt;"",Table_Chantiers[[#This Row],[Centre 2]]=""),"Remplir col. D",""),"")</f>
        <v/>
      </c>
      <c r="O3" s="2"/>
    </row>
    <row r="4" spans="1:15">
      <c r="A4" s="46" t="s">
        <v>425</v>
      </c>
      <c r="B4" s="47" t="s">
        <v>322</v>
      </c>
      <c r="C4" s="57" t="s">
        <v>8</v>
      </c>
      <c r="D4" s="57" t="s">
        <v>8</v>
      </c>
      <c r="E4" s="57" t="s">
        <v>2</v>
      </c>
      <c r="F4" s="48"/>
      <c r="G4" s="96" t="str">
        <f>IFERROR(IF(AND(Table_Chantiers[[#This Row],[Centre 1]]&lt;&gt;"",Table_Chantiers[[#This Row],[UT]]&lt;&gt;"",Table_Chantiers[[#This Row],[Centre 2]]=""),"Remplir col. D",""),"")</f>
        <v/>
      </c>
      <c r="H4" s="14"/>
      <c r="I4" s="14"/>
      <c r="J4" s="14"/>
      <c r="K4" s="14"/>
      <c r="L4" s="14"/>
      <c r="M4" s="14"/>
      <c r="N4" s="14"/>
    </row>
    <row r="5" spans="1:15" s="14" customFormat="1">
      <c r="A5" s="46" t="s">
        <v>323</v>
      </c>
      <c r="B5" s="47" t="s">
        <v>324</v>
      </c>
      <c r="C5" s="57" t="s">
        <v>8</v>
      </c>
      <c r="D5" s="57" t="s">
        <v>74</v>
      </c>
      <c r="E5" s="57" t="s">
        <v>2</v>
      </c>
      <c r="F5" s="48"/>
      <c r="G5" s="96" t="str">
        <f>IFERROR(IF(AND(Table_Chantiers[[#This Row],[Centre 1]]&lt;&gt;"",Table_Chantiers[[#This Row],[UT]]&lt;&gt;"",Table_Chantiers[[#This Row],[Centre 2]]=""),"Remplir col. D",""),"")</f>
        <v/>
      </c>
      <c r="H5" s="23"/>
      <c r="I5" s="23"/>
      <c r="J5"/>
      <c r="K5" s="23"/>
      <c r="L5" s="23"/>
      <c r="M5"/>
      <c r="N5"/>
      <c r="O5"/>
    </row>
    <row r="6" spans="1:15">
      <c r="A6" s="46" t="s">
        <v>325</v>
      </c>
      <c r="B6" s="47" t="s">
        <v>326</v>
      </c>
      <c r="C6" s="57" t="s">
        <v>8</v>
      </c>
      <c r="D6" s="57" t="s">
        <v>7</v>
      </c>
      <c r="E6" s="57" t="s">
        <v>2</v>
      </c>
      <c r="F6" s="48"/>
      <c r="G6" s="96" t="str">
        <f>IFERROR(IF(AND(Table_Chantiers[[#This Row],[Centre 1]]&lt;&gt;"",Table_Chantiers[[#This Row],[UT]]&lt;&gt;"",Table_Chantiers[[#This Row],[Centre 2]]=""),"Remplir col. D",""),"")</f>
        <v/>
      </c>
      <c r="H6" s="23"/>
      <c r="I6" s="23"/>
      <c r="K6" s="23"/>
      <c r="L6" s="23"/>
    </row>
    <row r="7" spans="1:15">
      <c r="A7" s="46" t="s">
        <v>327</v>
      </c>
      <c r="B7" s="47" t="s">
        <v>328</v>
      </c>
      <c r="C7" s="57" t="s">
        <v>8</v>
      </c>
      <c r="D7" s="57" t="s">
        <v>1</v>
      </c>
      <c r="E7" s="57" t="s">
        <v>2</v>
      </c>
      <c r="F7" s="48"/>
      <c r="G7" s="96" t="str">
        <f>IFERROR(IF(AND(Table_Chantiers[[#This Row],[Centre 1]]&lt;&gt;"",Table_Chantiers[[#This Row],[UT]]&lt;&gt;"",Table_Chantiers[[#This Row],[Centre 2]]=""),"Remplir col. D",""),"")</f>
        <v/>
      </c>
      <c r="H7" s="23"/>
      <c r="I7" s="23"/>
      <c r="K7" s="23"/>
      <c r="L7" s="23"/>
    </row>
    <row r="8" spans="1:15">
      <c r="A8" s="46" t="s">
        <v>329</v>
      </c>
      <c r="B8" s="47" t="s">
        <v>330</v>
      </c>
      <c r="C8" s="57" t="s">
        <v>8</v>
      </c>
      <c r="D8" s="57" t="s">
        <v>5</v>
      </c>
      <c r="E8" s="57" t="s">
        <v>2</v>
      </c>
      <c r="F8" s="48"/>
      <c r="G8" s="96" t="str">
        <f>IFERROR(IF(AND(Table_Chantiers[[#This Row],[Centre 1]]&lt;&gt;"",Table_Chantiers[[#This Row],[UT]]&lt;&gt;"",Table_Chantiers[[#This Row],[Centre 2]]=""),"Remplir col. D",""),"")</f>
        <v/>
      </c>
      <c r="H8" s="23"/>
      <c r="I8" s="23"/>
    </row>
    <row r="9" spans="1:15">
      <c r="A9" s="46" t="s">
        <v>331</v>
      </c>
      <c r="B9" s="47" t="s">
        <v>332</v>
      </c>
      <c r="C9" s="57" t="s">
        <v>8</v>
      </c>
      <c r="D9" s="57" t="s">
        <v>4</v>
      </c>
      <c r="E9" s="57" t="s">
        <v>2</v>
      </c>
      <c r="F9" s="48"/>
      <c r="G9" s="96" t="str">
        <f>IFERROR(IF(AND(Table_Chantiers[[#This Row],[Centre 1]]&lt;&gt;"",Table_Chantiers[[#This Row],[UT]]&lt;&gt;"",Table_Chantiers[[#This Row],[Centre 2]]=""),"Remplir col. D",""),"")</f>
        <v/>
      </c>
      <c r="H9" s="23"/>
      <c r="I9" s="23"/>
    </row>
    <row r="10" spans="1:15">
      <c r="A10" s="46" t="s">
        <v>426</v>
      </c>
      <c r="B10" s="47" t="s">
        <v>335</v>
      </c>
      <c r="C10" s="57" t="s">
        <v>7</v>
      </c>
      <c r="D10" s="57" t="s">
        <v>7</v>
      </c>
      <c r="E10" s="57" t="s">
        <v>2</v>
      </c>
      <c r="F10" s="48"/>
      <c r="G10" s="96" t="str">
        <f>IFERROR(IF(AND(Table_Chantiers[[#This Row],[Centre 1]]&lt;&gt;"",Table_Chantiers[[#This Row],[UT]]&lt;&gt;"",Table_Chantiers[[#This Row],[Centre 2]]=""),"Remplir col. D",""),"")</f>
        <v/>
      </c>
      <c r="H10" s="23"/>
      <c r="I10" s="23"/>
    </row>
    <row r="11" spans="1:15">
      <c r="A11" s="46" t="s">
        <v>427</v>
      </c>
      <c r="B11" s="47" t="s">
        <v>336</v>
      </c>
      <c r="C11" s="57" t="s">
        <v>7</v>
      </c>
      <c r="D11" s="57" t="s">
        <v>7</v>
      </c>
      <c r="E11" s="57" t="s">
        <v>2</v>
      </c>
      <c r="F11" s="48"/>
      <c r="G11" s="96" t="str">
        <f>IFERROR(IF(AND(Table_Chantiers[[#This Row],[Centre 1]]&lt;&gt;"",Table_Chantiers[[#This Row],[UT]]&lt;&gt;"",Table_Chantiers[[#This Row],[Centre 2]]=""),"Remplir col. D",""),"")</f>
        <v/>
      </c>
      <c r="H11" s="23"/>
      <c r="I11" s="23"/>
    </row>
    <row r="12" spans="1:15">
      <c r="A12" s="46" t="s">
        <v>428</v>
      </c>
      <c r="B12" s="47" t="s">
        <v>337</v>
      </c>
      <c r="C12" s="57" t="s">
        <v>7</v>
      </c>
      <c r="D12" s="57" t="s">
        <v>7</v>
      </c>
      <c r="E12" s="57" t="s">
        <v>2</v>
      </c>
      <c r="F12" s="48"/>
      <c r="G12" s="96" t="str">
        <f>IFERROR(IF(AND(Table_Chantiers[[#This Row],[Centre 1]]&lt;&gt;"",Table_Chantiers[[#This Row],[UT]]&lt;&gt;"",Table_Chantiers[[#This Row],[Centre 2]]=""),"Remplir col. D",""),"")</f>
        <v/>
      </c>
      <c r="H12" s="23"/>
      <c r="I12" s="23"/>
    </row>
    <row r="13" spans="1:15">
      <c r="A13" s="46" t="s">
        <v>338</v>
      </c>
      <c r="B13" s="47" t="s">
        <v>339</v>
      </c>
      <c r="C13" s="57" t="s">
        <v>7</v>
      </c>
      <c r="D13" s="57" t="s">
        <v>74</v>
      </c>
      <c r="E13" s="57" t="s">
        <v>2</v>
      </c>
      <c r="F13" s="48"/>
      <c r="G13" s="96" t="str">
        <f>IFERROR(IF(AND(Table_Chantiers[[#This Row],[Centre 1]]&lt;&gt;"",Table_Chantiers[[#This Row],[UT]]&lt;&gt;"",Table_Chantiers[[#This Row],[Centre 2]]=""),"Remplir col. D",""),"")</f>
        <v/>
      </c>
      <c r="H13" s="23"/>
      <c r="I13" s="23"/>
    </row>
    <row r="14" spans="1:15">
      <c r="A14" s="46" t="s">
        <v>444</v>
      </c>
      <c r="B14" s="47" t="s">
        <v>340</v>
      </c>
      <c r="C14" s="57" t="s">
        <v>7</v>
      </c>
      <c r="D14" s="57" t="s">
        <v>74</v>
      </c>
      <c r="E14" s="57" t="s">
        <v>2</v>
      </c>
      <c r="F14" s="48"/>
      <c r="G14" s="96" t="str">
        <f>IFERROR(IF(AND(Table_Chantiers[[#This Row],[Centre 1]]&lt;&gt;"",Table_Chantiers[[#This Row],[UT]]&lt;&gt;"",Table_Chantiers[[#This Row],[Centre 2]]=""),"Remplir col. D",""),"")</f>
        <v/>
      </c>
      <c r="H14" s="23"/>
      <c r="I14" s="23"/>
    </row>
    <row r="15" spans="1:15">
      <c r="A15" s="46" t="s">
        <v>341</v>
      </c>
      <c r="B15" s="47" t="s">
        <v>342</v>
      </c>
      <c r="C15" s="57" t="s">
        <v>7</v>
      </c>
      <c r="D15" s="57" t="s">
        <v>7</v>
      </c>
      <c r="E15" s="57" t="s">
        <v>2</v>
      </c>
      <c r="F15" s="48"/>
      <c r="G15" s="96" t="str">
        <f>IFERROR(IF(AND(Table_Chantiers[[#This Row],[Centre 1]]&lt;&gt;"",Table_Chantiers[[#This Row],[UT]]&lt;&gt;"",Table_Chantiers[[#This Row],[Centre 2]]=""),"Remplir col. D",""),"")</f>
        <v/>
      </c>
      <c r="H15" s="23"/>
      <c r="I15" s="23"/>
    </row>
    <row r="16" spans="1:15">
      <c r="A16" s="46" t="s">
        <v>343</v>
      </c>
      <c r="B16" s="47" t="s">
        <v>344</v>
      </c>
      <c r="C16" s="57" t="s">
        <v>7</v>
      </c>
      <c r="D16" s="57" t="s">
        <v>7</v>
      </c>
      <c r="E16" s="57" t="s">
        <v>2</v>
      </c>
      <c r="F16" s="48"/>
      <c r="G16" s="96" t="str">
        <f>IFERROR(IF(AND(Table_Chantiers[[#This Row],[Centre 1]]&lt;&gt;"",Table_Chantiers[[#This Row],[UT]]&lt;&gt;"",Table_Chantiers[[#This Row],[Centre 2]]=""),"Remplir col. D",""),"")</f>
        <v/>
      </c>
      <c r="H16" s="23"/>
      <c r="I16" s="23"/>
    </row>
    <row r="17" spans="1:15">
      <c r="A17" s="46" t="s">
        <v>345</v>
      </c>
      <c r="B17" s="47" t="s">
        <v>346</v>
      </c>
      <c r="C17" s="57" t="s">
        <v>7</v>
      </c>
      <c r="D17" s="57" t="s">
        <v>7</v>
      </c>
      <c r="E17" s="57" t="s">
        <v>2</v>
      </c>
      <c r="F17" s="48"/>
      <c r="G17" s="96" t="str">
        <f>IFERROR(IF(AND(Table_Chantiers[[#This Row],[Centre 1]]&lt;&gt;"",Table_Chantiers[[#This Row],[UT]]&lt;&gt;"",Table_Chantiers[[#This Row],[Centre 2]]=""),"Remplir col. D",""),"")</f>
        <v/>
      </c>
      <c r="H17" s="23"/>
      <c r="I17" s="23"/>
    </row>
    <row r="18" spans="1:15">
      <c r="A18" s="46" t="s">
        <v>347</v>
      </c>
      <c r="B18" s="47" t="s">
        <v>348</v>
      </c>
      <c r="C18" s="57" t="s">
        <v>7</v>
      </c>
      <c r="D18" s="57" t="s">
        <v>7</v>
      </c>
      <c r="E18" s="57" t="s">
        <v>2</v>
      </c>
      <c r="F18" s="48"/>
      <c r="G18" s="96" t="str">
        <f>IFERROR(IF(AND(Table_Chantiers[[#This Row],[Centre 1]]&lt;&gt;"",Table_Chantiers[[#This Row],[UT]]&lt;&gt;"",Table_Chantiers[[#This Row],[Centre 2]]=""),"Remplir col. D",""),"")</f>
        <v/>
      </c>
      <c r="H18" s="23"/>
      <c r="I18" s="23"/>
    </row>
    <row r="19" spans="1:15">
      <c r="A19" s="46" t="s">
        <v>349</v>
      </c>
      <c r="B19" s="47" t="s">
        <v>350</v>
      </c>
      <c r="C19" s="57" t="s">
        <v>7</v>
      </c>
      <c r="D19" s="57" t="s">
        <v>74</v>
      </c>
      <c r="E19" s="57" t="s">
        <v>2</v>
      </c>
      <c r="F19" s="48"/>
      <c r="G19" s="96" t="str">
        <f>IFERROR(IF(AND(Table_Chantiers[[#This Row],[Centre 1]]&lt;&gt;"",Table_Chantiers[[#This Row],[UT]]&lt;&gt;"",Table_Chantiers[[#This Row],[Centre 2]]=""),"Remplir col. D",""),"")</f>
        <v/>
      </c>
      <c r="H19" s="23"/>
      <c r="I19" s="23"/>
    </row>
    <row r="20" spans="1:15">
      <c r="A20" s="46" t="s">
        <v>283</v>
      </c>
      <c r="B20" s="47" t="s">
        <v>284</v>
      </c>
      <c r="C20" s="57" t="s">
        <v>2</v>
      </c>
      <c r="D20" s="57" t="s">
        <v>74</v>
      </c>
      <c r="E20" s="57" t="s">
        <v>2</v>
      </c>
      <c r="F20" s="48"/>
      <c r="G20" s="96" t="str">
        <f>IFERROR(IF(AND(Table_Chantiers[[#This Row],[Centre 1]]&lt;&gt;"",Table_Chantiers[[#This Row],[UT]]&lt;&gt;"",Table_Chantiers[[#This Row],[Centre 2]]=""),"Remplir col. D",""),"")</f>
        <v/>
      </c>
      <c r="H20" s="23"/>
      <c r="I20" s="23"/>
      <c r="O20" s="1"/>
    </row>
    <row r="21" spans="1:15">
      <c r="A21" s="46" t="s">
        <v>285</v>
      </c>
      <c r="B21" s="47" t="s">
        <v>286</v>
      </c>
      <c r="C21" s="57" t="s">
        <v>1</v>
      </c>
      <c r="D21" s="88" t="s">
        <v>1</v>
      </c>
      <c r="E21" s="57" t="s">
        <v>2</v>
      </c>
      <c r="F21" s="48"/>
      <c r="G21" s="96" t="str">
        <f>IFERROR(IF(AND(Table_Chantiers[[#This Row],[Centre 1]]&lt;&gt;"",Table_Chantiers[[#This Row],[UT]]&lt;&gt;"",Table_Chantiers[[#This Row],[Centre 2]]=""),"Remplir col. D",""),"")</f>
        <v/>
      </c>
      <c r="H21" s="23"/>
      <c r="I21" s="23"/>
    </row>
    <row r="22" spans="1:15">
      <c r="A22" s="46" t="s">
        <v>287</v>
      </c>
      <c r="B22" s="47" t="s">
        <v>288</v>
      </c>
      <c r="C22" s="57" t="s">
        <v>1</v>
      </c>
      <c r="D22" s="88" t="s">
        <v>1</v>
      </c>
      <c r="E22" s="57" t="s">
        <v>2</v>
      </c>
      <c r="F22" s="48"/>
      <c r="G22" s="96" t="str">
        <f>IFERROR(IF(AND(Table_Chantiers[[#This Row],[Centre 1]]&lt;&gt;"",Table_Chantiers[[#This Row],[UT]]&lt;&gt;"",Table_Chantiers[[#This Row],[Centre 2]]=""),"Remplir col. D",""),"")</f>
        <v/>
      </c>
      <c r="H22" s="23"/>
      <c r="I22" s="23"/>
    </row>
    <row r="23" spans="1:15">
      <c r="A23" s="46" t="s">
        <v>289</v>
      </c>
      <c r="B23" s="47" t="s">
        <v>290</v>
      </c>
      <c r="C23" s="57" t="s">
        <v>1</v>
      </c>
      <c r="D23" s="88" t="s">
        <v>1</v>
      </c>
      <c r="E23" s="57" t="s">
        <v>2</v>
      </c>
      <c r="F23" s="48"/>
      <c r="G23" s="96" t="str">
        <f>IFERROR(IF(AND(Table_Chantiers[[#This Row],[Centre 1]]&lt;&gt;"",Table_Chantiers[[#This Row],[UT]]&lt;&gt;"",Table_Chantiers[[#This Row],[Centre 2]]=""),"Remplir col. D",""),"")</f>
        <v/>
      </c>
    </row>
    <row r="24" spans="1:15">
      <c r="A24" s="46" t="s">
        <v>291</v>
      </c>
      <c r="B24" s="47" t="s">
        <v>292</v>
      </c>
      <c r="C24" s="57" t="s">
        <v>1</v>
      </c>
      <c r="D24" s="88" t="s">
        <v>74</v>
      </c>
      <c r="E24" s="57" t="s">
        <v>2</v>
      </c>
      <c r="F24" s="48"/>
      <c r="G24" s="96" t="str">
        <f>IFERROR(IF(AND(Table_Chantiers[[#This Row],[Centre 1]]&lt;&gt;"",Table_Chantiers[[#This Row],[UT]]&lt;&gt;"",Table_Chantiers[[#This Row],[Centre 2]]=""),"Remplir col. D",""),"")</f>
        <v/>
      </c>
    </row>
    <row r="25" spans="1:15">
      <c r="A25" s="46" t="s">
        <v>293</v>
      </c>
      <c r="B25" s="47" t="s">
        <v>294</v>
      </c>
      <c r="C25" s="57" t="s">
        <v>1</v>
      </c>
      <c r="D25" s="57" t="s">
        <v>8</v>
      </c>
      <c r="E25" s="57" t="s">
        <v>2</v>
      </c>
      <c r="F25" s="48"/>
      <c r="G25" s="96" t="str">
        <f>IFERROR(IF(AND(Table_Chantiers[[#This Row],[Centre 1]]&lt;&gt;"",Table_Chantiers[[#This Row],[UT]]&lt;&gt;"",Table_Chantiers[[#This Row],[Centre 2]]=""),"Remplir col. D",""),"")</f>
        <v/>
      </c>
    </row>
    <row r="26" spans="1:15">
      <c r="A26" s="46" t="s">
        <v>295</v>
      </c>
      <c r="B26" s="47" t="s">
        <v>296</v>
      </c>
      <c r="C26" s="57" t="s">
        <v>1</v>
      </c>
      <c r="D26" s="57" t="s">
        <v>74</v>
      </c>
      <c r="E26" s="57" t="s">
        <v>2</v>
      </c>
      <c r="F26" s="48"/>
      <c r="G26" s="96" t="str">
        <f>IFERROR(IF(AND(Table_Chantiers[[#This Row],[Centre 1]]&lt;&gt;"",Table_Chantiers[[#This Row],[UT]]&lt;&gt;"",Table_Chantiers[[#This Row],[Centre 2]]=""),"Remplir col. D",""),"")</f>
        <v/>
      </c>
    </row>
    <row r="27" spans="1:15">
      <c r="A27" s="46" t="s">
        <v>297</v>
      </c>
      <c r="B27" s="47" t="s">
        <v>298</v>
      </c>
      <c r="C27" s="57" t="s">
        <v>1</v>
      </c>
      <c r="D27" s="57" t="s">
        <v>7</v>
      </c>
      <c r="E27" s="57" t="s">
        <v>2</v>
      </c>
      <c r="F27" s="48"/>
      <c r="G27" s="96" t="str">
        <f>IFERROR(IF(AND(Table_Chantiers[[#This Row],[Centre 1]]&lt;&gt;"",Table_Chantiers[[#This Row],[UT]]&lt;&gt;"",Table_Chantiers[[#This Row],[Centre 2]]=""),"Remplir col. D",""),"")</f>
        <v/>
      </c>
    </row>
    <row r="28" spans="1:15">
      <c r="A28" s="46" t="s">
        <v>299</v>
      </c>
      <c r="B28" s="47" t="s">
        <v>300</v>
      </c>
      <c r="C28" s="57" t="s">
        <v>1</v>
      </c>
      <c r="D28" s="57" t="s">
        <v>5</v>
      </c>
      <c r="E28" s="57" t="s">
        <v>2</v>
      </c>
      <c r="F28" s="48"/>
      <c r="G28" s="96" t="str">
        <f>IFERROR(IF(AND(Table_Chantiers[[#This Row],[Centre 1]]&lt;&gt;"",Table_Chantiers[[#This Row],[UT]]&lt;&gt;"",Table_Chantiers[[#This Row],[Centre 2]]=""),"Remplir col. D",""),"")</f>
        <v/>
      </c>
    </row>
    <row r="29" spans="1:15">
      <c r="A29" s="46" t="s">
        <v>301</v>
      </c>
      <c r="B29" s="47" t="s">
        <v>302</v>
      </c>
      <c r="C29" s="57" t="s">
        <v>1</v>
      </c>
      <c r="D29" s="57" t="s">
        <v>4</v>
      </c>
      <c r="E29" s="57" t="s">
        <v>2</v>
      </c>
      <c r="F29" s="48"/>
      <c r="G29" s="96" t="str">
        <f>IFERROR(IF(AND(Table_Chantiers[[#This Row],[Centre 1]]&lt;&gt;"",Table_Chantiers[[#This Row],[UT]]&lt;&gt;"",Table_Chantiers[[#This Row],[Centre 2]]=""),"Remplir col. D",""),"")</f>
        <v/>
      </c>
    </row>
    <row r="30" spans="1:15">
      <c r="A30" s="46" t="s">
        <v>333</v>
      </c>
      <c r="B30" s="47" t="s">
        <v>334</v>
      </c>
      <c r="C30" s="57" t="s">
        <v>8</v>
      </c>
      <c r="D30" s="57" t="s">
        <v>74</v>
      </c>
      <c r="E30" s="57" t="s">
        <v>2</v>
      </c>
      <c r="F30" s="48"/>
      <c r="G30" s="96" t="str">
        <f>IFERROR(IF(AND(Table_Chantiers[[#This Row],[Centre 1]]&lt;&gt;"",Table_Chantiers[[#This Row],[UT]]&lt;&gt;"",Table_Chantiers[[#This Row],[Centre 2]]=""),"Remplir col. D",""),"")</f>
        <v/>
      </c>
    </row>
    <row r="31" spans="1:15">
      <c r="A31" s="46" t="s">
        <v>303</v>
      </c>
      <c r="B31" s="47" t="s">
        <v>304</v>
      </c>
      <c r="C31" s="57" t="s">
        <v>1</v>
      </c>
      <c r="D31" s="57" t="s">
        <v>74</v>
      </c>
      <c r="E31" s="57" t="s">
        <v>2</v>
      </c>
      <c r="F31" s="48"/>
      <c r="G31" s="96" t="str">
        <f>IFERROR(IF(AND(Table_Chantiers[[#This Row],[Centre 1]]&lt;&gt;"",Table_Chantiers[[#This Row],[UT]]&lt;&gt;"",Table_Chantiers[[#This Row],[Centre 2]]=""),"Remplir col. D",""),"")</f>
        <v/>
      </c>
    </row>
    <row r="32" spans="1:15">
      <c r="A32" s="46" t="s">
        <v>353</v>
      </c>
      <c r="B32" s="47" t="s">
        <v>354</v>
      </c>
      <c r="C32" s="57" t="s">
        <v>5</v>
      </c>
      <c r="D32" s="57" t="s">
        <v>74</v>
      </c>
      <c r="E32" s="57" t="s">
        <v>2</v>
      </c>
      <c r="F32" s="48"/>
      <c r="G32" s="96" t="str">
        <f>IFERROR(IF(AND(Table_Chantiers[[#This Row],[Centre 1]]&lt;&gt;"",Table_Chantiers[[#This Row],[UT]]&lt;&gt;"",Table_Chantiers[[#This Row],[Centre 2]]=""),"Remplir col. D",""),"")</f>
        <v/>
      </c>
    </row>
    <row r="33" spans="1:7">
      <c r="A33" s="46" t="s">
        <v>305</v>
      </c>
      <c r="B33" s="47" t="s">
        <v>306</v>
      </c>
      <c r="C33" s="57" t="s">
        <v>4</v>
      </c>
      <c r="D33" s="57" t="s">
        <v>74</v>
      </c>
      <c r="E33" s="57" t="s">
        <v>2</v>
      </c>
      <c r="F33" s="48"/>
      <c r="G33" s="96" t="str">
        <f>IFERROR(IF(AND(Table_Chantiers[[#This Row],[Centre 1]]&lt;&gt;"",Table_Chantiers[[#This Row],[UT]]&lt;&gt;"",Table_Chantiers[[#This Row],[Centre 2]]=""),"Remplir col. D",""),"")</f>
        <v/>
      </c>
    </row>
    <row r="34" spans="1:7">
      <c r="A34" s="46" t="s">
        <v>429</v>
      </c>
      <c r="B34" s="47" t="s">
        <v>355</v>
      </c>
      <c r="C34" s="57" t="s">
        <v>5</v>
      </c>
      <c r="D34" s="57" t="s">
        <v>5</v>
      </c>
      <c r="E34" s="57" t="s">
        <v>2</v>
      </c>
      <c r="F34" s="48"/>
      <c r="G34" s="96" t="str">
        <f>IFERROR(IF(AND(Table_Chantiers[[#This Row],[Centre 1]]&lt;&gt;"",Table_Chantiers[[#This Row],[UT]]&lt;&gt;"",Table_Chantiers[[#This Row],[Centre 2]]=""),"Remplir col. D",""),"")</f>
        <v/>
      </c>
    </row>
    <row r="35" spans="1:7">
      <c r="A35" s="46" t="s">
        <v>430</v>
      </c>
      <c r="B35" s="47" t="s">
        <v>356</v>
      </c>
      <c r="C35" s="57" t="s">
        <v>5</v>
      </c>
      <c r="D35" s="57" t="s">
        <v>5</v>
      </c>
      <c r="E35" s="57" t="s">
        <v>2</v>
      </c>
      <c r="F35" s="48"/>
      <c r="G35" s="96" t="str">
        <f>IFERROR(IF(AND(Table_Chantiers[[#This Row],[Centre 1]]&lt;&gt;"",Table_Chantiers[[#This Row],[UT]]&lt;&gt;"",Table_Chantiers[[#This Row],[Centre 2]]=""),"Remplir col. D",""),"")</f>
        <v/>
      </c>
    </row>
    <row r="36" spans="1:7">
      <c r="A36" s="46" t="s">
        <v>431</v>
      </c>
      <c r="B36" s="47" t="s">
        <v>357</v>
      </c>
      <c r="C36" s="57" t="s">
        <v>5</v>
      </c>
      <c r="D36" s="57" t="s">
        <v>5</v>
      </c>
      <c r="E36" s="57" t="s">
        <v>2</v>
      </c>
      <c r="F36" s="48"/>
      <c r="G36" s="96" t="str">
        <f>IFERROR(IF(AND(Table_Chantiers[[#This Row],[Centre 1]]&lt;&gt;"",Table_Chantiers[[#This Row],[UT]]&lt;&gt;"",Table_Chantiers[[#This Row],[Centre 2]]=""),"Remplir col. D",""),"")</f>
        <v/>
      </c>
    </row>
    <row r="37" spans="1:7">
      <c r="A37" s="46" t="s">
        <v>358</v>
      </c>
      <c r="B37" s="47" t="s">
        <v>359</v>
      </c>
      <c r="C37" s="57" t="s">
        <v>5</v>
      </c>
      <c r="D37" s="57" t="s">
        <v>74</v>
      </c>
      <c r="E37" s="57" t="s">
        <v>2</v>
      </c>
      <c r="F37" s="48"/>
      <c r="G37" s="96" t="str">
        <f>IFERROR(IF(AND(Table_Chantiers[[#This Row],[Centre 1]]&lt;&gt;"",Table_Chantiers[[#This Row],[UT]]&lt;&gt;"",Table_Chantiers[[#This Row],[Centre 2]]=""),"Remplir col. D",""),"")</f>
        <v/>
      </c>
    </row>
    <row r="38" spans="1:7">
      <c r="A38" s="46" t="s">
        <v>360</v>
      </c>
      <c r="B38" s="47" t="s">
        <v>361</v>
      </c>
      <c r="C38" s="57" t="s">
        <v>5</v>
      </c>
      <c r="D38" s="57" t="s">
        <v>8</v>
      </c>
      <c r="E38" s="57" t="s">
        <v>2</v>
      </c>
      <c r="F38" s="48"/>
      <c r="G38" s="96" t="str">
        <f>IFERROR(IF(AND(Table_Chantiers[[#This Row],[Centre 1]]&lt;&gt;"",Table_Chantiers[[#This Row],[UT]]&lt;&gt;"",Table_Chantiers[[#This Row],[Centre 2]]=""),"Remplir col. D",""),"")</f>
        <v/>
      </c>
    </row>
    <row r="39" spans="1:7">
      <c r="A39" s="46" t="s">
        <v>362</v>
      </c>
      <c r="B39" s="47" t="s">
        <v>363</v>
      </c>
      <c r="C39" s="57" t="s">
        <v>5</v>
      </c>
      <c r="D39" s="57" t="s">
        <v>74</v>
      </c>
      <c r="E39" s="57" t="s">
        <v>2</v>
      </c>
      <c r="F39" s="48"/>
      <c r="G39" s="96" t="str">
        <f>IFERROR(IF(AND(Table_Chantiers[[#This Row],[Centre 1]]&lt;&gt;"",Table_Chantiers[[#This Row],[UT]]&lt;&gt;"",Table_Chantiers[[#This Row],[Centre 2]]=""),"Remplir col. D",""),"")</f>
        <v/>
      </c>
    </row>
    <row r="40" spans="1:7">
      <c r="A40" s="46" t="s">
        <v>364</v>
      </c>
      <c r="B40" s="47" t="s">
        <v>365</v>
      </c>
      <c r="C40" s="57" t="s">
        <v>5</v>
      </c>
      <c r="D40" s="57" t="s">
        <v>74</v>
      </c>
      <c r="E40" s="57" t="s">
        <v>2</v>
      </c>
      <c r="F40" s="48"/>
      <c r="G40" s="96" t="str">
        <f>IFERROR(IF(AND(Table_Chantiers[[#This Row],[Centre 1]]&lt;&gt;"",Table_Chantiers[[#This Row],[UT]]&lt;&gt;"",Table_Chantiers[[#This Row],[Centre 2]]=""),"Remplir col. D",""),"")</f>
        <v/>
      </c>
    </row>
    <row r="41" spans="1:7">
      <c r="A41" s="46" t="s">
        <v>366</v>
      </c>
      <c r="B41" s="47" t="s">
        <v>367</v>
      </c>
      <c r="C41" s="57" t="s">
        <v>5</v>
      </c>
      <c r="D41" s="57" t="s">
        <v>7</v>
      </c>
      <c r="E41" s="57" t="s">
        <v>2</v>
      </c>
      <c r="F41" s="48"/>
      <c r="G41" s="96" t="str">
        <f>IFERROR(IF(AND(Table_Chantiers[[#This Row],[Centre 1]]&lt;&gt;"",Table_Chantiers[[#This Row],[UT]]&lt;&gt;"",Table_Chantiers[[#This Row],[Centre 2]]=""),"Remplir col. D",""),"")</f>
        <v/>
      </c>
    </row>
    <row r="42" spans="1:7">
      <c r="A42" s="46" t="s">
        <v>368</v>
      </c>
      <c r="B42" s="47" t="s">
        <v>369</v>
      </c>
      <c r="C42" s="57" t="s">
        <v>5</v>
      </c>
      <c r="D42" s="57" t="s">
        <v>1</v>
      </c>
      <c r="E42" s="57" t="s">
        <v>2</v>
      </c>
      <c r="F42" s="48"/>
      <c r="G42" s="96" t="str">
        <f>IFERROR(IF(AND(Table_Chantiers[[#This Row],[Centre 1]]&lt;&gt;"",Table_Chantiers[[#This Row],[UT]]&lt;&gt;"",Table_Chantiers[[#This Row],[Centre 2]]=""),"Remplir col. D",""),"")</f>
        <v/>
      </c>
    </row>
    <row r="43" spans="1:7">
      <c r="A43" s="46" t="s">
        <v>370</v>
      </c>
      <c r="B43" s="47" t="s">
        <v>371</v>
      </c>
      <c r="C43" s="57" t="s">
        <v>5</v>
      </c>
      <c r="D43" s="57" t="s">
        <v>4</v>
      </c>
      <c r="E43" s="57" t="s">
        <v>2</v>
      </c>
      <c r="F43" s="48"/>
      <c r="G43" s="96" t="str">
        <f>IFERROR(IF(AND(Table_Chantiers[[#This Row],[Centre 1]]&lt;&gt;"",Table_Chantiers[[#This Row],[UT]]&lt;&gt;"",Table_Chantiers[[#This Row],[Centre 2]]=""),"Remplir col. D",""),"")</f>
        <v/>
      </c>
    </row>
    <row r="44" spans="1:7">
      <c r="A44" s="46" t="s">
        <v>372</v>
      </c>
      <c r="B44" s="47" t="s">
        <v>373</v>
      </c>
      <c r="C44" s="57" t="s">
        <v>5</v>
      </c>
      <c r="D44" s="57" t="s">
        <v>74</v>
      </c>
      <c r="E44" s="57" t="s">
        <v>2</v>
      </c>
      <c r="F44" s="48"/>
      <c r="G44" s="96" t="str">
        <f>IFERROR(IF(AND(Table_Chantiers[[#This Row],[Centre 1]]&lt;&gt;"",Table_Chantiers[[#This Row],[UT]]&lt;&gt;"",Table_Chantiers[[#This Row],[Centre 2]]=""),"Remplir col. D",""),"")</f>
        <v/>
      </c>
    </row>
    <row r="45" spans="1:7">
      <c r="A45" s="46" t="s">
        <v>351</v>
      </c>
      <c r="B45" s="47" t="s">
        <v>352</v>
      </c>
      <c r="C45" s="57" t="s">
        <v>7</v>
      </c>
      <c r="D45" s="57" t="s">
        <v>74</v>
      </c>
      <c r="E45" s="57" t="s">
        <v>2</v>
      </c>
      <c r="F45" s="48"/>
      <c r="G45" s="96" t="str">
        <f>IFERROR(IF(AND(Table_Chantiers[[#This Row],[Centre 1]]&lt;&gt;"",Table_Chantiers[[#This Row],[UT]]&lt;&gt;"",Table_Chantiers[[#This Row],[Centre 2]]=""),"Remplir col. D",""),"")</f>
        <v/>
      </c>
    </row>
    <row r="46" spans="1:7">
      <c r="A46" s="46" t="s">
        <v>523</v>
      </c>
      <c r="B46" s="47" t="s">
        <v>524</v>
      </c>
      <c r="C46" s="57" t="s">
        <v>2</v>
      </c>
      <c r="D46" s="57" t="s">
        <v>2</v>
      </c>
      <c r="E46" s="57" t="s">
        <v>2</v>
      </c>
      <c r="F46" s="48"/>
      <c r="G46" s="96" t="str">
        <f>IFERROR(IF(AND(Table_Chantiers[[#This Row],[Centre 1]]&lt;&gt;"",Table_Chantiers[[#This Row],[UT]]&lt;&gt;"",Table_Chantiers[[#This Row],[Centre 2]]=""),"Remplir col. D",""),"")</f>
        <v/>
      </c>
    </row>
    <row r="47" spans="1:7">
      <c r="A47" s="46" t="s">
        <v>432</v>
      </c>
      <c r="B47" s="47" t="s">
        <v>307</v>
      </c>
      <c r="C47" s="57" t="s">
        <v>4</v>
      </c>
      <c r="D47" s="57" t="s">
        <v>4</v>
      </c>
      <c r="E47" s="57" t="s">
        <v>2</v>
      </c>
      <c r="F47" s="48"/>
      <c r="G47" s="96" t="str">
        <f>IFERROR(IF(AND(Table_Chantiers[[#This Row],[Centre 1]]&lt;&gt;"",Table_Chantiers[[#This Row],[UT]]&lt;&gt;"",Table_Chantiers[[#This Row],[Centre 2]]=""),"Remplir col. D",""),"")</f>
        <v/>
      </c>
    </row>
    <row r="48" spans="1:7">
      <c r="A48" s="46" t="s">
        <v>422</v>
      </c>
      <c r="B48" s="47" t="s">
        <v>308</v>
      </c>
      <c r="C48" s="57" t="s">
        <v>4</v>
      </c>
      <c r="D48" s="57" t="s">
        <v>4</v>
      </c>
      <c r="E48" s="57" t="s">
        <v>2</v>
      </c>
      <c r="F48" s="48"/>
      <c r="G48" s="96" t="str">
        <f>IFERROR(IF(AND(Table_Chantiers[[#This Row],[Centre 1]]&lt;&gt;"",Table_Chantiers[[#This Row],[UT]]&lt;&gt;"",Table_Chantiers[[#This Row],[Centre 2]]=""),"Remplir col. D",""),"")</f>
        <v/>
      </c>
    </row>
    <row r="49" spans="1:7">
      <c r="A49" s="46" t="s">
        <v>433</v>
      </c>
      <c r="B49" s="47" t="s">
        <v>309</v>
      </c>
      <c r="C49" s="57" t="s">
        <v>4</v>
      </c>
      <c r="D49" s="57" t="s">
        <v>4</v>
      </c>
      <c r="E49" s="57" t="s">
        <v>2</v>
      </c>
      <c r="F49" s="48"/>
      <c r="G49" s="96" t="str">
        <f>IFERROR(IF(AND(Table_Chantiers[[#This Row],[Centre 1]]&lt;&gt;"",Table_Chantiers[[#This Row],[UT]]&lt;&gt;"",Table_Chantiers[[#This Row],[Centre 2]]=""),"Remplir col. D",""),"")</f>
        <v/>
      </c>
    </row>
    <row r="50" spans="1:7">
      <c r="A50" s="46" t="s">
        <v>310</v>
      </c>
      <c r="B50" s="47" t="s">
        <v>311</v>
      </c>
      <c r="C50" s="57" t="s">
        <v>4</v>
      </c>
      <c r="D50" s="57" t="s">
        <v>74</v>
      </c>
      <c r="E50" s="57" t="s">
        <v>2</v>
      </c>
      <c r="F50" s="48"/>
      <c r="G50" s="96" t="str">
        <f>IFERROR(IF(AND(Table_Chantiers[[#This Row],[Centre 1]]&lt;&gt;"",Table_Chantiers[[#This Row],[UT]]&lt;&gt;"",Table_Chantiers[[#This Row],[Centre 2]]=""),"Remplir col. D",""),"")</f>
        <v/>
      </c>
    </row>
    <row r="51" spans="1:7">
      <c r="A51" s="46" t="s">
        <v>312</v>
      </c>
      <c r="B51" s="47" t="s">
        <v>313</v>
      </c>
      <c r="C51" s="57" t="s">
        <v>4</v>
      </c>
      <c r="D51" s="57" t="s">
        <v>8</v>
      </c>
      <c r="E51" s="57" t="s">
        <v>2</v>
      </c>
      <c r="F51" s="48"/>
      <c r="G51" s="96" t="str">
        <f>IFERROR(IF(AND(Table_Chantiers[[#This Row],[Centre 1]]&lt;&gt;"",Table_Chantiers[[#This Row],[UT]]&lt;&gt;"",Table_Chantiers[[#This Row],[Centre 2]]=""),"Remplir col. D",""),"")</f>
        <v/>
      </c>
    </row>
    <row r="52" spans="1:7">
      <c r="A52" s="46" t="s">
        <v>314</v>
      </c>
      <c r="B52" s="47" t="s">
        <v>315</v>
      </c>
      <c r="C52" s="57" t="s">
        <v>4</v>
      </c>
      <c r="D52" s="57" t="s">
        <v>7</v>
      </c>
      <c r="E52" s="57" t="s">
        <v>2</v>
      </c>
      <c r="F52" s="48"/>
      <c r="G52" s="96" t="str">
        <f>IFERROR(IF(AND(Table_Chantiers[[#This Row],[Centre 1]]&lt;&gt;"",Table_Chantiers[[#This Row],[UT]]&lt;&gt;"",Table_Chantiers[[#This Row],[Centre 2]]=""),"Remplir col. D",""),"")</f>
        <v/>
      </c>
    </row>
    <row r="53" spans="1:7">
      <c r="A53" s="46" t="s">
        <v>316</v>
      </c>
      <c r="B53" s="47" t="s">
        <v>317</v>
      </c>
      <c r="C53" s="57" t="s">
        <v>4</v>
      </c>
      <c r="D53" s="57" t="s">
        <v>1</v>
      </c>
      <c r="E53" s="57" t="s">
        <v>2</v>
      </c>
      <c r="F53" s="48"/>
      <c r="G53" s="96" t="str">
        <f>IFERROR(IF(AND(Table_Chantiers[[#This Row],[Centre 1]]&lt;&gt;"",Table_Chantiers[[#This Row],[UT]]&lt;&gt;"",Table_Chantiers[[#This Row],[Centre 2]]=""),"Remplir col. D",""),"")</f>
        <v/>
      </c>
    </row>
    <row r="54" spans="1:7">
      <c r="A54" s="46" t="s">
        <v>318</v>
      </c>
      <c r="B54" s="47" t="s">
        <v>319</v>
      </c>
      <c r="C54" s="57" t="s">
        <v>4</v>
      </c>
      <c r="D54" s="57" t="s">
        <v>5</v>
      </c>
      <c r="E54" s="57" t="s">
        <v>2</v>
      </c>
      <c r="F54" s="48"/>
      <c r="G54" s="96" t="str">
        <f>IFERROR(IF(AND(Table_Chantiers[[#This Row],[Centre 1]]&lt;&gt;"",Table_Chantiers[[#This Row],[UT]]&lt;&gt;"",Table_Chantiers[[#This Row],[Centre 2]]=""),"Remplir col. D",""),"")</f>
        <v/>
      </c>
    </row>
    <row r="55" spans="1:7">
      <c r="G55" s="96" t="str">
        <f>IFERROR(IF(AND(Table_Chantiers[[#This Row],[Centre 1]]&lt;&gt;"",Table_Chantiers[[#This Row],[UT]]&lt;&gt;"",Table_Chantiers[[#This Row],[Centre 2]]=""),"Remplir col. D",""),"")</f>
        <v/>
      </c>
    </row>
    <row r="56" spans="1:7">
      <c r="G56" s="96" t="str">
        <f>IFERROR(IF(AND(Table_Chantiers[[#This Row],[Centre 1]]&lt;&gt;"",Table_Chantiers[[#This Row],[UT]]&lt;&gt;"",Table_Chantiers[[#This Row],[Centre 2]]=""),"Remplir col. D",""),"")</f>
        <v/>
      </c>
    </row>
    <row r="57" spans="1:7">
      <c r="A57" s="14"/>
      <c r="B57" s="14"/>
      <c r="F57" s="14"/>
      <c r="G57" s="96" t="str">
        <f>IFERROR(IF(AND(Table_Chantiers[[#This Row],[Centre 1]]&lt;&gt;"",Table_Chantiers[[#This Row],[UT]]&lt;&gt;"",Table_Chantiers[[#This Row],[Centre 2]]=""),"Remplir col. D",""),"")</f>
        <v/>
      </c>
    </row>
    <row r="58" spans="1:7">
      <c r="G58" s="96" t="str">
        <f>IFERROR(IF(AND(Table_Chantiers[[#This Row],[Centre 1]]&lt;&gt;"",Table_Chantiers[[#This Row],[UT]]&lt;&gt;"",Table_Chantiers[[#This Row],[Centre 2]]=""),"Remplir col. D",""),"")</f>
        <v/>
      </c>
    </row>
    <row r="59" spans="1:7">
      <c r="G59" s="96" t="str">
        <f>IFERROR(IF(AND(Table_Chantiers[[#This Row],[Centre 1]]&lt;&gt;"",Table_Chantiers[[#This Row],[UT]]&lt;&gt;"",Table_Chantiers[[#This Row],[Centre 2]]=""),"Remplir col. D",""),"")</f>
        <v/>
      </c>
    </row>
    <row r="60" spans="1:7">
      <c r="G60" s="96" t="str">
        <f>IFERROR(IF(AND(Table_Chantiers[[#This Row],[Centre 1]]&lt;&gt;"",Table_Chantiers[[#This Row],[UT]]&lt;&gt;"",Table_Chantiers[[#This Row],[Centre 2]]=""),"Remplir col. D",""),"")</f>
        <v/>
      </c>
    </row>
    <row r="61" spans="1:7">
      <c r="G61" s="96" t="str">
        <f>IFERROR(IF(AND(Table_Chantiers[[#This Row],[Centre 1]]&lt;&gt;"",Table_Chantiers[[#This Row],[UT]]&lt;&gt;"",Table_Chantiers[[#This Row],[Centre 2]]=""),"Remplir col. D",""),"")</f>
        <v/>
      </c>
    </row>
    <row r="62" spans="1:7">
      <c r="G62" s="96" t="str">
        <f>IFERROR(IF(AND(Table_Chantiers[[#This Row],[Centre 1]]&lt;&gt;"",Table_Chantiers[[#This Row],[UT]]&lt;&gt;"",Table_Chantiers[[#This Row],[Centre 2]]=""),"Remplir col. D",""),"")</f>
        <v/>
      </c>
    </row>
    <row r="63" spans="1:7">
      <c r="G63" s="96" t="str">
        <f>IFERROR(IF(AND(Table_Chantiers[[#This Row],[Centre 1]]&lt;&gt;"",Table_Chantiers[[#This Row],[UT]]&lt;&gt;"",Table_Chantiers[[#This Row],[Centre 2]]=""),"Remplir col. D",""),"")</f>
        <v/>
      </c>
    </row>
    <row r="64" spans="1:7">
      <c r="G64" s="96" t="str">
        <f>IFERROR(IF(AND(Table_Chantiers[[#This Row],[Centre 1]]&lt;&gt;"",Table_Chantiers[[#This Row],[UT]]&lt;&gt;"",Table_Chantiers[[#This Row],[Centre 2]]=""),"Remplir col. D",""),"")</f>
        <v/>
      </c>
    </row>
    <row r="65" spans="3:7">
      <c r="G65" s="96" t="str">
        <f>IFERROR(IF(AND(Table_Chantiers[[#This Row],[Centre 1]]&lt;&gt;"",Table_Chantiers[[#This Row],[UT]]&lt;&gt;"",Table_Chantiers[[#This Row],[Centre 2]]=""),"Remplir col. D",""),"")</f>
        <v/>
      </c>
    </row>
    <row r="66" spans="3:7">
      <c r="G66" s="96" t="str">
        <f>IFERROR(IF(AND(Table_Chantiers[[#This Row],[Centre 1]]&lt;&gt;"",Table_Chantiers[[#This Row],[UT]]&lt;&gt;"",Table_Chantiers[[#This Row],[Centre 2]]=""),"Remplir col. D",""),"")</f>
        <v/>
      </c>
    </row>
    <row r="67" spans="3:7">
      <c r="G67" s="96" t="str">
        <f>IFERROR(IF(AND(Table_Chantiers[[#This Row],[Centre 1]]&lt;&gt;"",Table_Chantiers[[#This Row],[UT]]&lt;&gt;"",Table_Chantiers[[#This Row],[Centre 2]]=""),"Remplir col. D",""),"")</f>
        <v/>
      </c>
    </row>
    <row r="68" spans="3:7">
      <c r="G68" s="96" t="str">
        <f>IFERROR(IF(AND(Table_Chantiers[[#This Row],[Centre 1]]&lt;&gt;"",Table_Chantiers[[#This Row],[UT]]&lt;&gt;"",Table_Chantiers[[#This Row],[Centre 2]]=""),"Remplir col. D",""),"")</f>
        <v/>
      </c>
    </row>
    <row r="69" spans="3:7">
      <c r="G69" s="96" t="str">
        <f>IFERROR(IF(AND(Table_Chantiers[[#This Row],[Centre 1]]&lt;&gt;"",Table_Chantiers[[#This Row],[UT]]&lt;&gt;"",Table_Chantiers[[#This Row],[Centre 2]]=""),"Remplir col. D",""),"")</f>
        <v/>
      </c>
    </row>
    <row r="70" spans="3:7">
      <c r="G70" s="96" t="str">
        <f>IFERROR(IF(AND(Table_Chantiers[[#This Row],[Centre 1]]&lt;&gt;"",Table_Chantiers[[#This Row],[UT]]&lt;&gt;"",Table_Chantiers[[#This Row],[Centre 2]]=""),"Remplir col. D",""),"")</f>
        <v/>
      </c>
    </row>
    <row r="71" spans="3:7">
      <c r="C71" s="2"/>
      <c r="G71" s="96" t="str">
        <f>IFERROR(IF(AND(Table_Chantiers[[#This Row],[Centre 1]]&lt;&gt;"",Table_Chantiers[[#This Row],[UT]]&lt;&gt;"",Table_Chantiers[[#This Row],[Centre 2]]=""),"Remplir col. D",""),"")</f>
        <v/>
      </c>
    </row>
    <row r="72" spans="3:7">
      <c r="C72" s="2"/>
      <c r="G72" s="96" t="str">
        <f>IFERROR(IF(AND(Table_Chantiers[[#This Row],[Centre 1]]&lt;&gt;"",Table_Chantiers[[#This Row],[UT]]&lt;&gt;"",Table_Chantiers[[#This Row],[Centre 2]]=""),"Remplir col. D",""),"")</f>
        <v/>
      </c>
    </row>
    <row r="73" spans="3:7">
      <c r="C73" s="2"/>
      <c r="G73" s="96" t="str">
        <f>IFERROR(IF(AND(Table_Chantiers[[#This Row],[Centre 1]]&lt;&gt;"",Table_Chantiers[[#This Row],[UT]]&lt;&gt;"",Table_Chantiers[[#This Row],[Centre 2]]=""),"Remplir col. D",""),"")</f>
        <v/>
      </c>
    </row>
    <row r="74" spans="3:7">
      <c r="C74" s="2"/>
      <c r="G74" s="96" t="str">
        <f>IFERROR(IF(AND(Table_Chantiers[[#This Row],[Centre 1]]&lt;&gt;"",Table_Chantiers[[#This Row],[UT]]&lt;&gt;"",Table_Chantiers[[#This Row],[Centre 2]]=""),"Remplir col. D",""),"")</f>
        <v/>
      </c>
    </row>
    <row r="75" spans="3:7">
      <c r="C75" s="2"/>
      <c r="D75" s="90"/>
      <c r="G75" s="96" t="str">
        <f>IFERROR(IF(AND(Table_Chantiers[[#This Row],[Centre 1]]&lt;&gt;"",Table_Chantiers[[#This Row],[UT]]&lt;&gt;"",Table_Chantiers[[#This Row],[Centre 2]]=""),"Remplir col. D",""),"")</f>
        <v/>
      </c>
    </row>
    <row r="76" spans="3:7">
      <c r="C76" s="2"/>
      <c r="D76" s="90"/>
      <c r="G76" s="96"/>
    </row>
    <row r="77" spans="3:7">
      <c r="C77" s="2"/>
      <c r="D77" s="90"/>
      <c r="G77" s="96"/>
    </row>
    <row r="78" spans="3:7">
      <c r="G78" s="96"/>
    </row>
    <row r="79" spans="3:7">
      <c r="G79" s="96"/>
    </row>
    <row r="80" spans="3:7">
      <c r="G80" s="96"/>
    </row>
    <row r="81" spans="7:7">
      <c r="G81" s="96"/>
    </row>
    <row r="82" spans="7:7">
      <c r="G82" s="96"/>
    </row>
    <row r="83" spans="7:7">
      <c r="G83" s="96"/>
    </row>
    <row r="84" spans="7:7">
      <c r="G84" s="96"/>
    </row>
    <row r="85" spans="7:7">
      <c r="G85" s="96"/>
    </row>
    <row r="86" spans="7:7">
      <c r="G86" s="96"/>
    </row>
    <row r="87" spans="7:7">
      <c r="G87" s="96"/>
    </row>
    <row r="88" spans="7:7">
      <c r="G88" s="96"/>
    </row>
    <row r="89" spans="7:7">
      <c r="G89" s="96"/>
    </row>
    <row r="90" spans="7:7">
      <c r="G90" s="96"/>
    </row>
    <row r="91" spans="7:7">
      <c r="G91" s="96"/>
    </row>
    <row r="92" spans="7:7">
      <c r="G92" s="96"/>
    </row>
    <row r="93" spans="7:7">
      <c r="G93" s="96"/>
    </row>
    <row r="94" spans="7:7">
      <c r="G94" s="96"/>
    </row>
    <row r="95" spans="7:7">
      <c r="G95" s="96"/>
    </row>
    <row r="96" spans="7:7">
      <c r="G96" s="96"/>
    </row>
    <row r="97" spans="7:7">
      <c r="G97" s="96"/>
    </row>
    <row r="98" spans="7:7">
      <c r="G98" s="96"/>
    </row>
    <row r="99" spans="7:7">
      <c r="G99" s="96"/>
    </row>
    <row r="100" spans="7:7">
      <c r="G100" s="96"/>
    </row>
    <row r="101" spans="7:7">
      <c r="G101" s="96"/>
    </row>
    <row r="102" spans="7:7">
      <c r="G102" s="96"/>
    </row>
    <row r="103" spans="7:7">
      <c r="G103" s="96"/>
    </row>
    <row r="104" spans="7:7">
      <c r="G104" s="96"/>
    </row>
    <row r="105" spans="7:7">
      <c r="G105" s="96"/>
    </row>
    <row r="106" spans="7:7">
      <c r="G106" s="96"/>
    </row>
    <row r="107" spans="7:7">
      <c r="G107" s="96"/>
    </row>
    <row r="108" spans="7:7">
      <c r="G108" s="96"/>
    </row>
    <row r="109" spans="7:7">
      <c r="G109" s="96"/>
    </row>
    <row r="110" spans="7:7">
      <c r="G110" s="96"/>
    </row>
    <row r="111" spans="7:7">
      <c r="G111" s="96"/>
    </row>
    <row r="112" spans="7:7">
      <c r="G112" s="96"/>
    </row>
    <row r="113" spans="1:7">
      <c r="G113" s="96"/>
    </row>
    <row r="114" spans="1:7">
      <c r="G114" s="96"/>
    </row>
    <row r="115" spans="1:7">
      <c r="G115" s="96"/>
    </row>
    <row r="116" spans="1:7">
      <c r="G116" s="96"/>
    </row>
    <row r="117" spans="1:7">
      <c r="G117" s="96"/>
    </row>
    <row r="118" spans="1:7">
      <c r="G118" s="96"/>
    </row>
    <row r="119" spans="1:7">
      <c r="G119" s="96"/>
    </row>
    <row r="120" spans="1:7">
      <c r="G120" s="96"/>
    </row>
    <row r="121" spans="1:7">
      <c r="G121" s="96"/>
    </row>
    <row r="122" spans="1:7">
      <c r="A122" t="s">
        <v>209</v>
      </c>
      <c r="G122" s="96"/>
    </row>
    <row r="123" spans="1:7">
      <c r="G123" s="96"/>
    </row>
    <row r="124" spans="1:7">
      <c r="G124" s="96"/>
    </row>
    <row r="125" spans="1:7">
      <c r="G125" s="96"/>
    </row>
    <row r="126" spans="1:7">
      <c r="G126" s="96"/>
    </row>
    <row r="127" spans="1:7">
      <c r="G127" s="96"/>
    </row>
    <row r="128" spans="1:7">
      <c r="G128" s="96"/>
    </row>
    <row r="129" spans="7:7">
      <c r="G129" s="96"/>
    </row>
    <row r="130" spans="7:7">
      <c r="G130" s="96"/>
    </row>
    <row r="131" spans="7:7">
      <c r="G131" s="96"/>
    </row>
    <row r="132" spans="7:7">
      <c r="G132" s="96"/>
    </row>
    <row r="133" spans="7:7">
      <c r="G133" s="96"/>
    </row>
    <row r="134" spans="7:7">
      <c r="G134" s="96"/>
    </row>
  </sheetData>
  <sheetProtection formatCells="0" formatColumns="0" formatRows="0" insertColumns="0" insertRows="0" insertHyperlinks="0" deleteColumns="0" deleteRows="0" sort="0" autoFilter="0" pivotTables="0"/>
  <sortState ref="H35:I55">
    <sortCondition ref="H35:H55"/>
  </sortState>
  <dataValidations count="6">
    <dataValidation allowBlank="1" showInputMessage="1" showErrorMessage="1" errorTitle="FF" sqref="A123:A187"/>
    <dataValidation type="list" allowBlank="1" showInputMessage="1" showErrorMessage="1" sqref="F2:F54">
      <formula1>"F"</formula1>
    </dataValidation>
    <dataValidation type="list" allowBlank="1" showInputMessage="1" showErrorMessage="1" sqref="E2:E54">
      <formula1>"UT CENT,UT ESTM,UT OUES"</formula1>
    </dataValidation>
    <dataValidation type="custom" allowBlank="1" showErrorMessage="1" errorTitle="SFDDSQ" sqref="A122">
      <formula1>COUNTIF($A$2:$A$122,$A122)=1</formula1>
    </dataValidation>
    <dataValidation type="custom" allowBlank="1" showErrorMessage="1" errorTitle="Doublon" error="Vous avez déjà enregistré ce chantier" sqref="A54:A121">
      <formula1>COUNTIF($A$2:$A$122,$A54)=1</formula1>
    </dataValidation>
    <dataValidation type="custom" allowBlank="1" showErrorMessage="1" errorTitle="Doublon" error="Vous avez déjà enregistré ce chantier" sqref="A2:A53">
      <formula1>COUNTIF($A$2:$A$71,$A2)=1</formula1>
    </dataValidation>
  </dataValidations>
  <printOptions horizontalCentered="1"/>
  <pageMargins left="0.31496062992125984" right="0.31496062992125984" top="1.0629921259842521" bottom="0.74803149606299213" header="0.51181102362204722" footer="0.31496062992125984"/>
  <pageSetup paperSize="9" orientation="portrait" r:id="rId1"/>
  <headerFooter>
    <oddHeader>&amp;C&amp;"-,Gras"&amp;20Liste des chantiers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La valeur que vous avez tapée n'est pas valide">
          <x14:formula1>
            <xm:f>Annexe!$J$3:$J$24</xm:f>
          </x14:formula1>
          <xm:sqref>C1:D1048576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  <pageSetUpPr autoPageBreaks="0" fitToPage="1"/>
  </sheetPr>
  <dimension ref="A1:D40"/>
  <sheetViews>
    <sheetView showGridLines="0" zoomScale="130" zoomScaleNormal="130" workbookViewId="0">
      <pane ySplit="1" topLeftCell="A2" activePane="bottomLeft" state="frozen"/>
      <selection activeCell="F24" sqref="F24"/>
      <selection pane="bottomLeft" activeCell="A18" sqref="A18"/>
    </sheetView>
  </sheetViews>
  <sheetFormatPr baseColWidth="10" defaultRowHeight="15"/>
  <cols>
    <col min="1" max="1" width="11.42578125" style="3"/>
    <col min="2" max="2" width="49" style="3" customWidth="1"/>
    <col min="3" max="3" width="49" style="3" hidden="1" customWidth="1"/>
    <col min="4" max="4" width="28.5703125" style="3" hidden="1" customWidth="1"/>
    <col min="5" max="16384" width="11.42578125" style="3"/>
  </cols>
  <sheetData>
    <row r="1" spans="1:4">
      <c r="A1" s="79" t="s">
        <v>31</v>
      </c>
      <c r="B1" s="80" t="s">
        <v>23</v>
      </c>
      <c r="C1" s="72" t="s">
        <v>146</v>
      </c>
      <c r="D1" s="72" t="s">
        <v>142</v>
      </c>
    </row>
    <row r="2" spans="1:4">
      <c r="A2" s="71">
        <v>1100</v>
      </c>
      <c r="B2" s="73" t="s">
        <v>141</v>
      </c>
      <c r="C2" s="73" t="s">
        <v>174</v>
      </c>
      <c r="D2" s="74" t="str">
        <f t="shared" ref="D2:D31" si="0">"0"&amp; "" &amp;A2&amp; "   " &amp;C2</f>
        <v>01100   ENTRETIEN COURANT</v>
      </c>
    </row>
    <row r="3" spans="1:4">
      <c r="A3" s="71">
        <v>1210</v>
      </c>
      <c r="B3" s="73" t="s">
        <v>140</v>
      </c>
      <c r="C3" s="73" t="s">
        <v>147</v>
      </c>
      <c r="D3" s="74" t="str">
        <f t="shared" si="0"/>
        <v>01210   ENDUITS</v>
      </c>
    </row>
    <row r="4" spans="1:4">
      <c r="A4" s="71">
        <v>1220</v>
      </c>
      <c r="B4" s="73" t="s">
        <v>139</v>
      </c>
      <c r="C4" s="73" t="s">
        <v>148</v>
      </c>
      <c r="D4" s="74" t="str">
        <f t="shared" si="0"/>
        <v>01220   ENROBES</v>
      </c>
    </row>
    <row r="5" spans="1:4">
      <c r="A5" s="71">
        <v>1310</v>
      </c>
      <c r="B5" s="73" t="s">
        <v>138</v>
      </c>
      <c r="C5" s="73" t="s">
        <v>149</v>
      </c>
      <c r="D5" s="74" t="str">
        <f t="shared" si="0"/>
        <v>01310   ASS. ROUTE</v>
      </c>
    </row>
    <row r="6" spans="1:4">
      <c r="A6" s="71">
        <v>1320</v>
      </c>
      <c r="B6" s="73" t="s">
        <v>137</v>
      </c>
      <c r="C6" s="73" t="s">
        <v>150</v>
      </c>
      <c r="D6" s="74" t="str">
        <f t="shared" si="0"/>
        <v>01320   FAUCHAGE C1</v>
      </c>
    </row>
    <row r="7" spans="1:4">
      <c r="A7" s="71">
        <v>1330</v>
      </c>
      <c r="B7" s="73" t="s">
        <v>136</v>
      </c>
      <c r="C7" s="73" t="s">
        <v>151</v>
      </c>
      <c r="D7" s="74" t="str">
        <f t="shared" si="0"/>
        <v>01330   FAUCHAGE C2</v>
      </c>
    </row>
    <row r="8" spans="1:4">
      <c r="A8" s="71">
        <v>1340</v>
      </c>
      <c r="B8" s="73" t="s">
        <v>135</v>
      </c>
      <c r="C8" s="73" t="s">
        <v>152</v>
      </c>
      <c r="D8" s="74" t="str">
        <f t="shared" si="0"/>
        <v>01340   ENT. AIRES</v>
      </c>
    </row>
    <row r="9" spans="1:4">
      <c r="A9" s="71">
        <v>1350</v>
      </c>
      <c r="B9" s="73" t="s">
        <v>134</v>
      </c>
      <c r="C9" s="73" t="s">
        <v>153</v>
      </c>
      <c r="D9" s="74" t="str">
        <f t="shared" si="0"/>
        <v>01350   ENT. AUTRES</v>
      </c>
    </row>
    <row r="10" spans="1:4">
      <c r="A10" s="71">
        <v>1400</v>
      </c>
      <c r="B10" s="73" t="s">
        <v>133</v>
      </c>
      <c r="C10" s="73" t="s">
        <v>154</v>
      </c>
      <c r="D10" s="74" t="str">
        <f t="shared" si="0"/>
        <v>01400   SERV. HIVERNAL</v>
      </c>
    </row>
    <row r="11" spans="1:4">
      <c r="A11" s="71">
        <v>1500</v>
      </c>
      <c r="B11" s="73" t="s">
        <v>132</v>
      </c>
      <c r="C11" s="73" t="s">
        <v>155</v>
      </c>
      <c r="D11" s="74" t="str">
        <f t="shared" si="0"/>
        <v>01500   ENT. &amp; REP. OA</v>
      </c>
    </row>
    <row r="12" spans="1:4">
      <c r="A12" s="71">
        <v>1610</v>
      </c>
      <c r="B12" s="73" t="s">
        <v>131</v>
      </c>
      <c r="C12" s="73" t="s">
        <v>156</v>
      </c>
      <c r="D12" s="74" t="str">
        <f t="shared" si="0"/>
        <v>01610   SIGNAL. PERM.</v>
      </c>
    </row>
    <row r="13" spans="1:4">
      <c r="A13" s="71">
        <v>1620</v>
      </c>
      <c r="B13" s="73" t="s">
        <v>130</v>
      </c>
      <c r="C13" s="73" t="s">
        <v>157</v>
      </c>
      <c r="D13" s="74" t="str">
        <f t="shared" si="0"/>
        <v>01620   EQUIP. SECURITE</v>
      </c>
    </row>
    <row r="14" spans="1:4">
      <c r="A14" s="71">
        <v>1630</v>
      </c>
      <c r="B14" s="73" t="s">
        <v>129</v>
      </c>
      <c r="C14" s="73" t="s">
        <v>159</v>
      </c>
      <c r="D14" s="74" t="str">
        <f t="shared" si="0"/>
        <v>01630   DEVIATION</v>
      </c>
    </row>
    <row r="15" spans="1:4">
      <c r="A15" s="71">
        <v>1710</v>
      </c>
      <c r="B15" s="73" t="s">
        <v>602</v>
      </c>
      <c r="C15" s="73" t="s">
        <v>158</v>
      </c>
      <c r="D15" s="74" t="str">
        <f t="shared" si="0"/>
        <v>01710   INTERVENTIONS</v>
      </c>
    </row>
    <row r="16" spans="1:4">
      <c r="A16" s="71">
        <v>1720</v>
      </c>
      <c r="B16" s="73" t="s">
        <v>603</v>
      </c>
      <c r="C16" s="73"/>
      <c r="D16" s="74" t="str">
        <f>A16&amp; " " &amp;B16</f>
        <v>1720 INTERVENTIONS VQ (sauf accidents)</v>
      </c>
    </row>
    <row r="17" spans="1:4">
      <c r="A17" s="71">
        <v>1730</v>
      </c>
      <c r="B17" s="73" t="s">
        <v>604</v>
      </c>
      <c r="C17" s="73"/>
      <c r="D17" s="74" t="str">
        <f>A17&amp; " " &amp;B17</f>
        <v>1730 INTERVENTIONS EXCEPTIONNELLES</v>
      </c>
    </row>
    <row r="18" spans="1:4">
      <c r="A18" s="71">
        <v>1810</v>
      </c>
      <c r="B18" s="73" t="s">
        <v>128</v>
      </c>
      <c r="C18" s="73" t="s">
        <v>160</v>
      </c>
      <c r="D18" s="74" t="str">
        <f t="shared" si="0"/>
        <v>01810   MAINT. MAT.</v>
      </c>
    </row>
    <row r="19" spans="1:4">
      <c r="A19" s="71">
        <v>1820</v>
      </c>
      <c r="B19" s="73" t="s">
        <v>127</v>
      </c>
      <c r="C19" s="73" t="s">
        <v>161</v>
      </c>
      <c r="D19" s="74" t="str">
        <f t="shared" si="0"/>
        <v>01820   AUTRES TACHES</v>
      </c>
    </row>
    <row r="20" spans="1:4">
      <c r="A20" s="71">
        <v>1830</v>
      </c>
      <c r="B20" s="73" t="s">
        <v>126</v>
      </c>
      <c r="C20" s="73" t="s">
        <v>175</v>
      </c>
      <c r="D20" s="74" t="str">
        <f t="shared" si="0"/>
        <v>01830   TRAVAUX OPA PARC</v>
      </c>
    </row>
    <row r="21" spans="1:4">
      <c r="A21" s="71">
        <v>1910</v>
      </c>
      <c r="B21" s="73" t="s">
        <v>125</v>
      </c>
      <c r="C21" s="73" t="s">
        <v>176</v>
      </c>
      <c r="D21" s="74" t="str">
        <f t="shared" si="0"/>
        <v>01910   INACTIVITE</v>
      </c>
    </row>
    <row r="22" spans="1:4">
      <c r="A22" s="71">
        <v>1920</v>
      </c>
      <c r="B22" s="73" t="s">
        <v>124</v>
      </c>
      <c r="C22" s="73" t="s">
        <v>124</v>
      </c>
      <c r="D22" s="74" t="str">
        <f t="shared" si="0"/>
        <v>01920   PANNE</v>
      </c>
    </row>
    <row r="23" spans="1:4">
      <c r="A23" s="71">
        <v>3100</v>
      </c>
      <c r="B23" s="73" t="s">
        <v>123</v>
      </c>
      <c r="C23" s="73" t="s">
        <v>162</v>
      </c>
      <c r="D23" s="74" t="str">
        <f t="shared" si="0"/>
        <v>03100   ING. ENTRETIEN</v>
      </c>
    </row>
    <row r="24" spans="1:4">
      <c r="A24" s="71">
        <v>3200</v>
      </c>
      <c r="B24" s="73" t="s">
        <v>122</v>
      </c>
      <c r="C24" s="73" t="s">
        <v>163</v>
      </c>
      <c r="D24" s="74" t="str">
        <f t="shared" si="0"/>
        <v>03200   ING. VH</v>
      </c>
    </row>
    <row r="25" spans="1:4">
      <c r="A25" s="71">
        <v>3300</v>
      </c>
      <c r="B25" s="73" t="s">
        <v>121</v>
      </c>
      <c r="C25" s="73" t="s">
        <v>164</v>
      </c>
      <c r="D25" s="74" t="str">
        <f t="shared" si="0"/>
        <v>03300   ING. EXPLOITATION</v>
      </c>
    </row>
    <row r="26" spans="1:4">
      <c r="A26" s="71">
        <v>3410</v>
      </c>
      <c r="B26" s="73" t="s">
        <v>120</v>
      </c>
      <c r="C26" s="73" t="s">
        <v>167</v>
      </c>
      <c r="D26" s="74" t="str">
        <f t="shared" si="0"/>
        <v>03410   ETUDES ROUTES</v>
      </c>
    </row>
    <row r="27" spans="1:4">
      <c r="A27" s="71">
        <v>3420</v>
      </c>
      <c r="B27" s="73" t="s">
        <v>119</v>
      </c>
      <c r="C27" s="73" t="s">
        <v>165</v>
      </c>
      <c r="D27" s="74" t="str">
        <f t="shared" si="0"/>
        <v>03420   SURV. ROUTES</v>
      </c>
    </row>
    <row r="28" spans="1:4">
      <c r="A28" s="71">
        <v>3430</v>
      </c>
      <c r="B28" s="73" t="s">
        <v>118</v>
      </c>
      <c r="C28" s="73" t="s">
        <v>166</v>
      </c>
      <c r="D28" s="74" t="str">
        <f t="shared" si="0"/>
        <v>03430   ETUDES O.A</v>
      </c>
    </row>
    <row r="29" spans="1:4">
      <c r="A29" s="71">
        <v>3440</v>
      </c>
      <c r="B29" s="73" t="s">
        <v>117</v>
      </c>
      <c r="C29" s="73" t="s">
        <v>168</v>
      </c>
      <c r="D29" s="74" t="str">
        <f t="shared" si="0"/>
        <v>03440   SURV. O.A</v>
      </c>
    </row>
    <row r="30" spans="1:4">
      <c r="A30" s="71">
        <v>3500</v>
      </c>
      <c r="B30" s="73" t="s">
        <v>116</v>
      </c>
      <c r="C30" s="73" t="s">
        <v>169</v>
      </c>
      <c r="D30" s="74" t="str">
        <f t="shared" si="0"/>
        <v>03500   ING. HORS ROUTES</v>
      </c>
    </row>
    <row r="31" spans="1:4">
      <c r="A31" s="71">
        <v>3600</v>
      </c>
      <c r="B31" s="73" t="s">
        <v>115</v>
      </c>
      <c r="C31" s="73" t="s">
        <v>170</v>
      </c>
      <c r="D31" s="74" t="str">
        <f t="shared" si="0"/>
        <v>03600   GESTION DP</v>
      </c>
    </row>
    <row r="32" spans="1:4">
      <c r="A32" s="71">
        <v>13001</v>
      </c>
      <c r="B32" s="73" t="s">
        <v>114</v>
      </c>
      <c r="C32" s="73" t="s">
        <v>171</v>
      </c>
      <c r="D32" s="74" t="str">
        <f t="shared" ref="D32:D40" si="1">A32&amp; "   " &amp;C32</f>
        <v>13001   ABSENCES</v>
      </c>
    </row>
    <row r="33" spans="1:4">
      <c r="A33" s="71">
        <v>13002</v>
      </c>
      <c r="B33" s="73" t="s">
        <v>177</v>
      </c>
      <c r="C33" s="73" t="s">
        <v>178</v>
      </c>
      <c r="D33" s="74" t="str">
        <f t="shared" si="1"/>
        <v>13002   CONGES, RTT</v>
      </c>
    </row>
    <row r="34" spans="1:4">
      <c r="A34" s="71">
        <v>13003</v>
      </c>
      <c r="B34" s="73" t="s">
        <v>113</v>
      </c>
      <c r="C34" s="73" t="s">
        <v>179</v>
      </c>
      <c r="D34" s="74" t="str">
        <f t="shared" si="1"/>
        <v>13003   MALADIE, AT</v>
      </c>
    </row>
    <row r="35" spans="1:4">
      <c r="A35" s="71">
        <v>13100</v>
      </c>
      <c r="B35" s="73" t="s">
        <v>112</v>
      </c>
      <c r="C35" s="73" t="s">
        <v>112</v>
      </c>
      <c r="D35" s="74" t="str">
        <f t="shared" si="1"/>
        <v>13100   ENCADREMENT</v>
      </c>
    </row>
    <row r="36" spans="1:4">
      <c r="A36" s="71">
        <v>13210</v>
      </c>
      <c r="B36" s="73" t="s">
        <v>111</v>
      </c>
      <c r="C36" s="73" t="s">
        <v>111</v>
      </c>
      <c r="D36" s="74" t="str">
        <f t="shared" si="1"/>
        <v>13210   FORMATION RECUE</v>
      </c>
    </row>
    <row r="37" spans="1:4">
      <c r="A37" s="71">
        <v>13220</v>
      </c>
      <c r="B37" s="73" t="s">
        <v>110</v>
      </c>
      <c r="C37" s="73" t="s">
        <v>110</v>
      </c>
      <c r="D37" s="74" t="str">
        <f t="shared" si="1"/>
        <v>13220   FORMATION DONNEE</v>
      </c>
    </row>
    <row r="38" spans="1:4">
      <c r="A38" s="71">
        <v>13300</v>
      </c>
      <c r="B38" s="73" t="s">
        <v>109</v>
      </c>
      <c r="C38" s="73" t="s">
        <v>109</v>
      </c>
      <c r="D38" s="74" t="str">
        <f t="shared" si="1"/>
        <v>13300   COMPTABILITE</v>
      </c>
    </row>
    <row r="39" spans="1:4">
      <c r="A39" s="71">
        <v>13400</v>
      </c>
      <c r="B39" s="73" t="s">
        <v>108</v>
      </c>
      <c r="C39" s="73" t="s">
        <v>172</v>
      </c>
      <c r="D39" s="74" t="str">
        <f t="shared" si="1"/>
        <v>13400   SECRETARIAT</v>
      </c>
    </row>
    <row r="40" spans="1:4">
      <c r="A40" s="71">
        <v>13500</v>
      </c>
      <c r="B40" s="73" t="s">
        <v>107</v>
      </c>
      <c r="C40" s="73" t="s">
        <v>173</v>
      </c>
      <c r="D40" s="74" t="str">
        <f t="shared" si="1"/>
        <v>13500   DIVERS</v>
      </c>
    </row>
  </sheetData>
  <sheetProtection selectLockedCells="1" sort="0" selectUnlockedCells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&amp;C&amp;"-,Gras"&amp;20Liste des tâches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  <pageSetUpPr autoPageBreaks="0"/>
  </sheetPr>
  <dimension ref="A1:K11"/>
  <sheetViews>
    <sheetView showGridLines="0" zoomScale="145" zoomScaleNormal="145" workbookViewId="0">
      <selection activeCell="D4" sqref="D4"/>
    </sheetView>
  </sheetViews>
  <sheetFormatPr baseColWidth="10" defaultRowHeight="15"/>
  <cols>
    <col min="2" max="2" width="18.42578125" customWidth="1"/>
    <col min="3" max="3" width="4.5703125" style="2" customWidth="1"/>
    <col min="4" max="4" width="12.140625" style="2" customWidth="1"/>
    <col min="5" max="5" width="4.5703125" style="2" customWidth="1"/>
    <col min="6" max="6" width="11.42578125" style="2" customWidth="1"/>
  </cols>
  <sheetData>
    <row r="1" spans="1:11" s="2" customFormat="1">
      <c r="A1" s="104" t="s">
        <v>31</v>
      </c>
      <c r="B1" s="104" t="s">
        <v>23</v>
      </c>
      <c r="C1" s="105" t="s">
        <v>51</v>
      </c>
      <c r="D1" s="105" t="s">
        <v>53</v>
      </c>
      <c r="E1" s="105" t="s">
        <v>52</v>
      </c>
      <c r="F1" s="105" t="s">
        <v>54</v>
      </c>
      <c r="G1" s="11"/>
      <c r="H1" s="17"/>
      <c r="I1" s="17"/>
      <c r="J1" s="17"/>
    </row>
    <row r="2" spans="1:11" s="2" customFormat="1">
      <c r="A2" s="107">
        <v>2</v>
      </c>
      <c r="B2" s="106" t="s">
        <v>235</v>
      </c>
      <c r="C2" s="103" t="s">
        <v>38</v>
      </c>
      <c r="D2" s="103">
        <v>37.35</v>
      </c>
      <c r="E2" s="103" t="s">
        <v>3</v>
      </c>
      <c r="F2" s="164">
        <f>ROUND(D2*8,2)</f>
        <v>298.8</v>
      </c>
      <c r="G2" s="11"/>
      <c r="H2" s="17"/>
      <c r="I2" s="17"/>
      <c r="J2" s="17"/>
    </row>
    <row r="3" spans="1:11">
      <c r="A3" s="107">
        <v>4</v>
      </c>
      <c r="B3" s="106" t="s">
        <v>32</v>
      </c>
      <c r="C3" s="103" t="s">
        <v>38</v>
      </c>
      <c r="D3" s="103">
        <v>32.770000000000003</v>
      </c>
      <c r="E3" s="103" t="s">
        <v>3</v>
      </c>
      <c r="F3" s="103">
        <f t="shared" ref="F3:F6" si="0">ROUND(D3*7.75,2)</f>
        <v>253.97</v>
      </c>
      <c r="G3" s="11"/>
      <c r="H3" s="10"/>
      <c r="I3" s="10"/>
      <c r="J3" s="9"/>
    </row>
    <row r="4" spans="1:11" s="14" customFormat="1">
      <c r="A4" s="107">
        <v>5</v>
      </c>
      <c r="B4" s="106" t="s">
        <v>236</v>
      </c>
      <c r="C4" s="103" t="s">
        <v>38</v>
      </c>
      <c r="D4" s="103">
        <v>26.38</v>
      </c>
      <c r="E4" s="103" t="s">
        <v>3</v>
      </c>
      <c r="F4" s="103">
        <f>ROUND(D4*8,2)</f>
        <v>211.04</v>
      </c>
      <c r="G4" s="11"/>
      <c r="H4" s="23"/>
      <c r="I4" s="23"/>
    </row>
    <row r="5" spans="1:11">
      <c r="A5" s="107">
        <v>10</v>
      </c>
      <c r="B5" s="106" t="s">
        <v>33</v>
      </c>
      <c r="C5" s="103" t="s">
        <v>38</v>
      </c>
      <c r="D5" s="103">
        <v>23.18</v>
      </c>
      <c r="E5" s="103" t="s">
        <v>3</v>
      </c>
      <c r="F5" s="103">
        <f t="shared" si="0"/>
        <v>179.65</v>
      </c>
      <c r="G5" s="11"/>
      <c r="H5" s="11"/>
      <c r="I5" s="11"/>
      <c r="J5" s="11"/>
      <c r="K5" s="19"/>
    </row>
    <row r="6" spans="1:11">
      <c r="A6" s="107">
        <v>11</v>
      </c>
      <c r="B6" s="106" t="s">
        <v>34</v>
      </c>
      <c r="C6" s="103" t="s">
        <v>38</v>
      </c>
      <c r="D6" s="103">
        <v>23.18</v>
      </c>
      <c r="E6" s="103" t="s">
        <v>3</v>
      </c>
      <c r="F6" s="103">
        <f t="shared" si="0"/>
        <v>179.65</v>
      </c>
      <c r="G6" s="11"/>
      <c r="H6" s="19"/>
      <c r="I6" s="19"/>
      <c r="J6" s="19"/>
      <c r="K6" s="19"/>
    </row>
    <row r="7" spans="1:11">
      <c r="H7" s="20"/>
      <c r="I7" s="19"/>
      <c r="J7" s="19"/>
      <c r="K7" s="19"/>
    </row>
    <row r="8" spans="1:11">
      <c r="H8" s="19"/>
      <c r="I8" s="19"/>
      <c r="J8" s="19"/>
      <c r="K8" s="19"/>
    </row>
    <row r="9" spans="1:11">
      <c r="H9" s="19"/>
      <c r="I9" s="19"/>
      <c r="J9" s="19"/>
      <c r="K9" s="19"/>
    </row>
    <row r="10" spans="1:11">
      <c r="I10" s="19"/>
      <c r="J10" s="19"/>
      <c r="K10" s="19"/>
    </row>
    <row r="11" spans="1:11">
      <c r="G11" s="102"/>
    </row>
  </sheetData>
  <sheetProtection selectLockedCells="1" selectUnlockedCells="1"/>
  <printOptions horizontalCentered="1"/>
  <pageMargins left="0.70866141732283472" right="0.70866141732283472" top="1.2598425196850394" bottom="0.74803149606299213" header="0.6692913385826772" footer="0.31496062992125984"/>
  <pageSetup paperSize="9" orientation="portrait" r:id="rId1"/>
  <headerFooter>
    <oddHeader>&amp;C&amp;"-,Gras"&amp;20Liste du personnel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81FF81"/>
    <pageSetUpPr autoPageBreaks="0" fitToPage="1"/>
  </sheetPr>
  <dimension ref="A1:I183"/>
  <sheetViews>
    <sheetView showGridLines="0" zoomScale="145" zoomScaleNormal="145" workbookViewId="0">
      <pane ySplit="1" topLeftCell="A2" activePane="bottomLeft" state="frozen"/>
      <selection activeCell="F24" sqref="F24"/>
      <selection pane="bottomLeft" activeCell="C11" sqref="C11"/>
    </sheetView>
  </sheetViews>
  <sheetFormatPr baseColWidth="10" defaultRowHeight="15"/>
  <cols>
    <col min="1" max="1" width="11.42578125" style="44"/>
    <col min="2" max="2" width="48" style="43" bestFit="1" customWidth="1"/>
    <col min="3" max="3" width="4.5703125" style="44" customWidth="1"/>
    <col min="4" max="4" width="9.7109375" style="87" hidden="1" customWidth="1"/>
    <col min="5" max="5" width="11.42578125" style="87"/>
    <col min="6" max="6" width="7.7109375" style="44" bestFit="1" customWidth="1"/>
    <col min="7" max="7" width="8.85546875" style="44" customWidth="1"/>
    <col min="8" max="16384" width="11.42578125" style="3"/>
  </cols>
  <sheetData>
    <row r="1" spans="1:9" s="21" customFormat="1" ht="31.5" customHeight="1">
      <c r="A1" s="33" t="s">
        <v>31</v>
      </c>
      <c r="B1" s="33" t="s">
        <v>23</v>
      </c>
      <c r="C1" s="33" t="s">
        <v>13</v>
      </c>
      <c r="D1" s="171" t="s">
        <v>279</v>
      </c>
      <c r="E1" s="34" t="s">
        <v>24</v>
      </c>
      <c r="F1" s="33" t="s">
        <v>41</v>
      </c>
      <c r="G1" s="33" t="s">
        <v>50</v>
      </c>
      <c r="H1" s="173"/>
    </row>
    <row r="2" spans="1:9">
      <c r="A2" s="174">
        <v>1198</v>
      </c>
      <c r="B2" s="36" t="s">
        <v>451</v>
      </c>
      <c r="C2" s="177" t="str">
        <f>IFERROR(LOOKUP(Table_MatL[[#This Row],[pour formule]],Annexe_Tarif_Code,Annexe_Tarif_unité),"")</f>
        <v>Km</v>
      </c>
      <c r="D2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2" s="179">
        <f>IFERROR(LOOKUP(Table_MatL[[#This Row],[pour formule]],Annexe_Tarif_Code,Annexe_tarif_cout),"")</f>
        <v>0.5</v>
      </c>
      <c r="F2" s="37" t="s">
        <v>9</v>
      </c>
      <c r="G2" s="41"/>
      <c r="H2" s="172" t="s">
        <v>282</v>
      </c>
      <c r="I2" s="18"/>
    </row>
    <row r="3" spans="1:9">
      <c r="A3" s="174">
        <v>1221</v>
      </c>
      <c r="B3" s="40" t="s">
        <v>552</v>
      </c>
      <c r="C3" s="185" t="str">
        <f>IFERROR(LOOKUP(Table_MatL[[#This Row],[pour formule]],Annexe_Tarif_Code,Annexe_Tarif_unité),"")</f>
        <v>Km</v>
      </c>
      <c r="D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3" s="186">
        <f>IFERROR(LOOKUP(Table_MatL[[#This Row],[pour formule]],Annexe_Tarif_Code,Annexe_tarif_cout),"")</f>
        <v>0.5</v>
      </c>
      <c r="F3" s="41" t="s">
        <v>420</v>
      </c>
      <c r="G3" s="41"/>
      <c r="H3" s="172" t="s">
        <v>281</v>
      </c>
    </row>
    <row r="4" spans="1:9">
      <c r="A4" s="174">
        <v>1238</v>
      </c>
      <c r="B4" s="40" t="s">
        <v>390</v>
      </c>
      <c r="C4" s="177" t="str">
        <f>IFERROR(LOOKUP(Table_MatL[[#This Row],[pour formule]],Annexe_Tarif_Code,Annexe_Tarif_unité),"")</f>
        <v>Km</v>
      </c>
      <c r="D4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4" s="179">
        <f>IFERROR(LOOKUP(Table_MatL[[#This Row],[pour formule]],Annexe_Tarif_Code,Annexe_tarif_cout),"")</f>
        <v>0.5</v>
      </c>
      <c r="F4" s="37" t="s">
        <v>9</v>
      </c>
      <c r="G4" s="41"/>
    </row>
    <row r="5" spans="1:9">
      <c r="A5" s="174">
        <v>1261</v>
      </c>
      <c r="B5" s="40" t="s">
        <v>391</v>
      </c>
      <c r="C5" s="177" t="str">
        <f>IFERROR(LOOKUP(Table_MatL[[#This Row],[pour formule]],Annexe_Tarif_Code,Annexe_Tarif_unité),"")</f>
        <v>Km</v>
      </c>
      <c r="D5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5" s="179">
        <f>IFERROR(LOOKUP(Table_MatL[[#This Row],[pour formule]],Annexe_Tarif_Code,Annexe_tarif_cout),"")</f>
        <v>0.5</v>
      </c>
      <c r="F5" s="37" t="s">
        <v>9</v>
      </c>
      <c r="G5" s="41"/>
      <c r="I5" s="18"/>
    </row>
    <row r="6" spans="1:9">
      <c r="A6" s="174">
        <v>1262</v>
      </c>
      <c r="B6" s="40" t="s">
        <v>526</v>
      </c>
      <c r="C6" s="185" t="str">
        <f>IFERROR(LOOKUP(Table_MatL[[#This Row],[pour formule]],Annexe_Tarif_Code,Annexe_Tarif_unité),"")</f>
        <v>Km</v>
      </c>
      <c r="D6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6" s="186">
        <f>IFERROR(LOOKUP(Table_MatL[[#This Row],[pour formule]],Annexe_Tarif_Code,Annexe_tarif_cout),"")</f>
        <v>0.5</v>
      </c>
      <c r="F6" s="41" t="s">
        <v>9</v>
      </c>
      <c r="G6" s="41"/>
    </row>
    <row r="7" spans="1:9">
      <c r="A7" s="174">
        <v>1263</v>
      </c>
      <c r="B7" s="36" t="s">
        <v>450</v>
      </c>
      <c r="C7" s="177" t="str">
        <f>IFERROR(LOOKUP(Table_MatL[[#This Row],[pour formule]],Annexe_Tarif_Code,Annexe_Tarif_unité),"")</f>
        <v>Km</v>
      </c>
      <c r="D7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7" s="179">
        <f>IFERROR(LOOKUP(Table_MatL[[#This Row],[pour formule]],Annexe_Tarif_Code,Annexe_tarif_cout),"")</f>
        <v>0.5</v>
      </c>
      <c r="F7" s="37" t="s">
        <v>9</v>
      </c>
      <c r="G7" s="41"/>
    </row>
    <row r="8" spans="1:9">
      <c r="A8" s="174">
        <v>1270</v>
      </c>
      <c r="B8" s="40" t="s">
        <v>554</v>
      </c>
      <c r="C8" s="185" t="str">
        <f>IFERROR(LOOKUP(Table_MatL[[#This Row],[pour formule]],Annexe_Tarif_Code,Annexe_Tarif_unité),"")</f>
        <v>Km</v>
      </c>
      <c r="D8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8" s="186">
        <f>IFERROR(LOOKUP(Table_MatL[[#This Row],[pour formule]],Annexe_Tarif_Code,Annexe_tarif_cout),"")</f>
        <v>0.5</v>
      </c>
      <c r="F8" s="41" t="s">
        <v>420</v>
      </c>
      <c r="G8" s="41"/>
    </row>
    <row r="9" spans="1:9">
      <c r="A9" s="174">
        <v>1447</v>
      </c>
      <c r="B9" s="40" t="s">
        <v>519</v>
      </c>
      <c r="C9" s="177" t="str">
        <f>IFERROR(LOOKUP(Table_MatL[[#This Row],[pour formule]],Annexe_Tarif_Code,Annexe_Tarif_unité),"")</f>
        <v>Km</v>
      </c>
      <c r="D9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9" s="179">
        <f>IFERROR(LOOKUP(Table_MatL[[#This Row],[pour formule]],Annexe_Tarif_Code,Annexe_tarif_cout),"")</f>
        <v>0.5</v>
      </c>
      <c r="F9" s="41" t="s">
        <v>420</v>
      </c>
      <c r="G9" s="41"/>
    </row>
    <row r="10" spans="1:9" s="6" customFormat="1">
      <c r="A10" s="187">
        <v>1888</v>
      </c>
      <c r="B10" s="188" t="s">
        <v>574</v>
      </c>
      <c r="C10" s="189" t="str">
        <f>IFERROR(LOOKUP(Table_MatL[[#This Row],[pour formule]],Annexe_Tarif_Code,Annexe_Tarif_unité),"")</f>
        <v>Km</v>
      </c>
      <c r="D10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10" s="191">
        <f>IFERROR(LOOKUP(Table_MatL[[#This Row],[pour formule]],Annexe_Tarif_Code,Annexe_tarif_cout),"")</f>
        <v>0.5</v>
      </c>
      <c r="F10" s="33" t="s">
        <v>420</v>
      </c>
      <c r="G10" s="41"/>
    </row>
    <row r="11" spans="1:9" s="6" customFormat="1">
      <c r="A11" s="174">
        <v>3319</v>
      </c>
      <c r="B11" s="40" t="s">
        <v>527</v>
      </c>
      <c r="C11" s="185" t="str">
        <f>IFERROR(LOOKUP(Table_MatL[[#This Row],[pour formule]],Annexe_Tarif_Code,Annexe_Tarif_unité),"")</f>
        <v>Km</v>
      </c>
      <c r="D11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1" s="186">
        <f>IFERROR(LOOKUP(Table_MatL[[#This Row],[pour formule]],Annexe_Tarif_Code,Annexe_tarif_cout),"")</f>
        <v>0.56000000000000005</v>
      </c>
      <c r="F11" s="41" t="s">
        <v>9</v>
      </c>
      <c r="G11" s="41"/>
    </row>
    <row r="12" spans="1:9" s="6" customFormat="1">
      <c r="A12" s="174">
        <v>3322</v>
      </c>
      <c r="B12" s="40" t="s">
        <v>553</v>
      </c>
      <c r="C12" s="185" t="str">
        <f>IFERROR(LOOKUP(Table_MatL[[#This Row],[pour formule]],Annexe_Tarif_Code,Annexe_Tarif_unité),"")</f>
        <v>Km</v>
      </c>
      <c r="D12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2" s="186">
        <f>IFERROR(LOOKUP(Table_MatL[[#This Row],[pour formule]],Annexe_Tarif_Code,Annexe_tarif_cout),"")</f>
        <v>0.56000000000000005</v>
      </c>
      <c r="F12" s="41" t="s">
        <v>420</v>
      </c>
      <c r="G12" s="41"/>
    </row>
    <row r="13" spans="1:9" s="6" customFormat="1">
      <c r="A13" s="174">
        <v>3351</v>
      </c>
      <c r="B13" s="40" t="s">
        <v>392</v>
      </c>
      <c r="C13" s="177" t="str">
        <f>IFERROR(LOOKUP(Table_MatL[[#This Row],[pour formule]],Annexe_Tarif_Code,Annexe_Tarif_unité),"")</f>
        <v>Km</v>
      </c>
      <c r="D13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3" s="179">
        <f>IFERROR(LOOKUP(Table_MatL[[#This Row],[pour formule]],Annexe_Tarif_Code,Annexe_tarif_cout),"")</f>
        <v>0.56000000000000005</v>
      </c>
      <c r="F13" s="37" t="s">
        <v>9</v>
      </c>
      <c r="G13" s="41"/>
    </row>
    <row r="14" spans="1:9" s="6" customFormat="1">
      <c r="A14" s="174">
        <v>3352</v>
      </c>
      <c r="B14" s="40" t="s">
        <v>393</v>
      </c>
      <c r="C14" s="177" t="str">
        <f>IFERROR(LOOKUP(Table_MatL[[#This Row],[pour formule]],Annexe_Tarif_Code,Annexe_Tarif_unité),"")</f>
        <v>Km</v>
      </c>
      <c r="D14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4" s="179">
        <f>IFERROR(LOOKUP(Table_MatL[[#This Row],[pour formule]],Annexe_Tarif_Code,Annexe_tarif_cout),"")</f>
        <v>0.56000000000000005</v>
      </c>
      <c r="F14" s="37" t="s">
        <v>9</v>
      </c>
      <c r="G14" s="41"/>
    </row>
    <row r="15" spans="1:9">
      <c r="A15" s="174">
        <v>3353</v>
      </c>
      <c r="B15" s="36" t="s">
        <v>449</v>
      </c>
      <c r="C15" s="177" t="str">
        <f>IFERROR(LOOKUP(Table_MatL[[#This Row],[pour formule]],Annexe_Tarif_Code,Annexe_Tarif_unité),"")</f>
        <v>Km</v>
      </c>
      <c r="D15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5" s="179">
        <f>IFERROR(LOOKUP(Table_MatL[[#This Row],[pour formule]],Annexe_Tarif_Code,Annexe_tarif_cout),"")</f>
        <v>0.56000000000000005</v>
      </c>
      <c r="F15" s="41" t="s">
        <v>9</v>
      </c>
      <c r="G15" s="41"/>
    </row>
    <row r="16" spans="1:9">
      <c r="A16" s="174">
        <v>3354</v>
      </c>
      <c r="B16" s="40" t="s">
        <v>527</v>
      </c>
      <c r="C16" s="185" t="str">
        <f>IFERROR(LOOKUP(Table_MatL[[#This Row],[pour formule]],Annexe_Tarif_Code,Annexe_Tarif_unité),"")</f>
        <v>Km</v>
      </c>
      <c r="D16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6" s="186">
        <f>IFERROR(LOOKUP(Table_MatL[[#This Row],[pour formule]],Annexe_Tarif_Code,Annexe_tarif_cout),"")</f>
        <v>0.56000000000000005</v>
      </c>
      <c r="F16" s="41" t="s">
        <v>9</v>
      </c>
      <c r="G16" s="41"/>
    </row>
    <row r="17" spans="1:7">
      <c r="A17" s="174">
        <v>3355</v>
      </c>
      <c r="B17" s="36" t="s">
        <v>452</v>
      </c>
      <c r="C17" s="177" t="str">
        <f>IFERROR(LOOKUP(Table_MatL[[#This Row],[pour formule]],Annexe_Tarif_Code,Annexe_Tarif_unité),"")</f>
        <v>Km</v>
      </c>
      <c r="D17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7" s="179">
        <f>IFERROR(LOOKUP(Table_MatL[[#This Row],[pour formule]],Annexe_Tarif_Code,Annexe_tarif_cout),"")</f>
        <v>0.56000000000000005</v>
      </c>
      <c r="F17" s="37" t="s">
        <v>9</v>
      </c>
      <c r="G17" s="41"/>
    </row>
    <row r="18" spans="1:7">
      <c r="A18" s="187">
        <v>3888</v>
      </c>
      <c r="B18" s="188" t="s">
        <v>575</v>
      </c>
      <c r="C18" s="189" t="str">
        <f>IFERROR(LOOKUP(Table_MatL[[#This Row],[pour formule]],Annexe_Tarif_Code,Annexe_Tarif_unité),"")</f>
        <v>Km</v>
      </c>
      <c r="D18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8" s="191">
        <f>IFERROR(LOOKUP(Table_MatL[[#This Row],[pour formule]],Annexe_Tarif_Code,Annexe_tarif_cout),"")</f>
        <v>0.56000000000000005</v>
      </c>
      <c r="F18" s="33" t="s">
        <v>420</v>
      </c>
      <c r="G18" s="41"/>
    </row>
    <row r="19" spans="1:7">
      <c r="A19" s="174">
        <v>4025</v>
      </c>
      <c r="B19" s="40" t="s">
        <v>394</v>
      </c>
      <c r="C19" s="177" t="str">
        <f>IFERROR(LOOKUP(Table_MatL[[#This Row],[pour formule]],Annexe_Tarif_Code,Annexe_Tarif_unité),"")</f>
        <v>Km</v>
      </c>
      <c r="D19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</v>
      </c>
      <c r="E19" s="179">
        <f>IFERROR(LOOKUP(Table_MatL[[#This Row],[pour formule]],Annexe_Tarif_Code,Annexe_tarif_cout),"")</f>
        <v>0.56999999999999995</v>
      </c>
      <c r="F19" s="37" t="s">
        <v>9</v>
      </c>
      <c r="G19" s="41"/>
    </row>
    <row r="20" spans="1:7">
      <c r="A20" s="174">
        <v>5614</v>
      </c>
      <c r="B20" s="40" t="s">
        <v>395</v>
      </c>
      <c r="C20" s="177" t="str">
        <f>IFERROR(LOOKUP(Table_MatL[[#This Row],[pour formule]],Annexe_Tarif_Code,Annexe_Tarif_unité),"")</f>
        <v>Km</v>
      </c>
      <c r="D20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0" s="179">
        <f>IFERROR(LOOKUP(Table_MatL[[#This Row],[pour formule]],Annexe_Tarif_Code,Annexe_tarif_cout),"")</f>
        <v>0.63</v>
      </c>
      <c r="F20" s="37" t="s">
        <v>9</v>
      </c>
      <c r="G20" s="41"/>
    </row>
    <row r="21" spans="1:7">
      <c r="A21" s="174">
        <v>5617</v>
      </c>
      <c r="B21" s="40" t="s">
        <v>396</v>
      </c>
      <c r="C21" s="177" t="str">
        <f>IFERROR(LOOKUP(Table_MatL[[#This Row],[pour formule]],Annexe_Tarif_Code,Annexe_Tarif_unité),"")</f>
        <v>Km</v>
      </c>
      <c r="D21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1" s="179">
        <f>IFERROR(LOOKUP(Table_MatL[[#This Row],[pour formule]],Annexe_Tarif_Code,Annexe_tarif_cout),"")</f>
        <v>0.63</v>
      </c>
      <c r="F21" s="37" t="s">
        <v>9</v>
      </c>
      <c r="G21" s="41"/>
    </row>
    <row r="22" spans="1:7">
      <c r="A22" s="174">
        <v>5627</v>
      </c>
      <c r="B22" s="40" t="s">
        <v>529</v>
      </c>
      <c r="C22" s="185" t="str">
        <f>IFERROR(LOOKUP(Table_MatL[[#This Row],[pour formule]],Annexe_Tarif_Code,Annexe_Tarif_unité),"")</f>
        <v>Km</v>
      </c>
      <c r="D22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2" s="186">
        <f>IFERROR(LOOKUP(Table_MatL[[#This Row],[pour formule]],Annexe_Tarif_Code,Annexe_tarif_cout),"")</f>
        <v>0.63</v>
      </c>
      <c r="F22" s="41" t="s">
        <v>9</v>
      </c>
      <c r="G22" s="41"/>
    </row>
    <row r="23" spans="1:7">
      <c r="A23" s="174">
        <v>5644</v>
      </c>
      <c r="B23" s="40" t="s">
        <v>528</v>
      </c>
      <c r="C23" s="185" t="str">
        <f>IFERROR(LOOKUP(Table_MatL[[#This Row],[pour formule]],Annexe_Tarif_Code,Annexe_Tarif_unité),"")</f>
        <v>Km</v>
      </c>
      <c r="D2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3" s="186">
        <f>IFERROR(LOOKUP(Table_MatL[[#This Row],[pour formule]],Annexe_Tarif_Code,Annexe_tarif_cout),"")</f>
        <v>0.63</v>
      </c>
      <c r="F23" s="41" t="s">
        <v>9</v>
      </c>
      <c r="G23" s="41"/>
    </row>
    <row r="24" spans="1:7">
      <c r="A24" s="174">
        <v>5841</v>
      </c>
      <c r="B24" s="36" t="s">
        <v>440</v>
      </c>
      <c r="C24" s="177" t="str">
        <f>IFERROR(LOOKUP(Table_MatL[[#This Row],[pour formule]],Annexe_Tarif_Code,Annexe_Tarif_unité),"")</f>
        <v>Km</v>
      </c>
      <c r="D24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4" s="179">
        <f>IFERROR(LOOKUP(Table_MatL[[#This Row],[pour formule]],Annexe_Tarif_Code,Annexe_tarif_cout),"")</f>
        <v>0.63</v>
      </c>
      <c r="F24" s="41" t="s">
        <v>420</v>
      </c>
      <c r="G24" s="41" t="s">
        <v>547</v>
      </c>
    </row>
    <row r="25" spans="1:7">
      <c r="A25" s="174">
        <v>5847</v>
      </c>
      <c r="B25" s="40" t="s">
        <v>421</v>
      </c>
      <c r="C25" s="177" t="str">
        <f>IFERROR(LOOKUP(Table_MatL[[#This Row],[pour formule]],Annexe_Tarif_Code,Annexe_Tarif_unité),"")</f>
        <v>Km</v>
      </c>
      <c r="D25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5" s="179">
        <f>IFERROR(LOOKUP(Table_MatL[[#This Row],[pour formule]],Annexe_Tarif_Code,Annexe_tarif_cout),"")</f>
        <v>0.63</v>
      </c>
      <c r="F25" s="41" t="s">
        <v>420</v>
      </c>
      <c r="G25" s="41"/>
    </row>
    <row r="26" spans="1:7">
      <c r="A26" s="174">
        <v>5849</v>
      </c>
      <c r="B26" s="40" t="s">
        <v>396</v>
      </c>
      <c r="C26" s="177" t="str">
        <f>IFERROR(LOOKUP(Table_MatL[[#This Row],[pour formule]],Annexe_Tarif_Code,Annexe_Tarif_unité),"")</f>
        <v>Km</v>
      </c>
      <c r="D26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6" s="179">
        <f>IFERROR(LOOKUP(Table_MatL[[#This Row],[pour formule]],Annexe_Tarif_Code,Annexe_tarif_cout),"")</f>
        <v>0.63</v>
      </c>
      <c r="F26" s="37" t="s">
        <v>9</v>
      </c>
      <c r="G26" s="41"/>
    </row>
    <row r="27" spans="1:7">
      <c r="A27" s="174">
        <v>5854</v>
      </c>
      <c r="B27" s="40" t="s">
        <v>531</v>
      </c>
      <c r="C27" s="185" t="str">
        <f>IFERROR(LOOKUP(Table_MatL[[#This Row],[pour formule]],Annexe_Tarif_Code,Annexe_Tarif_unité),"")</f>
        <v>Km</v>
      </c>
      <c r="D2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7" s="186">
        <f>IFERROR(LOOKUP(Table_MatL[[#This Row],[pour formule]],Annexe_Tarif_Code,Annexe_tarif_cout),"")</f>
        <v>0.63</v>
      </c>
      <c r="F27" s="41" t="s">
        <v>9</v>
      </c>
      <c r="G27" s="41" t="s">
        <v>547</v>
      </c>
    </row>
    <row r="28" spans="1:7">
      <c r="A28" s="174">
        <v>5858</v>
      </c>
      <c r="B28" s="40" t="s">
        <v>397</v>
      </c>
      <c r="C28" s="177" t="str">
        <f>IFERROR(LOOKUP(Table_MatL[[#This Row],[pour formule]],Annexe_Tarif_Code,Annexe_Tarif_unité),"")</f>
        <v>Km</v>
      </c>
      <c r="D28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8" s="179">
        <f>IFERROR(LOOKUP(Table_MatL[[#This Row],[pour formule]],Annexe_Tarif_Code,Annexe_tarif_cout),"")</f>
        <v>0.63</v>
      </c>
      <c r="F28" s="37" t="s">
        <v>9</v>
      </c>
      <c r="G28" s="41"/>
    </row>
    <row r="29" spans="1:7">
      <c r="A29" s="174">
        <v>5870</v>
      </c>
      <c r="B29" s="40" t="s">
        <v>398</v>
      </c>
      <c r="C29" s="177" t="str">
        <f>IFERROR(LOOKUP(Table_MatL[[#This Row],[pour formule]],Annexe_Tarif_Code,Annexe_Tarif_unité),"")</f>
        <v>Km</v>
      </c>
      <c r="D29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9" s="179">
        <f>IFERROR(LOOKUP(Table_MatL[[#This Row],[pour formule]],Annexe_Tarif_Code,Annexe_tarif_cout),"")</f>
        <v>0.63</v>
      </c>
      <c r="F29" s="37" t="s">
        <v>9</v>
      </c>
      <c r="G29" s="41"/>
    </row>
    <row r="30" spans="1:7">
      <c r="A30" s="174">
        <v>5871</v>
      </c>
      <c r="B30" s="36" t="s">
        <v>453</v>
      </c>
      <c r="C30" s="177" t="str">
        <f>IFERROR(LOOKUP(Table_MatL[[#This Row],[pour formule]],Annexe_Tarif_Code,Annexe_Tarif_unité),"")</f>
        <v>Km</v>
      </c>
      <c r="D30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0" s="179">
        <f>IFERROR(LOOKUP(Table_MatL[[#This Row],[pour formule]],Annexe_Tarif_Code,Annexe_tarif_cout),"")</f>
        <v>0.63</v>
      </c>
      <c r="F30" s="37" t="s">
        <v>9</v>
      </c>
      <c r="G30" s="41"/>
    </row>
    <row r="31" spans="1:7">
      <c r="A31" s="174">
        <v>5875</v>
      </c>
      <c r="B31" s="36" t="s">
        <v>434</v>
      </c>
      <c r="C31" s="177" t="str">
        <f>IFERROR(LOOKUP(Table_MatL[[#This Row],[pour formule]],Annexe_Tarif_Code,Annexe_Tarif_unité),"")</f>
        <v>Km</v>
      </c>
      <c r="D31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1" s="179">
        <f>IFERROR(LOOKUP(Table_MatL[[#This Row],[pour formule]],Annexe_Tarif_Code,Annexe_tarif_cout),"")</f>
        <v>0.63</v>
      </c>
      <c r="F31" s="37" t="s">
        <v>9</v>
      </c>
      <c r="G31" s="41"/>
    </row>
    <row r="32" spans="1:7">
      <c r="A32" s="174">
        <v>5878</v>
      </c>
      <c r="B32" s="36" t="s">
        <v>453</v>
      </c>
      <c r="C32" s="177" t="str">
        <f>IFERROR(LOOKUP(Table_MatL[[#This Row],[pour formule]],Annexe_Tarif_Code,Annexe_Tarif_unité),"")</f>
        <v>Km</v>
      </c>
      <c r="D32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2" s="179">
        <f>IFERROR(LOOKUP(Table_MatL[[#This Row],[pour formule]],Annexe_Tarif_Code,Annexe_tarif_cout),"")</f>
        <v>0.63</v>
      </c>
      <c r="F32" s="37" t="s">
        <v>9</v>
      </c>
      <c r="G32" s="41"/>
    </row>
    <row r="33" spans="1:7">
      <c r="A33" s="174">
        <v>5879</v>
      </c>
      <c r="B33" s="40" t="s">
        <v>399</v>
      </c>
      <c r="C33" s="177" t="str">
        <f>IFERROR(LOOKUP(Table_MatL[[#This Row],[pour formule]],Annexe_Tarif_Code,Annexe_Tarif_unité),"")</f>
        <v>Km</v>
      </c>
      <c r="D33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3" s="179">
        <f>IFERROR(LOOKUP(Table_MatL[[#This Row],[pour formule]],Annexe_Tarif_Code,Annexe_tarif_cout),"")</f>
        <v>0.63</v>
      </c>
      <c r="F33" s="37" t="s">
        <v>9</v>
      </c>
      <c r="G33" s="41"/>
    </row>
    <row r="34" spans="1:7">
      <c r="A34" s="174">
        <v>5880</v>
      </c>
      <c r="B34" s="40" t="s">
        <v>530</v>
      </c>
      <c r="C34" s="185" t="str">
        <f>IFERROR(LOOKUP(Table_MatL[[#This Row],[pour formule]],Annexe_Tarif_Code,Annexe_Tarif_unité),"")</f>
        <v>Km</v>
      </c>
      <c r="D34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4" s="186">
        <f>IFERROR(LOOKUP(Table_MatL[[#This Row],[pour formule]],Annexe_Tarif_Code,Annexe_tarif_cout),"")</f>
        <v>0.63</v>
      </c>
      <c r="F34" s="41" t="s">
        <v>9</v>
      </c>
      <c r="G34" s="41"/>
    </row>
    <row r="35" spans="1:7">
      <c r="A35" s="174">
        <v>5883</v>
      </c>
      <c r="B35" s="40" t="s">
        <v>544</v>
      </c>
      <c r="C35" s="185" t="str">
        <f>IFERROR(LOOKUP(Table_MatL[[#This Row],[pour formule]],Annexe_Tarif_Code,Annexe_Tarif_unité),"")</f>
        <v>Km</v>
      </c>
      <c r="D3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5" s="186">
        <f>IFERROR(LOOKUP(Table_MatL[[#This Row],[pour formule]],Annexe_Tarif_Code,Annexe_tarif_cout),"")</f>
        <v>0.63</v>
      </c>
      <c r="F35" s="41" t="s">
        <v>9</v>
      </c>
      <c r="G35" s="41"/>
    </row>
    <row r="36" spans="1:7">
      <c r="A36" s="174">
        <v>5884</v>
      </c>
      <c r="B36" s="40" t="s">
        <v>396</v>
      </c>
      <c r="C36" s="177" t="str">
        <f>IFERROR(LOOKUP(Table_MatL[[#This Row],[pour formule]],Annexe_Tarif_Code,Annexe_Tarif_unité),"")</f>
        <v>Km</v>
      </c>
      <c r="D36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6" s="179">
        <f>IFERROR(LOOKUP(Table_MatL[[#This Row],[pour formule]],Annexe_Tarif_Code,Annexe_tarif_cout),"")</f>
        <v>0.63</v>
      </c>
      <c r="F36" s="37" t="s">
        <v>9</v>
      </c>
      <c r="G36" s="41"/>
    </row>
    <row r="37" spans="1:7">
      <c r="A37" s="174">
        <v>5886</v>
      </c>
      <c r="B37" s="36" t="s">
        <v>453</v>
      </c>
      <c r="C37" s="177" t="str">
        <f>IFERROR(LOOKUP(Table_MatL[[#This Row],[pour formule]],Annexe_Tarif_Code,Annexe_Tarif_unité),"")</f>
        <v>Km</v>
      </c>
      <c r="D37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7" s="179">
        <f>IFERROR(LOOKUP(Table_MatL[[#This Row],[pour formule]],Annexe_Tarif_Code,Annexe_tarif_cout),"")</f>
        <v>0.63</v>
      </c>
      <c r="F37" s="37" t="s">
        <v>9</v>
      </c>
      <c r="G37" s="41"/>
    </row>
    <row r="38" spans="1:7">
      <c r="A38" s="187">
        <v>5888</v>
      </c>
      <c r="B38" s="188" t="s">
        <v>578</v>
      </c>
      <c r="C38" s="189" t="str">
        <f>IFERROR(LOOKUP(Table_MatL[[#This Row],[pour formule]],Annexe_Tarif_Code,Annexe_Tarif_unité),"")</f>
        <v>Km</v>
      </c>
      <c r="D38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8" s="191">
        <f>IFERROR(LOOKUP(Table_MatL[[#This Row],[pour formule]],Annexe_Tarif_Code,Annexe_tarif_cout),"")</f>
        <v>0.63</v>
      </c>
      <c r="F38" s="33" t="s">
        <v>420</v>
      </c>
      <c r="G38" s="41"/>
    </row>
    <row r="39" spans="1:7">
      <c r="A39" s="174">
        <v>5889</v>
      </c>
      <c r="B39" s="40" t="s">
        <v>551</v>
      </c>
      <c r="C39" s="185" t="str">
        <f>IFERROR(LOOKUP(Table_MatL[[#This Row],[pour formule]],Annexe_Tarif_Code,Annexe_Tarif_unité),"")</f>
        <v>Km</v>
      </c>
      <c r="D39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9" s="186">
        <f>IFERROR(LOOKUP(Table_MatL[[#This Row],[pour formule]],Annexe_Tarif_Code,Annexe_tarif_cout),"")</f>
        <v>0.63</v>
      </c>
      <c r="F39" s="41" t="s">
        <v>420</v>
      </c>
      <c r="G39" s="41"/>
    </row>
    <row r="40" spans="1:7">
      <c r="A40" s="174">
        <v>5891</v>
      </c>
      <c r="B40" s="36" t="s">
        <v>440</v>
      </c>
      <c r="C40" s="175" t="str">
        <f>IFERROR(LOOKUP(Table_MatL[[#This Row],[pour formule]],Annexe_Tarif_Code,Annexe_Tarif_unité),"")</f>
        <v>Km</v>
      </c>
      <c r="D40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40" s="176">
        <f>IFERROR(LOOKUP(Table_MatL[[#This Row],[pour formule]],Annexe_Tarif_Code,Annexe_tarif_cout),"")</f>
        <v>0.63</v>
      </c>
      <c r="F40" s="37" t="s">
        <v>9</v>
      </c>
      <c r="G40" s="41"/>
    </row>
    <row r="41" spans="1:7">
      <c r="A41" s="174">
        <v>10048</v>
      </c>
      <c r="B41" s="40" t="s">
        <v>567</v>
      </c>
      <c r="C41" s="185" t="str">
        <f>IFERROR(LOOKUP(Table_MatL[[#This Row],[pour formule]],Annexe_Tarif_Code,Annexe_Tarif_unité),"")</f>
        <v>H</v>
      </c>
      <c r="D41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1" s="186">
        <f>IFERROR(LOOKUP(Table_MatL[[#This Row],[pour formule]],Annexe_Tarif_Code,Annexe_tarif_cout),"")</f>
        <v>60</v>
      </c>
      <c r="F41" s="41" t="s">
        <v>420</v>
      </c>
      <c r="G41" s="41" t="s">
        <v>547</v>
      </c>
    </row>
    <row r="42" spans="1:7">
      <c r="A42" s="174">
        <v>10055</v>
      </c>
      <c r="B42" s="40" t="s">
        <v>564</v>
      </c>
      <c r="C42" s="175" t="str">
        <f>IFERROR(LOOKUP(Table_MatL[[#This Row],[pour formule]],Annexe_Tarif_Code,Annexe_Tarif_unité),"")</f>
        <v>H</v>
      </c>
      <c r="D42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2" s="176">
        <f>IFERROR(LOOKUP(Table_MatL[[#This Row],[pour formule]],Annexe_Tarif_Code,Annexe_tarif_cout),"")</f>
        <v>60</v>
      </c>
      <c r="F42" s="37" t="s">
        <v>9</v>
      </c>
      <c r="G42" s="41" t="s">
        <v>547</v>
      </c>
    </row>
    <row r="43" spans="1:7">
      <c r="A43" s="174">
        <v>12019</v>
      </c>
      <c r="B43" s="36" t="s">
        <v>582</v>
      </c>
      <c r="C43" s="177" t="str">
        <f>IFERROR(LOOKUP(Table_MatL[[#This Row],[pour formule]],Annexe_Tarif_Code,Annexe_Tarif_unité),"")</f>
        <v>H</v>
      </c>
      <c r="D43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3" s="179">
        <f>IFERROR(LOOKUP(Table_MatL[[#This Row],[pour formule]],Annexe_Tarif_Code,Annexe_tarif_cout),"")</f>
        <v>60</v>
      </c>
      <c r="F43" s="41" t="s">
        <v>420</v>
      </c>
      <c r="G43" s="41" t="s">
        <v>547</v>
      </c>
    </row>
    <row r="44" spans="1:7">
      <c r="A44" s="174">
        <v>12024</v>
      </c>
      <c r="B44" s="40" t="s">
        <v>532</v>
      </c>
      <c r="C44" s="185" t="str">
        <f>IFERROR(LOOKUP(Table_MatL[[#This Row],[pour formule]],Annexe_Tarif_Code,Annexe_Tarif_unité),"")</f>
        <v>H</v>
      </c>
      <c r="D44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4" s="186">
        <f>IFERROR(LOOKUP(Table_MatL[[#This Row],[pour formule]],Annexe_Tarif_Code,Annexe_tarif_cout),"")</f>
        <v>60</v>
      </c>
      <c r="F44" s="41" t="s">
        <v>9</v>
      </c>
      <c r="G44" s="41"/>
    </row>
    <row r="45" spans="1:7">
      <c r="A45" s="174">
        <v>12026</v>
      </c>
      <c r="B45" s="36" t="s">
        <v>454</v>
      </c>
      <c r="C45" s="175" t="str">
        <f>IFERROR(LOOKUP(Table_MatL[[#This Row],[pour formule]],Annexe_Tarif_Code,Annexe_Tarif_unité),"")</f>
        <v>H</v>
      </c>
      <c r="D45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5" s="176">
        <f>IFERROR(LOOKUP(Table_MatL[[#This Row],[pour formule]],Annexe_Tarif_Code,Annexe_tarif_cout),"")</f>
        <v>60</v>
      </c>
      <c r="F45" s="37" t="s">
        <v>9</v>
      </c>
      <c r="G45" s="41"/>
    </row>
    <row r="46" spans="1:7">
      <c r="A46" s="174">
        <v>12028</v>
      </c>
      <c r="B46" s="36" t="s">
        <v>435</v>
      </c>
      <c r="C46" s="177" t="str">
        <f>IFERROR(LOOKUP(Table_MatL[[#This Row],[pour formule]],Annexe_Tarif_Code,Annexe_Tarif_unité),"")</f>
        <v>H</v>
      </c>
      <c r="D46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6" s="179">
        <f>IFERROR(LOOKUP(Table_MatL[[#This Row],[pour formule]],Annexe_Tarif_Code,Annexe_tarif_cout),"")</f>
        <v>60</v>
      </c>
      <c r="F46" s="37" t="s">
        <v>9</v>
      </c>
      <c r="G46" s="41"/>
    </row>
    <row r="47" spans="1:7">
      <c r="A47" s="174">
        <v>12029</v>
      </c>
      <c r="B47" s="40" t="s">
        <v>532</v>
      </c>
      <c r="C47" s="185" t="str">
        <f>IFERROR(LOOKUP(Table_MatL[[#This Row],[pour formule]],Annexe_Tarif_Code,Annexe_Tarif_unité),"")</f>
        <v>H</v>
      </c>
      <c r="D4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7" s="186">
        <f>IFERROR(LOOKUP(Table_MatL[[#This Row],[pour formule]],Annexe_Tarif_Code,Annexe_tarif_cout),"")</f>
        <v>60</v>
      </c>
      <c r="F47" s="41" t="s">
        <v>9</v>
      </c>
      <c r="G47" s="41"/>
    </row>
    <row r="48" spans="1:7">
      <c r="A48" s="86">
        <v>14051</v>
      </c>
      <c r="B48" s="36" t="s">
        <v>565</v>
      </c>
      <c r="C48" s="170" t="str">
        <f>IFERROR(LOOKUP(Table_MatL[[#This Row],[pour formule]],Annexe_Tarif_Code,Annexe_Tarif_unité),"")</f>
        <v>H</v>
      </c>
      <c r="D4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8" s="169">
        <f>IFERROR(LOOKUP(Table_MatL[[#This Row],[pour formule]],Annexe_Tarif_Code,Annexe_tarif_cout),"")</f>
        <v>60</v>
      </c>
      <c r="F48" s="37" t="s">
        <v>9</v>
      </c>
      <c r="G48" s="83" t="s">
        <v>547</v>
      </c>
    </row>
    <row r="49" spans="1:7">
      <c r="A49" s="174">
        <v>14053</v>
      </c>
      <c r="B49" s="36" t="s">
        <v>454</v>
      </c>
      <c r="C49" s="175" t="str">
        <f>IFERROR(LOOKUP(Table_MatL[[#This Row],[pour formule]],Annexe_Tarif_Code,Annexe_Tarif_unité),"")</f>
        <v>H</v>
      </c>
      <c r="D49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9" s="176">
        <f>IFERROR(LOOKUP(Table_MatL[[#This Row],[pour formule]],Annexe_Tarif_Code,Annexe_tarif_cout),"")</f>
        <v>60</v>
      </c>
      <c r="F49" s="37" t="s">
        <v>9</v>
      </c>
      <c r="G49" s="41"/>
    </row>
    <row r="50" spans="1:7">
      <c r="A50" s="174">
        <v>14057</v>
      </c>
      <c r="B50" s="40" t="s">
        <v>579</v>
      </c>
      <c r="C50" s="185" t="str">
        <f>IFERROR(LOOKUP(Table_MatL[[#This Row],[pour formule]],Annexe_Tarif_Code,Annexe_Tarif_unité),"")</f>
        <v>H</v>
      </c>
      <c r="D5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0" s="186">
        <f>IFERROR(LOOKUP(Table_MatL[[#This Row],[pour formule]],Annexe_Tarif_Code,Annexe_tarif_cout),"")</f>
        <v>60</v>
      </c>
      <c r="F50" s="41" t="s">
        <v>9</v>
      </c>
      <c r="G50" s="41" t="s">
        <v>547</v>
      </c>
    </row>
    <row r="51" spans="1:7">
      <c r="A51" s="174">
        <v>14058</v>
      </c>
      <c r="B51" s="40" t="s">
        <v>532</v>
      </c>
      <c r="C51" s="185" t="str">
        <f>IFERROR(LOOKUP(Table_MatL[[#This Row],[pour formule]],Annexe_Tarif_Code,Annexe_Tarif_unité),"")</f>
        <v>H</v>
      </c>
      <c r="D51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1" s="186">
        <f>IFERROR(LOOKUP(Table_MatL[[#This Row],[pour formule]],Annexe_Tarif_Code,Annexe_tarif_cout),"")</f>
        <v>60</v>
      </c>
      <c r="F51" s="41" t="s">
        <v>9</v>
      </c>
      <c r="G51" s="41"/>
    </row>
    <row r="52" spans="1:7">
      <c r="A52" s="174">
        <v>14059</v>
      </c>
      <c r="B52" s="36" t="s">
        <v>525</v>
      </c>
      <c r="C52" s="177" t="str">
        <f>IFERROR(LOOKUP(Table_MatL[[#This Row],[pour formule]],Annexe_Tarif_Code,Annexe_Tarif_unité),"")</f>
        <v>H</v>
      </c>
      <c r="D52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2" s="179">
        <f>IFERROR(LOOKUP(Table_MatL[[#This Row],[pour formule]],Annexe_Tarif_Code,Annexe_tarif_cout),"")</f>
        <v>60</v>
      </c>
      <c r="F52" s="37" t="s">
        <v>9</v>
      </c>
      <c r="G52" s="41" t="s">
        <v>547</v>
      </c>
    </row>
    <row r="53" spans="1:7">
      <c r="A53" s="174">
        <v>14072</v>
      </c>
      <c r="B53" s="40" t="s">
        <v>566</v>
      </c>
      <c r="C53" s="185" t="str">
        <f>IFERROR(LOOKUP(Table_MatL[[#This Row],[pour formule]],Annexe_Tarif_Code,Annexe_Tarif_unité),"")</f>
        <v>H</v>
      </c>
      <c r="D5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3" s="186">
        <f>IFERROR(LOOKUP(Table_MatL[[#This Row],[pour formule]],Annexe_Tarif_Code,Annexe_tarif_cout),"")</f>
        <v>60</v>
      </c>
      <c r="F53" s="41" t="s">
        <v>420</v>
      </c>
      <c r="G53" s="41"/>
    </row>
    <row r="54" spans="1:7">
      <c r="A54" s="174">
        <v>14077</v>
      </c>
      <c r="B54" s="40" t="s">
        <v>532</v>
      </c>
      <c r="C54" s="185" t="str">
        <f>IFERROR(LOOKUP(Table_MatL[[#This Row],[pour formule]],Annexe_Tarif_Code,Annexe_Tarif_unité),"")</f>
        <v>H</v>
      </c>
      <c r="D54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4" s="186">
        <f>IFERROR(LOOKUP(Table_MatL[[#This Row],[pour formule]],Annexe_Tarif_Code,Annexe_tarif_cout),"")</f>
        <v>60</v>
      </c>
      <c r="F54" s="41" t="s">
        <v>9</v>
      </c>
      <c r="G54" s="41"/>
    </row>
    <row r="55" spans="1:7">
      <c r="A55" s="174">
        <v>14090</v>
      </c>
      <c r="B55" s="36" t="s">
        <v>454</v>
      </c>
      <c r="C55" s="175" t="str">
        <f>IFERROR(LOOKUP(Table_MatL[[#This Row],[pour formule]],Annexe_Tarif_Code,Annexe_Tarif_unité),"")</f>
        <v>H</v>
      </c>
      <c r="D55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5" s="176">
        <f>IFERROR(LOOKUP(Table_MatL[[#This Row],[pour formule]],Annexe_Tarif_Code,Annexe_tarif_cout),"")</f>
        <v>60</v>
      </c>
      <c r="F55" s="37" t="s">
        <v>9</v>
      </c>
      <c r="G55" s="41"/>
    </row>
    <row r="56" spans="1:7">
      <c r="A56" s="174">
        <v>14091</v>
      </c>
      <c r="B56" s="40" t="s">
        <v>374</v>
      </c>
      <c r="C56" s="175" t="str">
        <f>IFERROR(LOOKUP(Table_MatL[[#This Row],[pour formule]],Annexe_Tarif_Code,Annexe_Tarif_unité),"")</f>
        <v>H</v>
      </c>
      <c r="D5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6" s="176">
        <f>IFERROR(LOOKUP(Table_MatL[[#This Row],[pour formule]],Annexe_Tarif_Code,Annexe_tarif_cout),"")</f>
        <v>60</v>
      </c>
      <c r="F56" s="37" t="s">
        <v>9</v>
      </c>
      <c r="G56" s="41"/>
    </row>
    <row r="57" spans="1:7">
      <c r="A57" s="174">
        <v>14092</v>
      </c>
      <c r="B57" s="40" t="s">
        <v>384</v>
      </c>
      <c r="C57" s="175" t="str">
        <f>IFERROR(LOOKUP(Table_MatL[[#This Row],[pour formule]],Annexe_Tarif_Code,Annexe_Tarif_unité),"")</f>
        <v>H</v>
      </c>
      <c r="D57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7" s="176">
        <f>IFERROR(LOOKUP(Table_MatL[[#This Row],[pour formule]],Annexe_Tarif_Code,Annexe_tarif_cout),"")</f>
        <v>60</v>
      </c>
      <c r="F57" s="37" t="s">
        <v>9</v>
      </c>
      <c r="G57" s="41"/>
    </row>
    <row r="58" spans="1:7">
      <c r="A58" s="174">
        <v>14093</v>
      </c>
      <c r="B58" s="40" t="s">
        <v>384</v>
      </c>
      <c r="C58" s="175" t="str">
        <f>IFERROR(LOOKUP(Table_MatL[[#This Row],[pour formule]],Annexe_Tarif_Code,Annexe_Tarif_unité),"")</f>
        <v>H</v>
      </c>
      <c r="D5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8" s="176">
        <f>IFERROR(LOOKUP(Table_MatL[[#This Row],[pour formule]],Annexe_Tarif_Code,Annexe_tarif_cout),"")</f>
        <v>60</v>
      </c>
      <c r="F58" s="37" t="s">
        <v>9</v>
      </c>
      <c r="G58" s="41"/>
    </row>
    <row r="59" spans="1:7">
      <c r="A59" s="174">
        <v>14888</v>
      </c>
      <c r="B59" s="40" t="s">
        <v>571</v>
      </c>
      <c r="C59" s="185" t="str">
        <f>IFERROR(LOOKUP(Table_MatL[[#This Row],[pour formule]],Annexe_Tarif_Code,Annexe_Tarif_unité),"")</f>
        <v>H</v>
      </c>
      <c r="D59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9" s="186">
        <f>IFERROR(LOOKUP(Table_MatL[[#This Row],[pour formule]],Annexe_Tarif_Code,Annexe_tarif_cout),"")</f>
        <v>60</v>
      </c>
      <c r="F59" s="41" t="s">
        <v>420</v>
      </c>
      <c r="G59" s="41"/>
    </row>
    <row r="60" spans="1:7">
      <c r="A60" s="174">
        <v>17005</v>
      </c>
      <c r="B60" s="40" t="s">
        <v>533</v>
      </c>
      <c r="C60" s="185" t="str">
        <f>IFERROR(LOOKUP(Table_MatL[[#This Row],[pour formule]],Annexe_Tarif_Code,Annexe_Tarif_unité),"")</f>
        <v>H</v>
      </c>
      <c r="D6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17</v>
      </c>
      <c r="E60" s="186">
        <f>IFERROR(LOOKUP(Table_MatL[[#This Row],[pour formule]],Annexe_Tarif_Code,Annexe_tarif_cout),"")</f>
        <v>60</v>
      </c>
      <c r="F60" s="41" t="s">
        <v>9</v>
      </c>
      <c r="G60" s="41" t="s">
        <v>547</v>
      </c>
    </row>
    <row r="61" spans="1:7">
      <c r="A61" s="174">
        <v>18301</v>
      </c>
      <c r="B61" s="40" t="s">
        <v>568</v>
      </c>
      <c r="C61" s="175" t="str">
        <f>IFERROR(LOOKUP(Table_MatL[[#This Row],[pour formule]],Annexe_Tarif_Code,Annexe_Tarif_unité),"")</f>
        <v>H</v>
      </c>
      <c r="D61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1" s="176">
        <f>IFERROR(LOOKUP(Table_MatL[[#This Row],[pour formule]],Annexe_Tarif_Code,Annexe_tarif_cout),"")</f>
        <v>20</v>
      </c>
      <c r="F61" s="37" t="s">
        <v>9</v>
      </c>
      <c r="G61" s="41"/>
    </row>
    <row r="62" spans="1:7">
      <c r="A62" s="174">
        <v>18302</v>
      </c>
      <c r="B62" s="36" t="s">
        <v>455</v>
      </c>
      <c r="C62" s="175" t="str">
        <f>IFERROR(LOOKUP(Table_MatL[[#This Row],[pour formule]],Annexe_Tarif_Code,Annexe_Tarif_unité),"")</f>
        <v>H</v>
      </c>
      <c r="D62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2" s="176">
        <f>IFERROR(LOOKUP(Table_MatL[[#This Row],[pour formule]],Annexe_Tarif_Code,Annexe_tarif_cout),"")</f>
        <v>20</v>
      </c>
      <c r="F62" s="37" t="s">
        <v>9</v>
      </c>
      <c r="G62" s="41"/>
    </row>
    <row r="63" spans="1:7">
      <c r="A63" s="174">
        <v>18306</v>
      </c>
      <c r="B63" s="40" t="s">
        <v>534</v>
      </c>
      <c r="C63" s="185" t="str">
        <f>IFERROR(LOOKUP(Table_MatL[[#This Row],[pour formule]],Annexe_Tarif_Code,Annexe_Tarif_unité),"")</f>
        <v>H</v>
      </c>
      <c r="D6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3" s="186">
        <f>IFERROR(LOOKUP(Table_MatL[[#This Row],[pour formule]],Annexe_Tarif_Code,Annexe_tarif_cout),"")</f>
        <v>20</v>
      </c>
      <c r="F63" s="41" t="s">
        <v>9</v>
      </c>
      <c r="G63" s="41"/>
    </row>
    <row r="64" spans="1:7">
      <c r="A64" s="174">
        <v>18529</v>
      </c>
      <c r="B64" s="40" t="s">
        <v>561</v>
      </c>
      <c r="C64" s="185" t="str">
        <f>IFERROR(LOOKUP(Table_MatL[[#This Row],[pour formule]],Annexe_Tarif_Code,Annexe_Tarif_unité),"")</f>
        <v>H</v>
      </c>
      <c r="D64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4" s="186">
        <f>IFERROR(LOOKUP(Table_MatL[[#This Row],[pour formule]],Annexe_Tarif_Code,Annexe_tarif_cout),"")</f>
        <v>20</v>
      </c>
      <c r="F64" s="41" t="s">
        <v>420</v>
      </c>
      <c r="G64" s="41"/>
    </row>
    <row r="65" spans="1:7">
      <c r="A65" s="174">
        <v>18531</v>
      </c>
      <c r="B65" s="40" t="s">
        <v>556</v>
      </c>
      <c r="C65" s="185" t="str">
        <f>IFERROR(LOOKUP(Table_MatL[[#This Row],[pour formule]],Annexe_Tarif_Code,Annexe_Tarif_unité),"")</f>
        <v>H</v>
      </c>
      <c r="D6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5" s="186">
        <f>IFERROR(LOOKUP(Table_MatL[[#This Row],[pour formule]],Annexe_Tarif_Code,Annexe_tarif_cout),"")</f>
        <v>20</v>
      </c>
      <c r="F65" s="41" t="s">
        <v>420</v>
      </c>
      <c r="G65" s="41"/>
    </row>
    <row r="66" spans="1:7">
      <c r="A66" s="174">
        <v>18542</v>
      </c>
      <c r="B66" s="40" t="s">
        <v>583</v>
      </c>
      <c r="C66" s="175" t="str">
        <f>IFERROR(LOOKUP(Table_MatL[[#This Row],[pour formule]],Annexe_Tarif_Code,Annexe_Tarif_unité),"")</f>
        <v>H</v>
      </c>
      <c r="D6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6" s="176">
        <f>IFERROR(LOOKUP(Table_MatL[[#This Row],[pour formule]],Annexe_Tarif_Code,Annexe_tarif_cout),"")</f>
        <v>20</v>
      </c>
      <c r="F66" s="37" t="s">
        <v>9</v>
      </c>
      <c r="G66" s="41"/>
    </row>
    <row r="67" spans="1:7">
      <c r="A67" s="174">
        <v>18700</v>
      </c>
      <c r="B67" s="40" t="s">
        <v>375</v>
      </c>
      <c r="C67" s="175" t="str">
        <f>IFERROR(LOOKUP(Table_MatL[[#This Row],[pour formule]],Annexe_Tarif_Code,Annexe_Tarif_unité),"")</f>
        <v>H</v>
      </c>
      <c r="D67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7" s="176">
        <f>IFERROR(LOOKUP(Table_MatL[[#This Row],[pour formule]],Annexe_Tarif_Code,Annexe_tarif_cout),"")</f>
        <v>20</v>
      </c>
      <c r="F67" s="37" t="s">
        <v>9</v>
      </c>
      <c r="G67" s="41"/>
    </row>
    <row r="68" spans="1:7">
      <c r="A68" s="174">
        <v>18703</v>
      </c>
      <c r="B68" s="40" t="s">
        <v>591</v>
      </c>
      <c r="C68" s="175" t="str">
        <f>IFERROR(LOOKUP(Table_MatL[[#This Row],[pour formule]],Annexe_Tarif_Code,Annexe_Tarif_unité),"")</f>
        <v>H</v>
      </c>
      <c r="D6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8" s="176">
        <f>IFERROR(LOOKUP(Table_MatL[[#This Row],[pour formule]],Annexe_Tarif_Code,Annexe_tarif_cout),"")</f>
        <v>20</v>
      </c>
      <c r="F68" s="37" t="s">
        <v>9</v>
      </c>
      <c r="G68" s="41" t="s">
        <v>547</v>
      </c>
    </row>
    <row r="69" spans="1:7">
      <c r="A69" s="174">
        <v>18711</v>
      </c>
      <c r="B69" s="36" t="s">
        <v>436</v>
      </c>
      <c r="C69" s="177" t="str">
        <f>IFERROR(LOOKUP(Table_MatL[[#This Row],[pour formule]],Annexe_Tarif_Code,Annexe_Tarif_unité),"")</f>
        <v>H</v>
      </c>
      <c r="D69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9" s="179">
        <f>IFERROR(LOOKUP(Table_MatL[[#This Row],[pour formule]],Annexe_Tarif_Code,Annexe_tarif_cout),"")</f>
        <v>20</v>
      </c>
      <c r="F69" s="37" t="s">
        <v>9</v>
      </c>
      <c r="G69" s="41"/>
    </row>
    <row r="70" spans="1:7">
      <c r="A70" s="174">
        <v>18712</v>
      </c>
      <c r="B70" s="40" t="s">
        <v>534</v>
      </c>
      <c r="C70" s="185" t="str">
        <f>IFERROR(LOOKUP(Table_MatL[[#This Row],[pour formule]],Annexe_Tarif_Code,Annexe_Tarif_unité),"")</f>
        <v>H</v>
      </c>
      <c r="D7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0" s="186">
        <f>IFERROR(LOOKUP(Table_MatL[[#This Row],[pour formule]],Annexe_Tarif_Code,Annexe_tarif_cout),"")</f>
        <v>20</v>
      </c>
      <c r="F70" s="41" t="s">
        <v>9</v>
      </c>
      <c r="G70" s="41"/>
    </row>
    <row r="71" spans="1:7">
      <c r="A71" s="174">
        <v>18714</v>
      </c>
      <c r="B71" s="36" t="s">
        <v>584</v>
      </c>
      <c r="C71" s="175" t="str">
        <f>IFERROR(LOOKUP(Table_MatL[[#This Row],[pour formule]],Annexe_Tarif_Code,Annexe_Tarif_unité),"")</f>
        <v>H</v>
      </c>
      <c r="D71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1" s="176">
        <f>IFERROR(LOOKUP(Table_MatL[[#This Row],[pour formule]],Annexe_Tarif_Code,Annexe_tarif_cout),"")</f>
        <v>20</v>
      </c>
      <c r="F71" s="37" t="s">
        <v>9</v>
      </c>
      <c r="G71" s="41"/>
    </row>
    <row r="72" spans="1:7">
      <c r="A72" s="174">
        <v>18724</v>
      </c>
      <c r="B72" s="36" t="s">
        <v>437</v>
      </c>
      <c r="C72" s="177" t="str">
        <f>IFERROR(LOOKUP(Table_MatL[[#This Row],[pour formule]],Annexe_Tarif_Code,Annexe_Tarif_unité),"")</f>
        <v>H</v>
      </c>
      <c r="D72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18724</v>
      </c>
      <c r="E72" s="179">
        <f>IFERROR(LOOKUP(Table_MatL[[#This Row],[pour formule]],Annexe_Tarif_Code,Annexe_tarif_cout),"")</f>
        <v>10</v>
      </c>
      <c r="F72" s="37" t="s">
        <v>9</v>
      </c>
      <c r="G72" s="41"/>
    </row>
    <row r="73" spans="1:7">
      <c r="A73" s="174">
        <v>18725</v>
      </c>
      <c r="B73" s="40" t="s">
        <v>534</v>
      </c>
      <c r="C73" s="185" t="str">
        <f>IFERROR(LOOKUP(Table_MatL[[#This Row],[pour formule]],Annexe_Tarif_Code,Annexe_Tarif_unité),"")</f>
        <v>H</v>
      </c>
      <c r="D7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3" s="186">
        <f>IFERROR(LOOKUP(Table_MatL[[#This Row],[pour formule]],Annexe_Tarif_Code,Annexe_tarif_cout),"")</f>
        <v>20</v>
      </c>
      <c r="F73" s="41" t="s">
        <v>9</v>
      </c>
      <c r="G73" s="41"/>
    </row>
    <row r="74" spans="1:7">
      <c r="A74" s="174">
        <v>18727</v>
      </c>
      <c r="B74" s="40" t="s">
        <v>576</v>
      </c>
      <c r="C74" s="185" t="str">
        <f>IFERROR(LOOKUP(Table_MatL[[#This Row],[pour formule]],Annexe_Tarif_Code,Annexe_Tarif_unité),"")</f>
        <v>H</v>
      </c>
      <c r="D74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4" s="186">
        <f>IFERROR(LOOKUP(Table_MatL[[#This Row],[pour formule]],Annexe_Tarif_Code,Annexe_tarif_cout),"")</f>
        <v>20</v>
      </c>
      <c r="F74" s="41" t="s">
        <v>9</v>
      </c>
      <c r="G74" s="41"/>
    </row>
    <row r="75" spans="1:7">
      <c r="A75" s="174">
        <v>18888</v>
      </c>
      <c r="B75" s="40" t="s">
        <v>572</v>
      </c>
      <c r="C75" s="185" t="str">
        <f>IFERROR(LOOKUP(Table_MatL[[#This Row],[pour formule]],Annexe_Tarif_Code,Annexe_Tarif_unité),"")</f>
        <v>H</v>
      </c>
      <c r="D7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5" s="186">
        <f>IFERROR(LOOKUP(Table_MatL[[#This Row],[pour formule]],Annexe_Tarif_Code,Annexe_tarif_cout),"")</f>
        <v>20</v>
      </c>
      <c r="F75" s="41" t="s">
        <v>420</v>
      </c>
      <c r="G75" s="41"/>
    </row>
    <row r="76" spans="1:7">
      <c r="A76" s="174">
        <v>18905</v>
      </c>
      <c r="B76" s="40" t="s">
        <v>585</v>
      </c>
      <c r="C76" s="175" t="str">
        <f>IFERROR(LOOKUP(Table_MatL[[#This Row],[pour formule]],Annexe_Tarif_Code,Annexe_Tarif_unité),"")</f>
        <v>H</v>
      </c>
      <c r="D7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18905</v>
      </c>
      <c r="E76" s="176">
        <f>IFERROR(LOOKUP(Table_MatL[[#This Row],[pour formule]],Annexe_Tarif_Code,Annexe_tarif_cout),"")</f>
        <v>30</v>
      </c>
      <c r="F76" s="37" t="s">
        <v>9</v>
      </c>
      <c r="G76" s="41"/>
    </row>
    <row r="77" spans="1:7">
      <c r="A77" s="174">
        <v>19052</v>
      </c>
      <c r="B77" s="40" t="s">
        <v>560</v>
      </c>
      <c r="C77" s="185" t="str">
        <f>IFERROR(LOOKUP(Table_MatL[[#This Row],[pour formule]],Annexe_Tarif_Code,Annexe_Tarif_unité),"")</f>
        <v>H</v>
      </c>
      <c r="D7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7" s="186">
        <f>IFERROR(LOOKUP(Table_MatL[[#This Row],[pour formule]],Annexe_Tarif_Code,Annexe_tarif_cout),"")</f>
        <v>10</v>
      </c>
      <c r="F77" s="41" t="s">
        <v>420</v>
      </c>
      <c r="G77" s="41"/>
    </row>
    <row r="78" spans="1:7">
      <c r="A78" s="174">
        <v>19058</v>
      </c>
      <c r="B78" s="40" t="s">
        <v>569</v>
      </c>
      <c r="C78" s="175" t="str">
        <f>IFERROR(LOOKUP(Table_MatL[[#This Row],[pour formule]],Annexe_Tarif_Code,Annexe_Tarif_unité),"")</f>
        <v>H</v>
      </c>
      <c r="D7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8" s="176">
        <f>IFERROR(LOOKUP(Table_MatL[[#This Row],[pour formule]],Annexe_Tarif_Code,Annexe_tarif_cout),"")</f>
        <v>10</v>
      </c>
      <c r="F78" s="37" t="s">
        <v>9</v>
      </c>
      <c r="G78" s="41"/>
    </row>
    <row r="79" spans="1:7">
      <c r="A79" s="174">
        <v>19060</v>
      </c>
      <c r="B79" s="36" t="s">
        <v>461</v>
      </c>
      <c r="C79" s="175" t="str">
        <f>IFERROR(LOOKUP(Table_MatL[[#This Row],[pour formule]],Annexe_Tarif_Code,Annexe_Tarif_unité),"")</f>
        <v>H</v>
      </c>
      <c r="D79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9" s="176">
        <f>IFERROR(LOOKUP(Table_MatL[[#This Row],[pour formule]],Annexe_Tarif_Code,Annexe_tarif_cout),"")</f>
        <v>10</v>
      </c>
      <c r="F79" s="37" t="s">
        <v>9</v>
      </c>
      <c r="G79" s="41"/>
    </row>
    <row r="80" spans="1:7">
      <c r="A80" s="174">
        <v>19064</v>
      </c>
      <c r="B80" s="40" t="s">
        <v>535</v>
      </c>
      <c r="C80" s="185" t="str">
        <f>IFERROR(LOOKUP(Table_MatL[[#This Row],[pour formule]],Annexe_Tarif_Code,Annexe_Tarif_unité),"")</f>
        <v>H</v>
      </c>
      <c r="D8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0" s="186">
        <f>IFERROR(LOOKUP(Table_MatL[[#This Row],[pour formule]],Annexe_Tarif_Code,Annexe_tarif_cout),"")</f>
        <v>10</v>
      </c>
      <c r="F80" s="41" t="s">
        <v>9</v>
      </c>
      <c r="G80" s="41"/>
    </row>
    <row r="81" spans="1:7">
      <c r="A81" s="174">
        <v>19065</v>
      </c>
      <c r="B81" s="36" t="s">
        <v>442</v>
      </c>
      <c r="C81" s="177" t="str">
        <f>IFERROR(LOOKUP(Table_MatL[[#This Row],[pour formule]],Annexe_Tarif_Code,Annexe_Tarif_unité),"")</f>
        <v>H</v>
      </c>
      <c r="D81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1" s="179">
        <f>IFERROR(LOOKUP(Table_MatL[[#This Row],[pour formule]],Annexe_Tarif_Code,Annexe_tarif_cout),"")</f>
        <v>10</v>
      </c>
      <c r="F81" s="37" t="s">
        <v>9</v>
      </c>
      <c r="G81" s="41"/>
    </row>
    <row r="82" spans="1:7">
      <c r="A82" s="174">
        <v>19070</v>
      </c>
      <c r="B82" s="40" t="s">
        <v>586</v>
      </c>
      <c r="C82" s="175" t="str">
        <f>IFERROR(LOOKUP(Table_MatL[[#This Row],[pour formule]],Annexe_Tarif_Code,Annexe_Tarif_unité),"")</f>
        <v>H</v>
      </c>
      <c r="D82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2" s="176">
        <f>IFERROR(LOOKUP(Table_MatL[[#This Row],[pour formule]],Annexe_Tarif_Code,Annexe_tarif_cout),"")</f>
        <v>10</v>
      </c>
      <c r="F82" s="37" t="s">
        <v>9</v>
      </c>
      <c r="G82" s="41"/>
    </row>
    <row r="83" spans="1:7">
      <c r="A83" s="174">
        <v>24047</v>
      </c>
      <c r="B83" s="36" t="s">
        <v>443</v>
      </c>
      <c r="C83" s="177" t="str">
        <f>IFERROR(LOOKUP(Table_MatL[[#This Row],[pour formule]],Annexe_Tarif_Code,Annexe_Tarif_unité),"")</f>
        <v>H</v>
      </c>
      <c r="D83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3" s="179">
        <f>IFERROR(LOOKUP(Table_MatL[[#This Row],[pour formule]],Annexe_Tarif_Code,Annexe_tarif_cout),"")</f>
        <v>20</v>
      </c>
      <c r="F83" s="37" t="s">
        <v>9</v>
      </c>
      <c r="G83" s="41"/>
    </row>
    <row r="84" spans="1:7">
      <c r="A84" s="174">
        <v>24600</v>
      </c>
      <c r="B84" s="40" t="s">
        <v>376</v>
      </c>
      <c r="C84" s="175" t="str">
        <f>IFERROR(LOOKUP(Table_MatL[[#This Row],[pour formule]],Annexe_Tarif_Code,Annexe_Tarif_unité),"")</f>
        <v>H</v>
      </c>
      <c r="D8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4" s="176">
        <f>IFERROR(LOOKUP(Table_MatL[[#This Row],[pour formule]],Annexe_Tarif_Code,Annexe_tarif_cout),"")</f>
        <v>20</v>
      </c>
      <c r="F84" s="37" t="s">
        <v>9</v>
      </c>
      <c r="G84" s="41"/>
    </row>
    <row r="85" spans="1:7">
      <c r="A85" s="174">
        <v>24601</v>
      </c>
      <c r="B85" s="40" t="s">
        <v>536</v>
      </c>
      <c r="C85" s="185" t="str">
        <f>IFERROR(LOOKUP(Table_MatL[[#This Row],[pour formule]],Annexe_Tarif_Code,Annexe_Tarif_unité),"")</f>
        <v>H</v>
      </c>
      <c r="D8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5" s="186">
        <f>IFERROR(LOOKUP(Table_MatL[[#This Row],[pour formule]],Annexe_Tarif_Code,Annexe_tarif_cout),"")</f>
        <v>20</v>
      </c>
      <c r="F85" s="41" t="s">
        <v>9</v>
      </c>
      <c r="G85" s="41"/>
    </row>
    <row r="86" spans="1:7">
      <c r="A86" s="174">
        <v>24603</v>
      </c>
      <c r="B86" s="40" t="s">
        <v>592</v>
      </c>
      <c r="C86" s="175" t="str">
        <f>IFERROR(LOOKUP(Table_MatL[[#This Row],[pour formule]],Annexe_Tarif_Code,Annexe_Tarif_unité),"")</f>
        <v>H</v>
      </c>
      <c r="D8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6" s="176">
        <f>IFERROR(LOOKUP(Table_MatL[[#This Row],[pour formule]],Annexe_Tarif_Code,Annexe_tarif_cout),"")</f>
        <v>20</v>
      </c>
      <c r="F86" s="37" t="s">
        <v>9</v>
      </c>
      <c r="G86" s="41" t="s">
        <v>547</v>
      </c>
    </row>
    <row r="87" spans="1:7">
      <c r="A87" s="174">
        <v>24610</v>
      </c>
      <c r="B87" s="40" t="s">
        <v>536</v>
      </c>
      <c r="C87" s="185" t="str">
        <f>IFERROR(LOOKUP(Table_MatL[[#This Row],[pour formule]],Annexe_Tarif_Code,Annexe_Tarif_unité),"")</f>
        <v>H</v>
      </c>
      <c r="D8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7" s="186">
        <f>IFERROR(LOOKUP(Table_MatL[[#This Row],[pour formule]],Annexe_Tarif_Code,Annexe_tarif_cout),"")</f>
        <v>20</v>
      </c>
      <c r="F87" s="41" t="s">
        <v>9</v>
      </c>
      <c r="G87" s="41"/>
    </row>
    <row r="88" spans="1:7">
      <c r="A88" s="174">
        <v>24613</v>
      </c>
      <c r="B88" s="36" t="s">
        <v>462</v>
      </c>
      <c r="C88" s="175" t="str">
        <f>IFERROR(LOOKUP(Table_MatL[[#This Row],[pour formule]],Annexe_Tarif_Code,Annexe_Tarif_unité),"")</f>
        <v>H</v>
      </c>
      <c r="D8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8" s="176">
        <f>IFERROR(LOOKUP(Table_MatL[[#This Row],[pour formule]],Annexe_Tarif_Code,Annexe_tarif_cout),"")</f>
        <v>20</v>
      </c>
      <c r="F88" s="37" t="s">
        <v>9</v>
      </c>
      <c r="G88" s="41"/>
    </row>
    <row r="89" spans="1:7">
      <c r="A89" s="174">
        <v>24622</v>
      </c>
      <c r="B89" s="40" t="s">
        <v>577</v>
      </c>
      <c r="C89" s="185" t="str">
        <f>IFERROR(LOOKUP(Table_MatL[[#This Row],[pour formule]],Annexe_Tarif_Code,Annexe_Tarif_unité),"")</f>
        <v>H</v>
      </c>
      <c r="D89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9" s="186">
        <f>IFERROR(LOOKUP(Table_MatL[[#This Row],[pour formule]],Annexe_Tarif_Code,Annexe_tarif_cout),"")</f>
        <v>20</v>
      </c>
      <c r="F89" s="41" t="s">
        <v>9</v>
      </c>
      <c r="G89" s="41"/>
    </row>
    <row r="90" spans="1:7">
      <c r="A90" s="174">
        <v>24888</v>
      </c>
      <c r="B90" s="40" t="s">
        <v>573</v>
      </c>
      <c r="C90" s="185" t="str">
        <f>IFERROR(LOOKUP(Table_MatL[[#This Row],[pour formule]],Annexe_Tarif_Code,Annexe_Tarif_unité),"")</f>
        <v>H</v>
      </c>
      <c r="D9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0" s="186">
        <f>IFERROR(LOOKUP(Table_MatL[[#This Row],[pour formule]],Annexe_Tarif_Code,Annexe_tarif_cout),"")</f>
        <v>20</v>
      </c>
      <c r="F90" s="41" t="s">
        <v>420</v>
      </c>
      <c r="G90" s="41"/>
    </row>
    <row r="91" spans="1:7">
      <c r="A91" s="174">
        <v>24900</v>
      </c>
      <c r="B91" s="40" t="s">
        <v>557</v>
      </c>
      <c r="C91" s="185" t="str">
        <f>IFERROR(LOOKUP(Table_MatL[[#This Row],[pour formule]],Annexe_Tarif_Code,Annexe_Tarif_unité),"")</f>
        <v>H</v>
      </c>
      <c r="D91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1" s="186">
        <f>IFERROR(LOOKUP(Table_MatL[[#This Row],[pour formule]],Annexe_Tarif_Code,Annexe_tarif_cout),"")</f>
        <v>20</v>
      </c>
      <c r="F91" s="41" t="s">
        <v>420</v>
      </c>
      <c r="G91" s="41"/>
    </row>
    <row r="92" spans="1:7">
      <c r="A92" s="174">
        <v>26024</v>
      </c>
      <c r="B92" s="36" t="s">
        <v>445</v>
      </c>
      <c r="C92" s="177" t="str">
        <f>IFERROR(LOOKUP(Table_MatL[[#This Row],[pour formule]],Annexe_Tarif_Code,Annexe_Tarif_unité),"")</f>
        <v>H</v>
      </c>
      <c r="D92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2" s="179">
        <f>IFERROR(LOOKUP(Table_MatL[[#This Row],[pour formule]],Annexe_Tarif_Code,Annexe_tarif_cout),"")</f>
        <v>10</v>
      </c>
      <c r="F92" s="41" t="s">
        <v>9</v>
      </c>
      <c r="G92" s="41"/>
    </row>
    <row r="93" spans="1:7">
      <c r="A93" s="174">
        <v>26030</v>
      </c>
      <c r="B93" s="40" t="s">
        <v>537</v>
      </c>
      <c r="C93" s="185" t="str">
        <f>IFERROR(LOOKUP(Table_MatL[[#This Row],[pour formule]],Annexe_Tarif_Code,Annexe_Tarif_unité),"")</f>
        <v>H</v>
      </c>
      <c r="D9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3" s="186">
        <f>IFERROR(LOOKUP(Table_MatL[[#This Row],[pour formule]],Annexe_Tarif_Code,Annexe_tarif_cout),"")</f>
        <v>10</v>
      </c>
      <c r="F93" s="41" t="s">
        <v>9</v>
      </c>
      <c r="G93" s="41"/>
    </row>
    <row r="94" spans="1:7">
      <c r="A94" s="174">
        <v>26031</v>
      </c>
      <c r="B94" s="36" t="s">
        <v>587</v>
      </c>
      <c r="C94" s="175" t="str">
        <f>IFERROR(LOOKUP(Table_MatL[[#This Row],[pour formule]],Annexe_Tarif_Code,Annexe_Tarif_unité),"")</f>
        <v>H</v>
      </c>
      <c r="D9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4" s="176">
        <f>IFERROR(LOOKUP(Table_MatL[[#This Row],[pour formule]],Annexe_Tarif_Code,Annexe_tarif_cout),"")</f>
        <v>10</v>
      </c>
      <c r="F94" s="37" t="s">
        <v>9</v>
      </c>
      <c r="G94" s="41"/>
    </row>
    <row r="95" spans="1:7">
      <c r="A95" s="174">
        <v>26033</v>
      </c>
      <c r="B95" s="40" t="s">
        <v>385</v>
      </c>
      <c r="C95" s="175" t="str">
        <f>IFERROR(LOOKUP(Table_MatL[[#This Row],[pour formule]],Annexe_Tarif_Code,Annexe_Tarif_unité),"")</f>
        <v>H</v>
      </c>
      <c r="D95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5" s="176">
        <f>IFERROR(LOOKUP(Table_MatL[[#This Row],[pour formule]],Annexe_Tarif_Code,Annexe_tarif_cout),"")</f>
        <v>10</v>
      </c>
      <c r="F95" s="37" t="s">
        <v>9</v>
      </c>
      <c r="G95" s="41"/>
    </row>
    <row r="96" spans="1:7">
      <c r="A96" s="174">
        <v>26034</v>
      </c>
      <c r="B96" s="40" t="s">
        <v>385</v>
      </c>
      <c r="C96" s="175" t="str">
        <f>IFERROR(LOOKUP(Table_MatL[[#This Row],[pour formule]],Annexe_Tarif_Code,Annexe_Tarif_unité),"")</f>
        <v>H</v>
      </c>
      <c r="D9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6" s="176">
        <f>IFERROR(LOOKUP(Table_MatL[[#This Row],[pour formule]],Annexe_Tarif_Code,Annexe_tarif_cout),"")</f>
        <v>10</v>
      </c>
      <c r="F96" s="37" t="s">
        <v>9</v>
      </c>
      <c r="G96" s="41"/>
    </row>
    <row r="97" spans="1:7">
      <c r="A97" s="174">
        <v>26035</v>
      </c>
      <c r="B97" s="40" t="s">
        <v>588</v>
      </c>
      <c r="C97" s="185" t="str">
        <f>IFERROR(LOOKUP(Table_MatL[[#This Row],[pour formule]],Annexe_Tarif_Code,Annexe_Tarif_unité),"")</f>
        <v>H</v>
      </c>
      <c r="D9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7" s="186">
        <f>IFERROR(LOOKUP(Table_MatL[[#This Row],[pour formule]],Annexe_Tarif_Code,Annexe_tarif_cout),"")</f>
        <v>10</v>
      </c>
      <c r="F97" s="41" t="s">
        <v>9</v>
      </c>
      <c r="G97" s="41"/>
    </row>
    <row r="98" spans="1:7">
      <c r="A98" s="174">
        <v>26037</v>
      </c>
      <c r="B98" s="40" t="s">
        <v>589</v>
      </c>
      <c r="C98" s="177" t="str">
        <f>IFERROR(LOOKUP(Table_MatL[[#This Row],[pour formule]],Annexe_Tarif_Code,Annexe_Tarif_unité),"")</f>
        <v>H</v>
      </c>
      <c r="D98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8" s="179">
        <f>IFERROR(LOOKUP(Table_MatL[[#This Row],[pour formule]],Annexe_Tarif_Code,Annexe_tarif_cout),"")</f>
        <v>10</v>
      </c>
      <c r="F98" s="41" t="s">
        <v>9</v>
      </c>
      <c r="G98" s="41"/>
    </row>
    <row r="99" spans="1:7">
      <c r="A99" s="174">
        <v>26041</v>
      </c>
      <c r="B99" s="40" t="s">
        <v>385</v>
      </c>
      <c r="C99" s="175" t="str">
        <f>IFERROR(LOOKUP(Table_MatL[[#This Row],[pour formule]],Annexe_Tarif_Code,Annexe_Tarif_unité),"")</f>
        <v>H</v>
      </c>
      <c r="D99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9" s="176">
        <f>IFERROR(LOOKUP(Table_MatL[[#This Row],[pour formule]],Annexe_Tarif_Code,Annexe_tarif_cout),"")</f>
        <v>10</v>
      </c>
      <c r="F99" s="41" t="s">
        <v>9</v>
      </c>
      <c r="G99" s="41"/>
    </row>
    <row r="100" spans="1:7">
      <c r="A100" s="174">
        <v>28002</v>
      </c>
      <c r="B100" s="36" t="s">
        <v>522</v>
      </c>
      <c r="C100" s="175" t="str">
        <f>IFERROR(LOOKUP(Table_MatL[[#This Row],[pour formule]],Annexe_Tarif_Code,Annexe_Tarif_unité),"")</f>
        <v>H</v>
      </c>
      <c r="D100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28</v>
      </c>
      <c r="E100" s="176">
        <f>IFERROR(LOOKUP(Table_MatL[[#This Row],[pour formule]],Annexe_Tarif_Code,Annexe_tarif_cout),"")</f>
        <v>10</v>
      </c>
      <c r="F100" s="37" t="s">
        <v>9</v>
      </c>
      <c r="G100" s="41"/>
    </row>
    <row r="101" spans="1:7">
      <c r="A101" s="174">
        <v>32012</v>
      </c>
      <c r="B101" s="36" t="s">
        <v>550</v>
      </c>
      <c r="C101" s="185" t="str">
        <f>IFERROR(LOOKUP(Table_MatL[[#This Row],[pour formule]],Annexe_Tarif_Code,Annexe_Tarif_unité),"")</f>
        <v>H</v>
      </c>
      <c r="D101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32012</v>
      </c>
      <c r="E101" s="186">
        <f>IFERROR(LOOKUP(Table_MatL[[#This Row],[pour formule]],Annexe_Tarif_Code,Annexe_tarif_cout),"")</f>
        <v>20</v>
      </c>
      <c r="F101" s="41" t="s">
        <v>9</v>
      </c>
      <c r="G101" s="41"/>
    </row>
    <row r="102" spans="1:7">
      <c r="A102" s="174">
        <v>32013</v>
      </c>
      <c r="B102" s="36" t="s">
        <v>456</v>
      </c>
      <c r="C102" s="175" t="str">
        <f>IFERROR(LOOKUP(Table_MatL[[#This Row],[pour formule]],Annexe_Tarif_Code,Annexe_Tarif_unité),"")</f>
        <v>H</v>
      </c>
      <c r="D102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32013</v>
      </c>
      <c r="E102" s="176">
        <f>IFERROR(LOOKUP(Table_MatL[[#This Row],[pour formule]],Annexe_Tarif_Code,Annexe_tarif_cout),"")</f>
        <v>20</v>
      </c>
      <c r="F102" s="37" t="s">
        <v>9</v>
      </c>
      <c r="G102" s="41"/>
    </row>
    <row r="103" spans="1:7">
      <c r="A103" s="174">
        <v>32016</v>
      </c>
      <c r="B103" s="40" t="s">
        <v>581</v>
      </c>
      <c r="C103" s="185" t="str">
        <f>IFERROR(LOOKUP(Table_MatL[[#This Row],[pour formule]],Annexe_Tarif_Code,Annexe_Tarif_unité),"")</f>
        <v>H</v>
      </c>
      <c r="D10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32016</v>
      </c>
      <c r="E103" s="186">
        <f>IFERROR(LOOKUP(Table_MatL[[#This Row],[pour formule]],Annexe_Tarif_Code,Annexe_tarif_cout),"")</f>
        <v>20</v>
      </c>
      <c r="F103" s="41" t="s">
        <v>9</v>
      </c>
      <c r="G103" s="41"/>
    </row>
    <row r="104" spans="1:7">
      <c r="A104" s="174">
        <v>38039</v>
      </c>
      <c r="B104" s="40" t="s">
        <v>386</v>
      </c>
      <c r="C104" s="175" t="str">
        <f>IFERROR(LOOKUP(Table_MatL[[#This Row],[pour formule]],Annexe_Tarif_Code,Annexe_Tarif_unité),"")</f>
        <v>H</v>
      </c>
      <c r="D10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4" s="176">
        <f>IFERROR(LOOKUP(Table_MatL[[#This Row],[pour formule]],Annexe_Tarif_Code,Annexe_tarif_cout),"")</f>
        <v>5</v>
      </c>
      <c r="F104" s="37" t="s">
        <v>9</v>
      </c>
      <c r="G104" s="41"/>
    </row>
    <row r="105" spans="1:7">
      <c r="A105" s="174">
        <v>38044</v>
      </c>
      <c r="B105" s="40" t="s">
        <v>538</v>
      </c>
      <c r="C105" s="185" t="str">
        <f>IFERROR(LOOKUP(Table_MatL[[#This Row],[pour formule]],Annexe_Tarif_Code,Annexe_Tarif_unité),"")</f>
        <v>H</v>
      </c>
      <c r="D10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5" s="186">
        <f>IFERROR(LOOKUP(Table_MatL[[#This Row],[pour formule]],Annexe_Tarif_Code,Annexe_tarif_cout),"")</f>
        <v>5</v>
      </c>
      <c r="F105" s="41" t="s">
        <v>9</v>
      </c>
      <c r="G105" s="41"/>
    </row>
    <row r="106" spans="1:7">
      <c r="A106" s="174">
        <v>38047</v>
      </c>
      <c r="B106" s="36" t="s">
        <v>463</v>
      </c>
      <c r="C106" s="175" t="str">
        <f>IFERROR(LOOKUP(Table_MatL[[#This Row],[pour formule]],Annexe_Tarif_Code,Annexe_Tarif_unité),"")</f>
        <v>H</v>
      </c>
      <c r="D10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6" s="176">
        <f>IFERROR(LOOKUP(Table_MatL[[#This Row],[pour formule]],Annexe_Tarif_Code,Annexe_tarif_cout),"")</f>
        <v>5</v>
      </c>
      <c r="F106" s="37" t="s">
        <v>9</v>
      </c>
      <c r="G106" s="41"/>
    </row>
    <row r="107" spans="1:7">
      <c r="A107" s="174">
        <v>44001</v>
      </c>
      <c r="B107" s="40" t="s">
        <v>546</v>
      </c>
      <c r="C107" s="185" t="str">
        <f>IFERROR(LOOKUP(Table_MatL[[#This Row],[pour formule]],Annexe_Tarif_Code,Annexe_Tarif_unité),"")</f>
        <v>H</v>
      </c>
      <c r="D10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44</v>
      </c>
      <c r="E107" s="186">
        <f>IFERROR(LOOKUP(Table_MatL[[#This Row],[pour formule]],Annexe_Tarif_Code,Annexe_tarif_cout),"")</f>
        <v>10</v>
      </c>
      <c r="F107" s="41" t="s">
        <v>9</v>
      </c>
      <c r="G107" s="41"/>
    </row>
    <row r="108" spans="1:7">
      <c r="A108" s="174">
        <v>48001</v>
      </c>
      <c r="B108" s="40" t="s">
        <v>559</v>
      </c>
      <c r="C108" s="185" t="str">
        <f>IFERROR(LOOKUP(Table_MatL[[#This Row],[pour formule]],Annexe_Tarif_Code,Annexe_Tarif_unité),"")</f>
        <v>H</v>
      </c>
      <c r="D108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48</v>
      </c>
      <c r="E108" s="186">
        <f>IFERROR(LOOKUP(Table_MatL[[#This Row],[pour formule]],Annexe_Tarif_Code,Annexe_tarif_cout),"")</f>
        <v>10</v>
      </c>
      <c r="F108" s="41" t="s">
        <v>420</v>
      </c>
      <c r="G108" s="41"/>
    </row>
    <row r="109" spans="1:7">
      <c r="A109" s="187">
        <v>49888</v>
      </c>
      <c r="B109" s="188" t="s">
        <v>570</v>
      </c>
      <c r="C109" s="189" t="str">
        <f>IFERROR(LOOKUP(Table_MatL[[#This Row],[pour formule]],Annexe_Tarif_Code,Annexe_Tarif_unité),"")</f>
        <v>H</v>
      </c>
      <c r="D109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49</v>
      </c>
      <c r="E109" s="191">
        <f>IFERROR(LOOKUP(Table_MatL[[#This Row],[pour formule]],Annexe_Tarif_Code,Annexe_tarif_cout),"")</f>
        <v>60</v>
      </c>
      <c r="F109" s="33" t="s">
        <v>420</v>
      </c>
      <c r="G109" s="41"/>
    </row>
    <row r="110" spans="1:7">
      <c r="A110" s="174">
        <v>55015</v>
      </c>
      <c r="B110" s="40" t="s">
        <v>539</v>
      </c>
      <c r="C110" s="185" t="str">
        <f>IFERROR(LOOKUP(Table_MatL[[#This Row],[pour formule]],Annexe_Tarif_Code,Annexe_Tarif_unité),"")</f>
        <v>H</v>
      </c>
      <c r="D11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0" s="186">
        <f>IFERROR(LOOKUP(Table_MatL[[#This Row],[pour formule]],Annexe_Tarif_Code,Annexe_tarif_cout),"")</f>
        <v>5</v>
      </c>
      <c r="F110" s="41" t="s">
        <v>9</v>
      </c>
      <c r="G110" s="41"/>
    </row>
    <row r="111" spans="1:7">
      <c r="A111" s="174">
        <v>55028</v>
      </c>
      <c r="B111" s="40" t="s">
        <v>590</v>
      </c>
      <c r="C111" s="185" t="str">
        <f>IFERROR(LOOKUP(Table_MatL[[#This Row],[pour formule]],Annexe_Tarif_Code,Annexe_Tarif_unité),"")</f>
        <v>H</v>
      </c>
      <c r="D111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1" s="186">
        <f>IFERROR(LOOKUP(Table_MatL[[#This Row],[pour formule]],Annexe_Tarif_Code,Annexe_tarif_cout),"")</f>
        <v>5</v>
      </c>
      <c r="F111" s="41" t="s">
        <v>9</v>
      </c>
      <c r="G111" s="41"/>
    </row>
    <row r="112" spans="1:7">
      <c r="A112" s="174">
        <v>55029</v>
      </c>
      <c r="B112" s="40" t="s">
        <v>558</v>
      </c>
      <c r="C112" s="185" t="str">
        <f>IFERROR(LOOKUP(Table_MatL[[#This Row],[pour formule]],Annexe_Tarif_Code,Annexe_Tarif_unité),"")</f>
        <v>H</v>
      </c>
      <c r="D112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2" s="186">
        <f>IFERROR(LOOKUP(Table_MatL[[#This Row],[pour formule]],Annexe_Tarif_Code,Annexe_tarif_cout),"")</f>
        <v>5</v>
      </c>
      <c r="F112" s="41" t="s">
        <v>420</v>
      </c>
      <c r="G112" s="41"/>
    </row>
    <row r="113" spans="1:7">
      <c r="A113" s="187">
        <v>55888</v>
      </c>
      <c r="B113" s="188" t="s">
        <v>555</v>
      </c>
      <c r="C113" s="189" t="str">
        <f>IFERROR(LOOKUP(Table_MatL[[#This Row],[pour formule]],Annexe_Tarif_Code,Annexe_Tarif_unité),"")</f>
        <v>H</v>
      </c>
      <c r="D113" s="19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3" s="191">
        <f>IFERROR(LOOKUP(Table_MatL[[#This Row],[pour formule]],Annexe_Tarif_Code,Annexe_tarif_cout),"")</f>
        <v>5</v>
      </c>
      <c r="F113" s="33" t="s">
        <v>9</v>
      </c>
      <c r="G113" s="41"/>
    </row>
    <row r="114" spans="1:7">
      <c r="A114" s="174">
        <v>62029</v>
      </c>
      <c r="B114" s="40" t="s">
        <v>377</v>
      </c>
      <c r="C114" s="175" t="str">
        <f>IFERROR(LOOKUP(Table_MatL[[#This Row],[pour formule]],Annexe_Tarif_Code,Annexe_Tarif_unité),"")</f>
        <v>H</v>
      </c>
      <c r="D11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62</v>
      </c>
      <c r="E114" s="176">
        <f>IFERROR(LOOKUP(Table_MatL[[#This Row],[pour formule]],Annexe_Tarif_Code,Annexe_tarif_cout),"")</f>
        <v>2</v>
      </c>
      <c r="F114" s="37" t="s">
        <v>9</v>
      </c>
      <c r="G114" s="41"/>
    </row>
    <row r="115" spans="1:7">
      <c r="A115" s="174">
        <v>68061</v>
      </c>
      <c r="B115" s="40" t="s">
        <v>540</v>
      </c>
      <c r="C115" s="185" t="str">
        <f>IFERROR(LOOKUP(Table_MatL[[#This Row],[pour formule]],Annexe_Tarif_Code,Annexe_Tarif_unité),"")</f>
        <v>H</v>
      </c>
      <c r="D11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5" s="186">
        <f>IFERROR(LOOKUP(Table_MatL[[#This Row],[pour formule]],Annexe_Tarif_Code,Annexe_tarif_cout),"")</f>
        <v>3</v>
      </c>
      <c r="F115" s="41" t="s">
        <v>9</v>
      </c>
      <c r="G115" s="41"/>
    </row>
    <row r="116" spans="1:7">
      <c r="A116" s="174">
        <v>68082</v>
      </c>
      <c r="B116" s="40" t="s">
        <v>382</v>
      </c>
      <c r="C116" s="175" t="str">
        <f>IFERROR(LOOKUP(Table_MatL[[#This Row],[pour formule]],Annexe_Tarif_Code,Annexe_Tarif_unité),"")</f>
        <v>H</v>
      </c>
      <c r="D11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6" s="176">
        <f>IFERROR(LOOKUP(Table_MatL[[#This Row],[pour formule]],Annexe_Tarif_Code,Annexe_tarif_cout),"")</f>
        <v>3</v>
      </c>
      <c r="F116" s="37" t="s">
        <v>9</v>
      </c>
      <c r="G116" s="41"/>
    </row>
    <row r="117" spans="1:7">
      <c r="A117" s="174">
        <v>68087</v>
      </c>
      <c r="B117" s="36" t="s">
        <v>457</v>
      </c>
      <c r="C117" s="170" t="str">
        <f>IFERROR(LOOKUP(Table_MatL[[#This Row],[pour formule]],Annexe_Tarif_Code,Annexe_Tarif_unité),"")</f>
        <v>H</v>
      </c>
      <c r="D117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7" s="176">
        <f>IFERROR(LOOKUP(Table_MatL[[#This Row],[pour formule]],Annexe_Tarif_Code,Annexe_tarif_cout),"")</f>
        <v>3</v>
      </c>
      <c r="F117" s="37" t="s">
        <v>9</v>
      </c>
      <c r="G117" s="41"/>
    </row>
    <row r="118" spans="1:7">
      <c r="A118" s="174">
        <v>68088</v>
      </c>
      <c r="B118" s="36" t="s">
        <v>457</v>
      </c>
      <c r="C118" s="175" t="str">
        <f>IFERROR(LOOKUP(Table_MatL[[#This Row],[pour formule]],Annexe_Tarif_Code,Annexe_Tarif_unité),"")</f>
        <v>H</v>
      </c>
      <c r="D11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8" s="176">
        <f>IFERROR(LOOKUP(Table_MatL[[#This Row],[pour formule]],Annexe_Tarif_Code,Annexe_tarif_cout),"")</f>
        <v>3</v>
      </c>
      <c r="F118" s="37" t="s">
        <v>9</v>
      </c>
      <c r="G118" s="41"/>
    </row>
    <row r="119" spans="1:7">
      <c r="A119" s="174">
        <v>68133</v>
      </c>
      <c r="B119" s="40" t="s">
        <v>540</v>
      </c>
      <c r="C119" s="185" t="str">
        <f>IFERROR(LOOKUP(Table_MatL[[#This Row],[pour formule]],Annexe_Tarif_Code,Annexe_Tarif_unité),"")</f>
        <v>H</v>
      </c>
      <c r="D119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9" s="186">
        <f>IFERROR(LOOKUP(Table_MatL[[#This Row],[pour formule]],Annexe_Tarif_Code,Annexe_tarif_cout),"")</f>
        <v>3</v>
      </c>
      <c r="F119" s="41" t="s">
        <v>9</v>
      </c>
      <c r="G119" s="41"/>
    </row>
    <row r="120" spans="1:7">
      <c r="A120" s="174">
        <v>68141</v>
      </c>
      <c r="B120" s="40" t="s">
        <v>540</v>
      </c>
      <c r="C120" s="185" t="str">
        <f>IFERROR(LOOKUP(Table_MatL[[#This Row],[pour formule]],Annexe_Tarif_Code,Annexe_Tarif_unité),"")</f>
        <v>H</v>
      </c>
      <c r="D12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0" s="186">
        <f>IFERROR(LOOKUP(Table_MatL[[#This Row],[pour formule]],Annexe_Tarif_Code,Annexe_tarif_cout),"")</f>
        <v>3</v>
      </c>
      <c r="F120" s="41" t="s">
        <v>9</v>
      </c>
      <c r="G120" s="41"/>
    </row>
    <row r="121" spans="1:7">
      <c r="A121" s="174">
        <v>68145</v>
      </c>
      <c r="B121" s="40" t="s">
        <v>580</v>
      </c>
      <c r="C121" s="185" t="str">
        <f>IFERROR(LOOKUP(Table_MatL[[#This Row],[pour formule]],Annexe_Tarif_Code,Annexe_Tarif_unité),"")</f>
        <v>H</v>
      </c>
      <c r="D121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1" s="186">
        <f>IFERROR(LOOKUP(Table_MatL[[#This Row],[pour formule]],Annexe_Tarif_Code,Annexe_tarif_cout),"")</f>
        <v>3</v>
      </c>
      <c r="F121" s="41" t="s">
        <v>9</v>
      </c>
      <c r="G121" s="41" t="s">
        <v>547</v>
      </c>
    </row>
    <row r="122" spans="1:7">
      <c r="A122" s="174">
        <v>68150</v>
      </c>
      <c r="B122" s="36" t="s">
        <v>446</v>
      </c>
      <c r="C122" s="177" t="str">
        <f>IFERROR(LOOKUP(Table_MatL[[#This Row],[pour formule]],Annexe_Tarif_Code,Annexe_Tarif_unité),"")</f>
        <v>H</v>
      </c>
      <c r="D122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2" s="179">
        <f>IFERROR(LOOKUP(Table_MatL[[#This Row],[pour formule]],Annexe_Tarif_Code,Annexe_tarif_cout),"")</f>
        <v>3</v>
      </c>
      <c r="F122" s="41" t="s">
        <v>9</v>
      </c>
      <c r="G122" s="41" t="s">
        <v>547</v>
      </c>
    </row>
    <row r="123" spans="1:7">
      <c r="A123" s="174">
        <v>68157</v>
      </c>
      <c r="B123" s="40" t="s">
        <v>387</v>
      </c>
      <c r="C123" s="175" t="str">
        <f>IFERROR(LOOKUP(Table_MatL[[#This Row],[pour formule]],Annexe_Tarif_Code,Annexe_Tarif_unité),"")</f>
        <v>H</v>
      </c>
      <c r="D123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3" s="176">
        <f>IFERROR(LOOKUP(Table_MatL[[#This Row],[pour formule]],Annexe_Tarif_Code,Annexe_tarif_cout),"")</f>
        <v>3</v>
      </c>
      <c r="F123" s="37" t="s">
        <v>9</v>
      </c>
      <c r="G123" s="41"/>
    </row>
    <row r="124" spans="1:7">
      <c r="A124" s="174">
        <v>68158</v>
      </c>
      <c r="B124" s="36" t="s">
        <v>457</v>
      </c>
      <c r="C124" s="175" t="str">
        <f>IFERROR(LOOKUP(Table_MatL[[#This Row],[pour formule]],Annexe_Tarif_Code,Annexe_Tarif_unité),"")</f>
        <v>H</v>
      </c>
      <c r="D12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4" s="176">
        <f>IFERROR(LOOKUP(Table_MatL[[#This Row],[pour formule]],Annexe_Tarif_Code,Annexe_tarif_cout),"")</f>
        <v>3</v>
      </c>
      <c r="F124" s="37" t="s">
        <v>9</v>
      </c>
      <c r="G124" s="41"/>
    </row>
    <row r="125" spans="1:7">
      <c r="A125" s="174">
        <v>68192</v>
      </c>
      <c r="B125" s="40" t="s">
        <v>540</v>
      </c>
      <c r="C125" s="185" t="str">
        <f>IFERROR(LOOKUP(Table_MatL[[#This Row],[pour formule]],Annexe_Tarif_Code,Annexe_Tarif_unité),"")</f>
        <v>H</v>
      </c>
      <c r="D12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5" s="186">
        <f>IFERROR(LOOKUP(Table_MatL[[#This Row],[pour formule]],Annexe_Tarif_Code,Annexe_tarif_cout),"")</f>
        <v>3</v>
      </c>
      <c r="F125" s="41" t="s">
        <v>9</v>
      </c>
      <c r="G125" s="41"/>
    </row>
    <row r="126" spans="1:7">
      <c r="A126" s="174">
        <v>68196</v>
      </c>
      <c r="B126" s="40" t="s">
        <v>540</v>
      </c>
      <c r="C126" s="185" t="str">
        <f>IFERROR(LOOKUP(Table_MatL[[#This Row],[pour formule]],Annexe_Tarif_Code,Annexe_Tarif_unité),"")</f>
        <v>H</v>
      </c>
      <c r="D126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6" s="186">
        <f>IFERROR(LOOKUP(Table_MatL[[#This Row],[pour formule]],Annexe_Tarif_Code,Annexe_tarif_cout),"")</f>
        <v>3</v>
      </c>
      <c r="F126" s="41" t="s">
        <v>9</v>
      </c>
      <c r="G126" s="41" t="s">
        <v>547</v>
      </c>
    </row>
    <row r="127" spans="1:7">
      <c r="A127" s="174">
        <v>68200</v>
      </c>
      <c r="B127" s="40" t="s">
        <v>387</v>
      </c>
      <c r="C127" s="175" t="str">
        <f>IFERROR(LOOKUP(Table_MatL[[#This Row],[pour formule]],Annexe_Tarif_Code,Annexe_Tarif_unité),"")</f>
        <v>H</v>
      </c>
      <c r="D127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7" s="176">
        <f>IFERROR(LOOKUP(Table_MatL[[#This Row],[pour formule]],Annexe_Tarif_Code,Annexe_tarif_cout),"")</f>
        <v>3</v>
      </c>
      <c r="F127" s="37" t="s">
        <v>9</v>
      </c>
      <c r="G127" s="41"/>
    </row>
    <row r="128" spans="1:7">
      <c r="A128" s="174">
        <v>68201</v>
      </c>
      <c r="B128" s="40" t="s">
        <v>387</v>
      </c>
      <c r="C128" s="175" t="str">
        <f>IFERROR(LOOKUP(Table_MatL[[#This Row],[pour formule]],Annexe_Tarif_Code,Annexe_Tarif_unité),"")</f>
        <v>H</v>
      </c>
      <c r="D12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8" s="176">
        <f>IFERROR(LOOKUP(Table_MatL[[#This Row],[pour formule]],Annexe_Tarif_Code,Annexe_tarif_cout),"")</f>
        <v>3</v>
      </c>
      <c r="F128" s="37" t="s">
        <v>9</v>
      </c>
      <c r="G128" s="41"/>
    </row>
    <row r="129" spans="1:7">
      <c r="A129" s="174">
        <v>68202</v>
      </c>
      <c r="B129" s="40" t="s">
        <v>378</v>
      </c>
      <c r="C129" s="175" t="str">
        <f>IFERROR(LOOKUP(Table_MatL[[#This Row],[pour formule]],Annexe_Tarif_Code,Annexe_Tarif_unité),"")</f>
        <v>H</v>
      </c>
      <c r="D129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9" s="176">
        <f>IFERROR(LOOKUP(Table_MatL[[#This Row],[pour formule]],Annexe_Tarif_Code,Annexe_tarif_cout),"")</f>
        <v>3</v>
      </c>
      <c r="F129" s="37" t="s">
        <v>9</v>
      </c>
      <c r="G129" s="41"/>
    </row>
    <row r="130" spans="1:7">
      <c r="A130" s="174">
        <v>68203</v>
      </c>
      <c r="B130" s="40" t="s">
        <v>540</v>
      </c>
      <c r="C130" s="185" t="str">
        <f>IFERROR(LOOKUP(Table_MatL[[#This Row],[pour formule]],Annexe_Tarif_Code,Annexe_Tarif_unité),"")</f>
        <v>H</v>
      </c>
      <c r="D13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0" s="186">
        <f>IFERROR(LOOKUP(Table_MatL[[#This Row],[pour formule]],Annexe_Tarif_Code,Annexe_tarif_cout),"")</f>
        <v>3</v>
      </c>
      <c r="F130" s="41" t="s">
        <v>9</v>
      </c>
      <c r="G130" s="41"/>
    </row>
    <row r="131" spans="1:7">
      <c r="A131" s="174">
        <v>68206</v>
      </c>
      <c r="B131" s="36" t="s">
        <v>457</v>
      </c>
      <c r="C131" s="175" t="str">
        <f>IFERROR(LOOKUP(Table_MatL[[#This Row],[pour formule]],Annexe_Tarif_Code,Annexe_Tarif_unité),"")</f>
        <v>H</v>
      </c>
      <c r="D131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1" s="176">
        <f>IFERROR(LOOKUP(Table_MatL[[#This Row],[pour formule]],Annexe_Tarif_Code,Annexe_tarif_cout),"")</f>
        <v>3</v>
      </c>
      <c r="F131" s="37" t="s">
        <v>9</v>
      </c>
      <c r="G131" s="41"/>
    </row>
    <row r="132" spans="1:7">
      <c r="A132" s="174">
        <v>68207</v>
      </c>
      <c r="B132" s="40" t="s">
        <v>378</v>
      </c>
      <c r="C132" s="175" t="str">
        <f>IFERROR(LOOKUP(Table_MatL[[#This Row],[pour formule]],Annexe_Tarif_Code,Annexe_Tarif_unité),"")</f>
        <v>H</v>
      </c>
      <c r="D132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2" s="176">
        <f>IFERROR(LOOKUP(Table_MatL[[#This Row],[pour formule]],Annexe_Tarif_Code,Annexe_tarif_cout),"")</f>
        <v>3</v>
      </c>
      <c r="F132" s="37" t="s">
        <v>9</v>
      </c>
      <c r="G132" s="41"/>
    </row>
    <row r="133" spans="1:7">
      <c r="A133" s="174">
        <v>68208</v>
      </c>
      <c r="B133" s="36" t="s">
        <v>447</v>
      </c>
      <c r="C133" s="177" t="str">
        <f>IFERROR(LOOKUP(Table_MatL[[#This Row],[pour formule]],Annexe_Tarif_Code,Annexe_Tarif_unité),"")</f>
        <v>H</v>
      </c>
      <c r="D133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3" s="179">
        <f>IFERROR(LOOKUP(Table_MatL[[#This Row],[pour formule]],Annexe_Tarif_Code,Annexe_tarif_cout),"")</f>
        <v>3</v>
      </c>
      <c r="F133" s="41" t="s">
        <v>9</v>
      </c>
      <c r="G133" s="41"/>
    </row>
    <row r="134" spans="1:7">
      <c r="A134" s="174">
        <v>68214</v>
      </c>
      <c r="B134" s="36" t="s">
        <v>457</v>
      </c>
      <c r="C134" s="175" t="str">
        <f>IFERROR(LOOKUP(Table_MatL[[#This Row],[pour formule]],Annexe_Tarif_Code,Annexe_Tarif_unité),"")</f>
        <v>H</v>
      </c>
      <c r="D13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4" s="176">
        <f>IFERROR(LOOKUP(Table_MatL[[#This Row],[pour formule]],Annexe_Tarif_Code,Annexe_tarif_cout),"")</f>
        <v>3</v>
      </c>
      <c r="F134" s="37" t="s">
        <v>9</v>
      </c>
      <c r="G134" s="41"/>
    </row>
    <row r="135" spans="1:7">
      <c r="A135" s="174">
        <v>68216</v>
      </c>
      <c r="B135" s="40" t="s">
        <v>379</v>
      </c>
      <c r="C135" s="175" t="str">
        <f>IFERROR(LOOKUP(Table_MatL[[#This Row],[pour formule]],Annexe_Tarif_Code,Annexe_Tarif_unité),"")</f>
        <v>H</v>
      </c>
      <c r="D135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5" s="176">
        <f>IFERROR(LOOKUP(Table_MatL[[#This Row],[pour formule]],Annexe_Tarif_Code,Annexe_tarif_cout),"")</f>
        <v>3</v>
      </c>
      <c r="F135" s="37" t="s">
        <v>9</v>
      </c>
      <c r="G135" s="41"/>
    </row>
    <row r="136" spans="1:7">
      <c r="A136" s="174">
        <v>68217</v>
      </c>
      <c r="B136" s="40" t="s">
        <v>540</v>
      </c>
      <c r="C136" s="185" t="str">
        <f>IFERROR(LOOKUP(Table_MatL[[#This Row],[pour formule]],Annexe_Tarif_Code,Annexe_Tarif_unité),"")</f>
        <v>H</v>
      </c>
      <c r="D136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6" s="186">
        <f>IFERROR(LOOKUP(Table_MatL[[#This Row],[pour formule]],Annexe_Tarif_Code,Annexe_tarif_cout),"")</f>
        <v>3</v>
      </c>
      <c r="F136" s="41" t="s">
        <v>9</v>
      </c>
      <c r="G136" s="41"/>
    </row>
    <row r="137" spans="1:7">
      <c r="A137" s="174">
        <v>68218</v>
      </c>
      <c r="B137" s="40" t="s">
        <v>388</v>
      </c>
      <c r="C137" s="175" t="str">
        <f>IFERROR(LOOKUP(Table_MatL[[#This Row],[pour formule]],Annexe_Tarif_Code,Annexe_Tarif_unité),"")</f>
        <v>H</v>
      </c>
      <c r="D137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7" s="176">
        <f>IFERROR(LOOKUP(Table_MatL[[#This Row],[pour formule]],Annexe_Tarif_Code,Annexe_tarif_cout),"")</f>
        <v>3</v>
      </c>
      <c r="F137" s="37" t="s">
        <v>9</v>
      </c>
      <c r="G137" s="41"/>
    </row>
    <row r="138" spans="1:7">
      <c r="A138" s="174">
        <v>68228</v>
      </c>
      <c r="B138" s="40" t="s">
        <v>388</v>
      </c>
      <c r="C138" s="175" t="str">
        <f>IFERROR(LOOKUP(Table_MatL[[#This Row],[pour formule]],Annexe_Tarif_Code,Annexe_Tarif_unité),"")</f>
        <v>H</v>
      </c>
      <c r="D13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8" s="176">
        <f>IFERROR(LOOKUP(Table_MatL[[#This Row],[pour formule]],Annexe_Tarif_Code,Annexe_tarif_cout),"")</f>
        <v>3</v>
      </c>
      <c r="F138" s="37" t="s">
        <v>9</v>
      </c>
      <c r="G138" s="41"/>
    </row>
    <row r="139" spans="1:7">
      <c r="A139" s="174">
        <v>68233</v>
      </c>
      <c r="B139" s="36" t="s">
        <v>457</v>
      </c>
      <c r="C139" s="175" t="str">
        <f>IFERROR(LOOKUP(Table_MatL[[#This Row],[pour formule]],Annexe_Tarif_Code,Annexe_Tarif_unité),"")</f>
        <v>H</v>
      </c>
      <c r="D139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9" s="176">
        <f>IFERROR(LOOKUP(Table_MatL[[#This Row],[pour formule]],Annexe_Tarif_Code,Annexe_tarif_cout),"")</f>
        <v>3</v>
      </c>
      <c r="F139" s="37" t="s">
        <v>9</v>
      </c>
      <c r="G139" s="41"/>
    </row>
    <row r="140" spans="1:7">
      <c r="A140" s="174">
        <v>68234</v>
      </c>
      <c r="B140" s="40" t="s">
        <v>379</v>
      </c>
      <c r="C140" s="175" t="str">
        <f>IFERROR(LOOKUP(Table_MatL[[#This Row],[pour formule]],Annexe_Tarif_Code,Annexe_Tarif_unité),"")</f>
        <v>H</v>
      </c>
      <c r="D140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0" s="176">
        <f>IFERROR(LOOKUP(Table_MatL[[#This Row],[pour formule]],Annexe_Tarif_Code,Annexe_tarif_cout),"")</f>
        <v>3</v>
      </c>
      <c r="F140" s="37" t="s">
        <v>9</v>
      </c>
      <c r="G140" s="41"/>
    </row>
    <row r="141" spans="1:7">
      <c r="A141" s="174">
        <v>68236</v>
      </c>
      <c r="B141" s="40" t="s">
        <v>388</v>
      </c>
      <c r="C141" s="175" t="str">
        <f>IFERROR(LOOKUP(Table_MatL[[#This Row],[pour formule]],Annexe_Tarif_Code,Annexe_Tarif_unité),"")</f>
        <v>H</v>
      </c>
      <c r="D141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1" s="176">
        <f>IFERROR(LOOKUP(Table_MatL[[#This Row],[pour formule]],Annexe_Tarif_Code,Annexe_tarif_cout),"")</f>
        <v>3</v>
      </c>
      <c r="F141" s="37" t="s">
        <v>9</v>
      </c>
      <c r="G141" s="41"/>
    </row>
    <row r="142" spans="1:7">
      <c r="A142" s="174">
        <v>69100</v>
      </c>
      <c r="B142" s="40" t="s">
        <v>541</v>
      </c>
      <c r="C142" s="185" t="str">
        <f>IFERROR(LOOKUP(Table_MatL[[#This Row],[pour formule]],Annexe_Tarif_Code,Annexe_Tarif_unité),"")</f>
        <v>H</v>
      </c>
      <c r="D142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2" s="186">
        <f>IFERROR(LOOKUP(Table_MatL[[#This Row],[pour formule]],Annexe_Tarif_Code,Annexe_tarif_cout),"")</f>
        <v>2</v>
      </c>
      <c r="F142" s="41" t="s">
        <v>9</v>
      </c>
      <c r="G142" s="41"/>
    </row>
    <row r="143" spans="1:7">
      <c r="A143" s="174">
        <v>69131</v>
      </c>
      <c r="B143" s="40" t="s">
        <v>380</v>
      </c>
      <c r="C143" s="175" t="str">
        <f>IFERROR(LOOKUP(Table_MatL[[#This Row],[pour formule]],Annexe_Tarif_Code,Annexe_Tarif_unité),"")</f>
        <v>H</v>
      </c>
      <c r="D143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3" s="176">
        <f>IFERROR(LOOKUP(Table_MatL[[#This Row],[pour formule]],Annexe_Tarif_Code,Annexe_tarif_cout),"")</f>
        <v>2</v>
      </c>
      <c r="F143" s="37" t="s">
        <v>9</v>
      </c>
      <c r="G143" s="41"/>
    </row>
    <row r="144" spans="1:7">
      <c r="A144" s="174">
        <v>69137</v>
      </c>
      <c r="B144" s="40" t="s">
        <v>541</v>
      </c>
      <c r="C144" s="185" t="str">
        <f>IFERROR(LOOKUP(Table_MatL[[#This Row],[pour formule]],Annexe_Tarif_Code,Annexe_Tarif_unité),"")</f>
        <v>H</v>
      </c>
      <c r="D144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4" s="186">
        <f>IFERROR(LOOKUP(Table_MatL[[#This Row],[pour formule]],Annexe_Tarif_Code,Annexe_tarif_cout),"")</f>
        <v>2</v>
      </c>
      <c r="F144" s="41" t="s">
        <v>9</v>
      </c>
      <c r="G144" s="41"/>
    </row>
    <row r="145" spans="1:7">
      <c r="A145" s="174">
        <v>69148</v>
      </c>
      <c r="B145" s="40" t="s">
        <v>541</v>
      </c>
      <c r="C145" s="185" t="str">
        <f>IFERROR(LOOKUP(Table_MatL[[#This Row],[pour formule]],Annexe_Tarif_Code,Annexe_Tarif_unité),"")</f>
        <v>H</v>
      </c>
      <c r="D14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5" s="186">
        <f>IFERROR(LOOKUP(Table_MatL[[#This Row],[pour formule]],Annexe_Tarif_Code,Annexe_tarif_cout),"")</f>
        <v>2</v>
      </c>
      <c r="F145" s="41" t="s">
        <v>9</v>
      </c>
      <c r="G145" s="41" t="s">
        <v>547</v>
      </c>
    </row>
    <row r="146" spans="1:7">
      <c r="A146" s="174">
        <v>69152</v>
      </c>
      <c r="B146" s="40" t="s">
        <v>541</v>
      </c>
      <c r="C146" s="185" t="str">
        <f>IFERROR(LOOKUP(Table_MatL[[#This Row],[pour formule]],Annexe_Tarif_Code,Annexe_Tarif_unité),"")</f>
        <v>H</v>
      </c>
      <c r="D146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6" s="186">
        <f>IFERROR(LOOKUP(Table_MatL[[#This Row],[pour formule]],Annexe_Tarif_Code,Annexe_tarif_cout),"")</f>
        <v>2</v>
      </c>
      <c r="F146" s="41" t="s">
        <v>9</v>
      </c>
      <c r="G146" s="41"/>
    </row>
    <row r="147" spans="1:7">
      <c r="A147" s="174">
        <v>69155</v>
      </c>
      <c r="B147" s="40" t="s">
        <v>541</v>
      </c>
      <c r="C147" s="185" t="str">
        <f>IFERROR(LOOKUP(Table_MatL[[#This Row],[pour formule]],Annexe_Tarif_Code,Annexe_Tarif_unité),"")</f>
        <v>H</v>
      </c>
      <c r="D14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7" s="186">
        <f>IFERROR(LOOKUP(Table_MatL[[#This Row],[pour formule]],Annexe_Tarif_Code,Annexe_tarif_cout),"")</f>
        <v>2</v>
      </c>
      <c r="F147" s="41" t="s">
        <v>9</v>
      </c>
      <c r="G147" s="41"/>
    </row>
    <row r="148" spans="1:7">
      <c r="A148" s="174">
        <v>69159</v>
      </c>
      <c r="B148" s="40" t="s">
        <v>541</v>
      </c>
      <c r="C148" s="185" t="str">
        <f>IFERROR(LOOKUP(Table_MatL[[#This Row],[pour formule]],Annexe_Tarif_Code,Annexe_Tarif_unité),"")</f>
        <v>H</v>
      </c>
      <c r="D148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8" s="186">
        <f>IFERROR(LOOKUP(Table_MatL[[#This Row],[pour formule]],Annexe_Tarif_Code,Annexe_tarif_cout),"")</f>
        <v>2</v>
      </c>
      <c r="F148" s="41" t="s">
        <v>9</v>
      </c>
      <c r="G148" s="41"/>
    </row>
    <row r="149" spans="1:7">
      <c r="A149" s="174">
        <v>69161</v>
      </c>
      <c r="B149" s="36" t="s">
        <v>458</v>
      </c>
      <c r="C149" s="175" t="str">
        <f>IFERROR(LOOKUP(Table_MatL[[#This Row],[pour formule]],Annexe_Tarif_Code,Annexe_Tarif_unité),"")</f>
        <v>H</v>
      </c>
      <c r="D149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9" s="176">
        <f>IFERROR(LOOKUP(Table_MatL[[#This Row],[pour formule]],Annexe_Tarif_Code,Annexe_tarif_cout),"")</f>
        <v>2</v>
      </c>
      <c r="F149" s="37" t="s">
        <v>9</v>
      </c>
      <c r="G149" s="41"/>
    </row>
    <row r="150" spans="1:7">
      <c r="A150" s="174">
        <v>70142</v>
      </c>
      <c r="B150" s="40" t="s">
        <v>542</v>
      </c>
      <c r="C150" s="185" t="str">
        <f>IFERROR(LOOKUP(Table_MatL[[#This Row],[pour formule]],Annexe_Tarif_Code,Annexe_Tarif_unité),"")</f>
        <v>H</v>
      </c>
      <c r="D15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0" s="186">
        <f>IFERROR(LOOKUP(Table_MatL[[#This Row],[pour formule]],Annexe_Tarif_Code,Annexe_tarif_cout),"")</f>
        <v>5</v>
      </c>
      <c r="F150" s="41" t="s">
        <v>9</v>
      </c>
      <c r="G150" s="41"/>
    </row>
    <row r="151" spans="1:7">
      <c r="A151" s="174">
        <v>70144</v>
      </c>
      <c r="B151" s="40" t="s">
        <v>389</v>
      </c>
      <c r="C151" s="175" t="str">
        <f>IFERROR(LOOKUP(Table_MatL[[#This Row],[pour formule]],Annexe_Tarif_Code,Annexe_Tarif_unité),"")</f>
        <v>H</v>
      </c>
      <c r="D151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1" s="176">
        <f>IFERROR(LOOKUP(Table_MatL[[#This Row],[pour formule]],Annexe_Tarif_Code,Annexe_tarif_cout),"")</f>
        <v>5</v>
      </c>
      <c r="F151" s="37" t="s">
        <v>9</v>
      </c>
      <c r="G151" s="41"/>
    </row>
    <row r="152" spans="1:7">
      <c r="A152" s="174">
        <v>70156</v>
      </c>
      <c r="B152" s="40" t="s">
        <v>542</v>
      </c>
      <c r="C152" s="185" t="str">
        <f>IFERROR(LOOKUP(Table_MatL[[#This Row],[pour formule]],Annexe_Tarif_Code,Annexe_Tarif_unité),"")</f>
        <v>H</v>
      </c>
      <c r="D152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2" s="186">
        <f>IFERROR(LOOKUP(Table_MatL[[#This Row],[pour formule]],Annexe_Tarif_Code,Annexe_tarif_cout),"")</f>
        <v>5</v>
      </c>
      <c r="F152" s="41" t="s">
        <v>9</v>
      </c>
      <c r="G152" s="41"/>
    </row>
    <row r="153" spans="1:7">
      <c r="A153" s="174">
        <v>70157</v>
      </c>
      <c r="B153" s="40" t="s">
        <v>542</v>
      </c>
      <c r="C153" s="185" t="str">
        <f>IFERROR(LOOKUP(Table_MatL[[#This Row],[pour formule]],Annexe_Tarif_Code,Annexe_Tarif_unité),"")</f>
        <v>H</v>
      </c>
      <c r="D153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3" s="186">
        <f>IFERROR(LOOKUP(Table_MatL[[#This Row],[pour formule]],Annexe_Tarif_Code,Annexe_tarif_cout),"")</f>
        <v>5</v>
      </c>
      <c r="F153" s="41" t="s">
        <v>9</v>
      </c>
      <c r="G153" s="41"/>
    </row>
    <row r="154" spans="1:7">
      <c r="A154" s="174">
        <v>70158</v>
      </c>
      <c r="B154" s="36" t="s">
        <v>459</v>
      </c>
      <c r="C154" s="175" t="str">
        <f>IFERROR(LOOKUP(Table_MatL[[#This Row],[pour formule]],Annexe_Tarif_Code,Annexe_Tarif_unité),"")</f>
        <v>H</v>
      </c>
      <c r="D15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4" s="176">
        <f>IFERROR(LOOKUP(Table_MatL[[#This Row],[pour formule]],Annexe_Tarif_Code,Annexe_tarif_cout),"")</f>
        <v>5</v>
      </c>
      <c r="F154" s="37" t="s">
        <v>9</v>
      </c>
      <c r="G154" s="41"/>
    </row>
    <row r="155" spans="1:7">
      <c r="A155" s="174">
        <v>70164</v>
      </c>
      <c r="B155" s="36" t="s">
        <v>459</v>
      </c>
      <c r="C155" s="175" t="str">
        <f>IFERROR(LOOKUP(Table_MatL[[#This Row],[pour formule]],Annexe_Tarif_Code,Annexe_Tarif_unité),"")</f>
        <v>H</v>
      </c>
      <c r="D155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5" s="176">
        <f>IFERROR(LOOKUP(Table_MatL[[#This Row],[pour formule]],Annexe_Tarif_Code,Annexe_tarif_cout),"")</f>
        <v>5</v>
      </c>
      <c r="F155" s="37" t="s">
        <v>9</v>
      </c>
      <c r="G155" s="41"/>
    </row>
    <row r="156" spans="1:7">
      <c r="A156" s="174">
        <v>70167</v>
      </c>
      <c r="B156" s="36" t="s">
        <v>459</v>
      </c>
      <c r="C156" s="175" t="str">
        <f>IFERROR(LOOKUP(Table_MatL[[#This Row],[pour formule]],Annexe_Tarif_Code,Annexe_Tarif_unité),"")</f>
        <v>H</v>
      </c>
      <c r="D156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6" s="176">
        <f>IFERROR(LOOKUP(Table_MatL[[#This Row],[pour formule]],Annexe_Tarif_Code,Annexe_tarif_cout),"")</f>
        <v>5</v>
      </c>
      <c r="F156" s="37" t="s">
        <v>9</v>
      </c>
      <c r="G156" s="41"/>
    </row>
    <row r="157" spans="1:7">
      <c r="A157" s="174">
        <v>70169</v>
      </c>
      <c r="B157" s="40" t="s">
        <v>542</v>
      </c>
      <c r="C157" s="185" t="str">
        <f>IFERROR(LOOKUP(Table_MatL[[#This Row],[pour formule]],Annexe_Tarif_Code,Annexe_Tarif_unité),"")</f>
        <v>H</v>
      </c>
      <c r="D15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7" s="186">
        <f>IFERROR(LOOKUP(Table_MatL[[#This Row],[pour formule]],Annexe_Tarif_Code,Annexe_tarif_cout),"")</f>
        <v>5</v>
      </c>
      <c r="F157" s="41" t="s">
        <v>9</v>
      </c>
      <c r="G157" s="41"/>
    </row>
    <row r="158" spans="1:7">
      <c r="A158" s="174">
        <v>70171</v>
      </c>
      <c r="B158" s="40" t="s">
        <v>389</v>
      </c>
      <c r="C158" s="175" t="str">
        <f>IFERROR(LOOKUP(Table_MatL[[#This Row],[pour formule]],Annexe_Tarif_Code,Annexe_Tarif_unité),"")</f>
        <v>H</v>
      </c>
      <c r="D15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8" s="176">
        <f>IFERROR(LOOKUP(Table_MatL[[#This Row],[pour formule]],Annexe_Tarif_Code,Annexe_tarif_cout),"")</f>
        <v>5</v>
      </c>
      <c r="F158" s="37" t="s">
        <v>9</v>
      </c>
      <c r="G158" s="41"/>
    </row>
    <row r="159" spans="1:7">
      <c r="A159" s="174">
        <v>70181</v>
      </c>
      <c r="B159" s="40" t="s">
        <v>381</v>
      </c>
      <c r="C159" s="175" t="str">
        <f>IFERROR(LOOKUP(Table_MatL[[#This Row],[pour formule]],Annexe_Tarif_Code,Annexe_Tarif_unité),"")</f>
        <v>H</v>
      </c>
      <c r="D159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9" s="176">
        <f>IFERROR(LOOKUP(Table_MatL[[#This Row],[pour formule]],Annexe_Tarif_Code,Annexe_tarif_cout),"")</f>
        <v>5</v>
      </c>
      <c r="F159" s="37" t="s">
        <v>9</v>
      </c>
      <c r="G159" s="41"/>
    </row>
    <row r="160" spans="1:7">
      <c r="A160" s="174">
        <v>70183</v>
      </c>
      <c r="B160" s="40" t="s">
        <v>389</v>
      </c>
      <c r="C160" s="175" t="str">
        <f>IFERROR(LOOKUP(Table_MatL[[#This Row],[pour formule]],Annexe_Tarif_Code,Annexe_Tarif_unité),"")</f>
        <v>H</v>
      </c>
      <c r="D160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0" s="176">
        <f>IFERROR(LOOKUP(Table_MatL[[#This Row],[pour formule]],Annexe_Tarif_Code,Annexe_tarif_cout),"")</f>
        <v>5</v>
      </c>
      <c r="F160" s="37" t="s">
        <v>9</v>
      </c>
      <c r="G160" s="41"/>
    </row>
    <row r="161" spans="1:7">
      <c r="A161" s="174">
        <v>70184</v>
      </c>
      <c r="B161" s="36" t="s">
        <v>441</v>
      </c>
      <c r="C161" s="177" t="str">
        <f>IFERROR(LOOKUP(Table_MatL[[#This Row],[pour formule]],Annexe_Tarif_Code,Annexe_Tarif_unité),"")</f>
        <v>H</v>
      </c>
      <c r="D161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1" s="179">
        <f>IFERROR(LOOKUP(Table_MatL[[#This Row],[pour formule]],Annexe_Tarif_Code,Annexe_tarif_cout),"")</f>
        <v>5</v>
      </c>
      <c r="F161" s="41" t="s">
        <v>9</v>
      </c>
      <c r="G161" s="41"/>
    </row>
    <row r="162" spans="1:7">
      <c r="A162" s="174">
        <v>70185</v>
      </c>
      <c r="B162" s="40" t="s">
        <v>441</v>
      </c>
      <c r="C162" s="175" t="str">
        <f>IFERROR(LOOKUP(Table_MatL[[#This Row],[pour formule]],Annexe_Tarif_Code,Annexe_Tarif_unité),"")</f>
        <v>H</v>
      </c>
      <c r="D162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2" s="176">
        <f>IFERROR(LOOKUP(Table_MatL[[#This Row],[pour formule]],Annexe_Tarif_Code,Annexe_tarif_cout),"")</f>
        <v>5</v>
      </c>
      <c r="F162" s="41" t="s">
        <v>9</v>
      </c>
      <c r="G162" s="41" t="s">
        <v>547</v>
      </c>
    </row>
    <row r="163" spans="1:7">
      <c r="A163" s="174">
        <v>70191</v>
      </c>
      <c r="B163" s="36" t="s">
        <v>441</v>
      </c>
      <c r="C163" s="177" t="str">
        <f>IFERROR(LOOKUP(Table_MatL[[#This Row],[pour formule]],Annexe_Tarif_Code,Annexe_Tarif_unité),"")</f>
        <v>H</v>
      </c>
      <c r="D163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3" s="179">
        <f>IFERROR(LOOKUP(Table_MatL[[#This Row],[pour formule]],Annexe_Tarif_Code,Annexe_tarif_cout),"")</f>
        <v>5</v>
      </c>
      <c r="F163" s="41" t="s">
        <v>9</v>
      </c>
      <c r="G163" s="41"/>
    </row>
    <row r="164" spans="1:7">
      <c r="A164" s="174">
        <v>70193</v>
      </c>
      <c r="B164" s="40" t="s">
        <v>542</v>
      </c>
      <c r="C164" s="185" t="str">
        <f>IFERROR(LOOKUP(Table_MatL[[#This Row],[pour formule]],Annexe_Tarif_Code,Annexe_Tarif_unité),"")</f>
        <v>H</v>
      </c>
      <c r="D164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4" s="186">
        <f>IFERROR(LOOKUP(Table_MatL[[#This Row],[pour formule]],Annexe_Tarif_Code,Annexe_tarif_cout),"")</f>
        <v>5</v>
      </c>
      <c r="F164" s="41" t="s">
        <v>9</v>
      </c>
      <c r="G164" s="41"/>
    </row>
    <row r="165" spans="1:7">
      <c r="A165" s="174">
        <v>70196</v>
      </c>
      <c r="B165" s="40" t="s">
        <v>389</v>
      </c>
      <c r="C165" s="175" t="str">
        <f>IFERROR(LOOKUP(Table_MatL[[#This Row],[pour formule]],Annexe_Tarif_Code,Annexe_Tarif_unité),"")</f>
        <v>H</v>
      </c>
      <c r="D165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5" s="176">
        <f>IFERROR(LOOKUP(Table_MatL[[#This Row],[pour formule]],Annexe_Tarif_Code,Annexe_tarif_cout),"")</f>
        <v>5</v>
      </c>
      <c r="F165" s="37" t="s">
        <v>9</v>
      </c>
      <c r="G165" s="41"/>
    </row>
    <row r="166" spans="1:7">
      <c r="A166" s="174">
        <v>70197</v>
      </c>
      <c r="B166" s="40" t="s">
        <v>542</v>
      </c>
      <c r="C166" s="185" t="str">
        <f>IFERROR(LOOKUP(Table_MatL[[#This Row],[pour formule]],Annexe_Tarif_Code,Annexe_Tarif_unité),"")</f>
        <v>H</v>
      </c>
      <c r="D166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6" s="186">
        <f>IFERROR(LOOKUP(Table_MatL[[#This Row],[pour formule]],Annexe_Tarif_Code,Annexe_tarif_cout),"")</f>
        <v>5</v>
      </c>
      <c r="F166" s="41" t="s">
        <v>9</v>
      </c>
      <c r="G166" s="41"/>
    </row>
    <row r="167" spans="1:7">
      <c r="A167" s="174">
        <v>70200</v>
      </c>
      <c r="B167" s="40" t="s">
        <v>542</v>
      </c>
      <c r="C167" s="185" t="str">
        <f>IFERROR(LOOKUP(Table_MatL[[#This Row],[pour formule]],Annexe_Tarif_Code,Annexe_Tarif_unité),"")</f>
        <v>H</v>
      </c>
      <c r="D167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7" s="186">
        <f>IFERROR(LOOKUP(Table_MatL[[#This Row],[pour formule]],Annexe_Tarif_Code,Annexe_tarif_cout),"")</f>
        <v>5</v>
      </c>
      <c r="F167" s="41" t="s">
        <v>9</v>
      </c>
      <c r="G167" s="41"/>
    </row>
    <row r="168" spans="1:7">
      <c r="A168" s="174">
        <v>70214</v>
      </c>
      <c r="B168" s="40" t="s">
        <v>542</v>
      </c>
      <c r="C168" s="185" t="str">
        <f>IFERROR(LOOKUP(Table_MatL[[#This Row],[pour formule]],Annexe_Tarif_Code,Annexe_Tarif_unité),"")</f>
        <v>H</v>
      </c>
      <c r="D168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8" s="186">
        <f>IFERROR(LOOKUP(Table_MatL[[#This Row],[pour formule]],Annexe_Tarif_Code,Annexe_tarif_cout),"")</f>
        <v>5</v>
      </c>
      <c r="F168" s="41" t="s">
        <v>9</v>
      </c>
      <c r="G168" s="41"/>
    </row>
    <row r="169" spans="1:7">
      <c r="A169" s="174">
        <v>70224</v>
      </c>
      <c r="B169" s="40" t="s">
        <v>542</v>
      </c>
      <c r="C169" s="185" t="str">
        <f>IFERROR(LOOKUP(Table_MatL[[#This Row],[pour formule]],Annexe_Tarif_Code,Annexe_Tarif_unité),"")</f>
        <v>H</v>
      </c>
      <c r="D169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9" s="186">
        <f>IFERROR(LOOKUP(Table_MatL[[#This Row],[pour formule]],Annexe_Tarif_Code,Annexe_tarif_cout),"")</f>
        <v>5</v>
      </c>
      <c r="F169" s="41" t="s">
        <v>9</v>
      </c>
      <c r="G169" s="41"/>
    </row>
    <row r="170" spans="1:7">
      <c r="A170" s="174">
        <v>70225</v>
      </c>
      <c r="B170" s="36" t="s">
        <v>459</v>
      </c>
      <c r="C170" s="175" t="str">
        <f>IFERROR(LOOKUP(Table_MatL[[#This Row],[pour formule]],Annexe_Tarif_Code,Annexe_Tarif_unité),"")</f>
        <v>H</v>
      </c>
      <c r="D170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0" s="176">
        <f>IFERROR(LOOKUP(Table_MatL[[#This Row],[pour formule]],Annexe_Tarif_Code,Annexe_tarif_cout),"")</f>
        <v>5</v>
      </c>
      <c r="F170" s="37" t="s">
        <v>9</v>
      </c>
      <c r="G170" s="41"/>
    </row>
    <row r="171" spans="1:7">
      <c r="A171" s="174">
        <v>70234</v>
      </c>
      <c r="B171" s="36" t="s">
        <v>459</v>
      </c>
      <c r="C171" s="175" t="str">
        <f>IFERROR(LOOKUP(Table_MatL[[#This Row],[pour formule]],Annexe_Tarif_Code,Annexe_Tarif_unité),"")</f>
        <v>H</v>
      </c>
      <c r="D171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1" s="176">
        <f>IFERROR(LOOKUP(Table_MatL[[#This Row],[pour formule]],Annexe_Tarif_Code,Annexe_tarif_cout),"")</f>
        <v>5</v>
      </c>
      <c r="F171" s="37" t="s">
        <v>9</v>
      </c>
      <c r="G171" s="41"/>
    </row>
    <row r="172" spans="1:7">
      <c r="A172" s="174">
        <v>70235</v>
      </c>
      <c r="B172" s="40" t="s">
        <v>381</v>
      </c>
      <c r="C172" s="175" t="str">
        <f>IFERROR(LOOKUP(Table_MatL[[#This Row],[pour formule]],Annexe_Tarif_Code,Annexe_Tarif_unité),"")</f>
        <v>H</v>
      </c>
      <c r="D172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2" s="176">
        <f>IFERROR(LOOKUP(Table_MatL[[#This Row],[pour formule]],Annexe_Tarif_Code,Annexe_tarif_cout),"")</f>
        <v>5</v>
      </c>
      <c r="F172" s="37" t="s">
        <v>9</v>
      </c>
      <c r="G172" s="41"/>
    </row>
    <row r="173" spans="1:7">
      <c r="A173" s="174">
        <v>70237</v>
      </c>
      <c r="B173" s="40" t="s">
        <v>389</v>
      </c>
      <c r="C173" s="175" t="str">
        <f>IFERROR(LOOKUP(Table_MatL[[#This Row],[pour formule]],Annexe_Tarif_Code,Annexe_Tarif_unité),"")</f>
        <v>H</v>
      </c>
      <c r="D173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3" s="176">
        <f>IFERROR(LOOKUP(Table_MatL[[#This Row],[pour formule]],Annexe_Tarif_Code,Annexe_tarif_cout),"")</f>
        <v>5</v>
      </c>
      <c r="F173" s="37" t="s">
        <v>9</v>
      </c>
      <c r="G173" s="41"/>
    </row>
    <row r="174" spans="1:7">
      <c r="A174" s="174">
        <v>70238</v>
      </c>
      <c r="B174" s="40" t="s">
        <v>389</v>
      </c>
      <c r="C174" s="175" t="str">
        <f>IFERROR(LOOKUP(Table_MatL[[#This Row],[pour formule]],Annexe_Tarif_Code,Annexe_Tarif_unité),"")</f>
        <v>H</v>
      </c>
      <c r="D174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4" s="176">
        <f>IFERROR(LOOKUP(Table_MatL[[#This Row],[pour formule]],Annexe_Tarif_Code,Annexe_tarif_cout),"")</f>
        <v>5</v>
      </c>
      <c r="F174" s="37" t="s">
        <v>9</v>
      </c>
      <c r="G174" s="41"/>
    </row>
    <row r="175" spans="1:7">
      <c r="A175" s="174">
        <v>76026</v>
      </c>
      <c r="B175" s="40" t="s">
        <v>563</v>
      </c>
      <c r="C175" s="185" t="str">
        <f>IFERROR(LOOKUP(Table_MatL[[#This Row],[pour formule]],Annexe_Tarif_Code,Annexe_Tarif_unité),"")</f>
        <v>H</v>
      </c>
      <c r="D175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5" s="186">
        <f>IFERROR(LOOKUP(Table_MatL[[#This Row],[pour formule]],Annexe_Tarif_Code,Annexe_tarif_cout),"")</f>
        <v>2</v>
      </c>
      <c r="F175" s="41" t="s">
        <v>9</v>
      </c>
      <c r="G175" s="41"/>
    </row>
    <row r="176" spans="1:7">
      <c r="A176" s="174">
        <v>76036</v>
      </c>
      <c r="B176" s="40" t="s">
        <v>593</v>
      </c>
      <c r="C176" s="185" t="str">
        <f>IFERROR(LOOKUP(Table_MatL[[#This Row],[pour formule]],Annexe_Tarif_Code,Annexe_Tarif_unité),"")</f>
        <v>H</v>
      </c>
      <c r="D176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6" s="186">
        <f>IFERROR(LOOKUP(Table_MatL[[#This Row],[pour formule]],Annexe_Tarif_Code,Annexe_tarif_cout),"")</f>
        <v>2</v>
      </c>
      <c r="F176" s="41" t="s">
        <v>9</v>
      </c>
      <c r="G176" s="41"/>
    </row>
    <row r="177" spans="1:7">
      <c r="A177" s="174">
        <v>76043</v>
      </c>
      <c r="B177" s="36" t="s">
        <v>448</v>
      </c>
      <c r="C177" s="177" t="str">
        <f>IFERROR(LOOKUP(Table_MatL[[#This Row],[pour formule]],Annexe_Tarif_Code,Annexe_Tarif_unité),"")</f>
        <v>H</v>
      </c>
      <c r="D177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7" s="179">
        <f>IFERROR(LOOKUP(Table_MatL[[#This Row],[pour formule]],Annexe_Tarif_Code,Annexe_tarif_cout),"")</f>
        <v>2</v>
      </c>
      <c r="F177" s="41" t="s">
        <v>9</v>
      </c>
      <c r="G177" s="41"/>
    </row>
    <row r="178" spans="1:7">
      <c r="A178" s="174">
        <v>76046</v>
      </c>
      <c r="B178" s="36" t="s">
        <v>460</v>
      </c>
      <c r="C178" s="175" t="str">
        <f>IFERROR(LOOKUP(Table_MatL[[#This Row],[pour formule]],Annexe_Tarif_Code,Annexe_Tarif_unité),"")</f>
        <v>H</v>
      </c>
      <c r="D178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8" s="176">
        <f>IFERROR(LOOKUP(Table_MatL[[#This Row],[pour formule]],Annexe_Tarif_Code,Annexe_tarif_cout),"")</f>
        <v>2</v>
      </c>
      <c r="F178" s="37" t="s">
        <v>9</v>
      </c>
      <c r="G178" s="41"/>
    </row>
    <row r="179" spans="1:7">
      <c r="A179" s="174">
        <v>76050</v>
      </c>
      <c r="B179" s="40" t="s">
        <v>545</v>
      </c>
      <c r="C179" s="185" t="str">
        <f>IFERROR(LOOKUP(Table_MatL[[#This Row],[pour formule]],Annexe_Tarif_Code,Annexe_Tarif_unité),"")</f>
        <v>H</v>
      </c>
      <c r="D179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9" s="186">
        <f>IFERROR(LOOKUP(Table_MatL[[#This Row],[pour formule]],Annexe_Tarif_Code,Annexe_tarif_cout),"")</f>
        <v>2</v>
      </c>
      <c r="F179" s="41" t="s">
        <v>9</v>
      </c>
      <c r="G179" s="41"/>
    </row>
    <row r="180" spans="1:7">
      <c r="A180" s="174">
        <v>89004</v>
      </c>
      <c r="B180" s="40" t="s">
        <v>543</v>
      </c>
      <c r="C180" s="185" t="str">
        <f>IFERROR(LOOKUP(Table_MatL[[#This Row],[pour formule]],Annexe_Tarif_Code,Annexe_Tarif_unité),"")</f>
        <v>H</v>
      </c>
      <c r="D180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89</v>
      </c>
      <c r="E180" s="186">
        <f>IFERROR(LOOKUP(Table_MatL[[#This Row],[pour formule]],Annexe_Tarif_Code,Annexe_tarif_cout),"")</f>
        <v>5</v>
      </c>
      <c r="F180" s="41" t="s">
        <v>9</v>
      </c>
      <c r="G180" s="41"/>
    </row>
    <row r="181" spans="1:7">
      <c r="A181" s="174" t="s">
        <v>438</v>
      </c>
      <c r="B181" s="36" t="s">
        <v>439</v>
      </c>
      <c r="C181" s="177" t="str">
        <f>IFERROR(LOOKUP(Table_MatL[[#This Row],[pour formule]],Annexe_Tarif_Code,Annexe_Tarif_unité),"")</f>
        <v>H</v>
      </c>
      <c r="D181" s="17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181" s="179">
        <f>IFERROR(LOOKUP(Table_MatL[[#This Row],[pour formule]],Annexe_Tarif_Code,Annexe_tarif_cout),"")</f>
        <v>20</v>
      </c>
      <c r="F181" s="37" t="s">
        <v>9</v>
      </c>
      <c r="G181" s="41"/>
    </row>
    <row r="182" spans="1:7">
      <c r="A182" s="174" t="s">
        <v>548</v>
      </c>
      <c r="B182" s="40" t="s">
        <v>549</v>
      </c>
      <c r="C182" s="185" t="str">
        <f>IFERROR(LOOKUP(Table_MatL[[#This Row],[pour formule]],Annexe_Tarif_Code,Annexe_Tarif_unité),"")</f>
        <v>H</v>
      </c>
      <c r="D182" s="184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32072</v>
      </c>
      <c r="E182" s="186">
        <f>IFERROR(LOOKUP(Table_MatL[[#This Row],[pour formule]],Annexe_Tarif_Code,Annexe_tarif_cout),"")</f>
        <v>20</v>
      </c>
      <c r="F182" s="41" t="s">
        <v>9</v>
      </c>
      <c r="G182" s="41"/>
    </row>
    <row r="183" spans="1:7">
      <c r="A183" s="174" t="s">
        <v>383</v>
      </c>
      <c r="B183" s="40" t="s">
        <v>562</v>
      </c>
      <c r="C183" s="175" t="str">
        <f>IFERROR(LOOKUP(Table_MatL[[#This Row],[pour formule]],Annexe_Tarif_Code,Annexe_Tarif_unité),"")</f>
        <v>H</v>
      </c>
      <c r="D183" s="108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32073</v>
      </c>
      <c r="E183" s="176">
        <f>IFERROR(LOOKUP(Table_MatL[[#This Row],[pour formule]],Annexe_Tarif_Code,Annexe_tarif_cout),"")</f>
        <v>20</v>
      </c>
      <c r="F183" s="37" t="s">
        <v>9</v>
      </c>
      <c r="G183" s="41" t="s">
        <v>547</v>
      </c>
    </row>
  </sheetData>
  <sheetProtection formatCells="0" formatColumns="0" formatRows="0" insertColumns="0" insertRows="0" insertHyperlinks="0" deleteColumns="0" deleteRows="0" sort="0" autoFilter="0" pivotTables="0"/>
  <sortState ref="A2:J99">
    <sortCondition ref="A1"/>
  </sortState>
  <dataValidations count="5">
    <dataValidation type="list" allowBlank="1" showInputMessage="1" showErrorMessage="1" errorTitle="Erreur" error="La valeur que vous avez tapée n'est pas valide" prompt="O:Occasionnel_x000a_P:Permanent" sqref="F2:F183">
      <formula1>"O,P"</formula1>
    </dataValidation>
    <dataValidation type="list" allowBlank="1" showInputMessage="1" showErrorMessage="1" errorTitle="Erreur" error="La valeur que vous avez tapée n'est pas valide" sqref="C2:C183">
      <formula1>"H,Km"</formula1>
    </dataValidation>
    <dataValidation type="list" allowBlank="1" showInputMessage="1" showErrorMessage="1" errorTitle="Erreur" error="La valeur que vous avez tapée n'est pas valide" sqref="G2:G183">
      <formula1>" ,F"</formula1>
    </dataValidation>
    <dataValidation allowBlank="1" showInputMessage="1" showErrorMessage="1" errorTitle="Erreur" error="La valeur que vous avez tapée n'est pas valide" sqref="D1:D1048576"/>
    <dataValidation type="custom" allowBlank="1" showInputMessage="1" showErrorMessage="1" sqref="A2:A301">
      <formula1>COUNTIF($A$2:$A$301,$A2)=1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Header>&amp;C&amp;"-,Gras"&amp;20Liste du matériel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81FF81"/>
    <pageSetUpPr autoPageBreaks="0"/>
  </sheetPr>
  <dimension ref="A1:G18"/>
  <sheetViews>
    <sheetView showGridLines="0" zoomScale="145" zoomScaleNormal="145" workbookViewId="0">
      <pane xSplit="10" ySplit="19" topLeftCell="K20" activePane="bottomRight" state="frozen"/>
      <selection activeCell="F24" sqref="F24"/>
      <selection pane="topRight" activeCell="F24" sqref="F24"/>
      <selection pane="bottomLeft" activeCell="F24" sqref="F24"/>
      <selection pane="bottomRight" activeCell="E9" sqref="E9"/>
    </sheetView>
  </sheetViews>
  <sheetFormatPr baseColWidth="10" defaultRowHeight="15"/>
  <cols>
    <col min="1" max="1" width="11.42578125" style="68"/>
    <col min="2" max="2" width="6.5703125" style="67" customWidth="1"/>
    <col min="3" max="3" width="28.7109375" style="68" customWidth="1"/>
    <col min="4" max="4" width="8.140625" style="67" customWidth="1"/>
    <col min="5" max="5" width="12.7109375" style="93" customWidth="1"/>
    <col min="6" max="9" width="11.42578125" style="68"/>
    <col min="10" max="10" width="15.7109375" style="68" customWidth="1"/>
    <col min="11" max="11" width="11.42578125" style="68" customWidth="1"/>
    <col min="12" max="16384" width="11.42578125" style="68"/>
  </cols>
  <sheetData>
    <row r="1" spans="1:7" s="91" customFormat="1" ht="27" customHeight="1">
      <c r="A1" s="33" t="s">
        <v>31</v>
      </c>
      <c r="B1" s="33" t="s">
        <v>56</v>
      </c>
      <c r="C1" s="33" t="s">
        <v>55</v>
      </c>
      <c r="D1" s="33" t="s">
        <v>35</v>
      </c>
      <c r="E1" s="34" t="s">
        <v>36</v>
      </c>
    </row>
    <row r="2" spans="1:7">
      <c r="A2" s="39" t="s">
        <v>12</v>
      </c>
      <c r="B2" s="41" t="s">
        <v>10</v>
      </c>
      <c r="C2" s="40" t="s">
        <v>201</v>
      </c>
      <c r="D2" s="41" t="s">
        <v>13</v>
      </c>
      <c r="E2" s="42">
        <v>9.5</v>
      </c>
    </row>
    <row r="3" spans="1:7">
      <c r="A3" s="39" t="s">
        <v>14</v>
      </c>
      <c r="B3" s="41" t="s">
        <v>10</v>
      </c>
      <c r="C3" s="40" t="s">
        <v>202</v>
      </c>
      <c r="D3" s="41" t="s">
        <v>15</v>
      </c>
      <c r="E3" s="42">
        <v>115</v>
      </c>
    </row>
    <row r="4" spans="1:7">
      <c r="A4" s="39" t="s">
        <v>16</v>
      </c>
      <c r="B4" s="41" t="s">
        <v>10</v>
      </c>
      <c r="C4" s="40" t="s">
        <v>203</v>
      </c>
      <c r="D4" s="41" t="s">
        <v>13</v>
      </c>
      <c r="E4" s="42">
        <v>7</v>
      </c>
      <c r="G4" s="92"/>
    </row>
    <row r="5" spans="1:7">
      <c r="A5" s="39" t="s">
        <v>598</v>
      </c>
      <c r="B5" s="41" t="s">
        <v>10</v>
      </c>
      <c r="C5" s="40" t="s">
        <v>599</v>
      </c>
      <c r="D5" s="41" t="s">
        <v>11</v>
      </c>
      <c r="E5" s="42">
        <v>90</v>
      </c>
    </row>
    <row r="6" spans="1:7">
      <c r="A6" s="39" t="s">
        <v>17</v>
      </c>
      <c r="B6" s="41" t="s">
        <v>10</v>
      </c>
      <c r="C6" s="40" t="s">
        <v>204</v>
      </c>
      <c r="D6" s="41" t="s">
        <v>11</v>
      </c>
      <c r="E6" s="42">
        <v>78</v>
      </c>
    </row>
    <row r="7" spans="1:7">
      <c r="A7" s="39" t="s">
        <v>18</v>
      </c>
      <c r="B7" s="41" t="s">
        <v>9</v>
      </c>
      <c r="C7" s="40" t="s">
        <v>205</v>
      </c>
      <c r="D7" s="41" t="s">
        <v>11</v>
      </c>
      <c r="E7" s="42">
        <v>460</v>
      </c>
    </row>
    <row r="8" spans="1:7">
      <c r="A8" s="39" t="s">
        <v>596</v>
      </c>
      <c r="B8" s="41" t="s">
        <v>10</v>
      </c>
      <c r="C8" s="40" t="s">
        <v>597</v>
      </c>
      <c r="D8" s="41" t="s">
        <v>11</v>
      </c>
      <c r="E8" s="42">
        <v>11</v>
      </c>
    </row>
    <row r="9" spans="1:7">
      <c r="A9" s="39" t="s">
        <v>600</v>
      </c>
      <c r="B9" s="41" t="s">
        <v>9</v>
      </c>
      <c r="C9" s="40" t="s">
        <v>601</v>
      </c>
      <c r="D9" s="41" t="s">
        <v>11</v>
      </c>
      <c r="E9" s="42">
        <v>19</v>
      </c>
    </row>
    <row r="10" spans="1:7">
      <c r="A10" s="39" t="s">
        <v>19</v>
      </c>
      <c r="B10" s="41" t="s">
        <v>10</v>
      </c>
      <c r="C10" s="40" t="s">
        <v>206</v>
      </c>
      <c r="D10" s="41" t="s">
        <v>11</v>
      </c>
      <c r="E10" s="42">
        <v>23</v>
      </c>
    </row>
    <row r="11" spans="1:7" ht="15" customHeight="1">
      <c r="A11" s="39" t="s">
        <v>594</v>
      </c>
      <c r="B11" s="41" t="s">
        <v>10</v>
      </c>
      <c r="C11" s="40" t="s">
        <v>595</v>
      </c>
      <c r="D11" s="41" t="s">
        <v>11</v>
      </c>
      <c r="E11" s="42">
        <v>6.2</v>
      </c>
    </row>
    <row r="12" spans="1:7" ht="15" customHeight="1">
      <c r="A12" s="39" t="s">
        <v>520</v>
      </c>
      <c r="B12" s="41" t="s">
        <v>10</v>
      </c>
      <c r="C12" s="40" t="s">
        <v>521</v>
      </c>
      <c r="D12" s="41" t="s">
        <v>11</v>
      </c>
      <c r="E12" s="42">
        <v>35.340000000000003</v>
      </c>
    </row>
    <row r="13" spans="1:7" ht="15" customHeight="1">
      <c r="A13" s="39" t="s">
        <v>20</v>
      </c>
      <c r="B13" s="41" t="s">
        <v>9</v>
      </c>
      <c r="C13" s="40" t="s">
        <v>207</v>
      </c>
      <c r="D13" s="41" t="s">
        <v>15</v>
      </c>
      <c r="E13" s="42">
        <v>63</v>
      </c>
    </row>
    <row r="14" spans="1:7" ht="15" customHeight="1">
      <c r="A14" s="35" t="s">
        <v>21</v>
      </c>
      <c r="B14" s="37" t="s">
        <v>9</v>
      </c>
      <c r="C14" s="36" t="s">
        <v>208</v>
      </c>
      <c r="D14" s="37" t="s">
        <v>11</v>
      </c>
      <c r="E14" s="38">
        <v>70</v>
      </c>
    </row>
    <row r="15" spans="1:7" ht="15" customHeight="1">
      <c r="A15" s="35"/>
      <c r="B15" s="37"/>
      <c r="C15" s="36"/>
      <c r="D15" s="37"/>
      <c r="E15" s="38"/>
    </row>
    <row r="16" spans="1:7" ht="15" customHeight="1">
      <c r="A16" s="35"/>
      <c r="B16" s="37"/>
      <c r="C16" s="36"/>
      <c r="D16" s="37"/>
      <c r="E16" s="38"/>
    </row>
    <row r="17" spans="1:5" ht="15" customHeight="1">
      <c r="A17" s="35"/>
      <c r="B17" s="37"/>
      <c r="C17" s="36"/>
      <c r="D17" s="37"/>
      <c r="E17" s="38"/>
    </row>
    <row r="18" spans="1:5" ht="15" customHeight="1">
      <c r="A18" s="35"/>
      <c r="B18" s="37"/>
      <c r="C18" s="36"/>
      <c r="D18" s="37"/>
      <c r="E18" s="38"/>
    </row>
  </sheetData>
  <sheetProtection formatCells="0" formatColumns="0" formatRows="0" insertColumns="0" insertRows="0" insertHyperlinks="0" deleteColumns="0" deleteRows="0" sort="0" autoFilter="0" pivotTables="0"/>
  <sortState ref="A2:E18">
    <sortCondition ref="A2:A18"/>
  </sortState>
  <dataValidations count="3">
    <dataValidation type="custom" allowBlank="1" showErrorMessage="1" errorTitle="Doublon" error="Ce code est déjà créé" sqref="A2:A34">
      <formula1>COUNTIF($A$2:$A$34,$A2)=1</formula1>
    </dataValidation>
    <dataValidation type="list" allowBlank="1" showInputMessage="1" showErrorMessage="1" errorTitle="Erreur" error="La valeur que vous avez tapée n'est pas valide" sqref="B2:B18">
      <formula1>"E,P"</formula1>
    </dataValidation>
    <dataValidation type="list" allowBlank="1" sqref="D2:D18">
      <formula1>"T,U,M3"</formula1>
    </dataValidation>
  </dataValidations>
  <printOptions horizontalCentered="1"/>
  <pageMargins left="0.70866141732283472" right="0.70866141732283472" top="1.0236220472440944" bottom="0.74803149606299213" header="0.55118110236220474" footer="0.31496062992125984"/>
  <pageSetup paperSize="9" orientation="portrait" r:id="rId1"/>
  <headerFooter>
    <oddHeader>&amp;C&amp;"-,Gras"&amp;20Liste des matériaux</oddHead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9" tint="-0.249977111117893"/>
    <pageSetUpPr autoPageBreaks="0" fitToPage="1"/>
  </sheetPr>
  <dimension ref="A1:AA20"/>
  <sheetViews>
    <sheetView showGridLines="0" zoomScale="110" zoomScaleNormal="110" workbookViewId="0">
      <pane ySplit="1" topLeftCell="A2" activePane="bottomLeft" state="frozen"/>
      <selection activeCell="F24" sqref="F24"/>
      <selection pane="bottomLeft" activeCell="J18" sqref="J18"/>
    </sheetView>
  </sheetViews>
  <sheetFormatPr baseColWidth="10" defaultRowHeight="15"/>
  <cols>
    <col min="1" max="1" width="7.7109375" style="98" bestFit="1" customWidth="1"/>
    <col min="2" max="2" width="8.5703125" style="48" customWidth="1"/>
    <col min="3" max="3" width="11.42578125" style="182"/>
    <col min="4" max="4" width="8.85546875" style="48" customWidth="1"/>
    <col min="5" max="5" width="7.85546875" style="48" customWidth="1"/>
    <col min="6" max="6" width="8" style="192" customWidth="1"/>
    <col min="7" max="7" width="8.28515625" style="48" customWidth="1"/>
    <col min="8" max="8" width="9.5703125" style="193" customWidth="1"/>
    <col min="9" max="9" width="11.85546875" customWidth="1"/>
    <col min="10" max="10" width="10.140625" customWidth="1"/>
    <col min="11" max="11" width="3.5703125" customWidth="1"/>
    <col min="12" max="12" width="6.85546875" style="14" customWidth="1"/>
    <col min="13" max="13" width="9.140625" style="163" customWidth="1"/>
    <col min="14" max="14" width="9.140625" style="14" customWidth="1"/>
    <col min="15" max="15" width="12.28515625" style="1" customWidth="1"/>
    <col min="16" max="16" width="22.85546875" style="194" customWidth="1"/>
    <col min="17" max="17" width="5.7109375" style="195" customWidth="1"/>
    <col min="18" max="18" width="25" style="82" customWidth="1"/>
    <col min="19" max="19" width="8.5703125" customWidth="1"/>
    <col min="20" max="20" width="11.85546875" style="14" bestFit="1" customWidth="1"/>
    <col min="21" max="21" width="15.140625" bestFit="1" customWidth="1"/>
    <col min="22" max="22" width="12.5703125" customWidth="1"/>
    <col min="25" max="27" width="11.42578125" customWidth="1"/>
  </cols>
  <sheetData>
    <row r="1" spans="1:27" s="4" customFormat="1" ht="29.25" customHeight="1">
      <c r="A1" s="12" t="s">
        <v>26</v>
      </c>
      <c r="B1" s="83" t="s">
        <v>27</v>
      </c>
      <c r="C1" s="181" t="s">
        <v>0</v>
      </c>
      <c r="D1" s="83" t="s">
        <v>28</v>
      </c>
      <c r="E1" s="83" t="s">
        <v>41</v>
      </c>
      <c r="F1" s="196" t="s">
        <v>31</v>
      </c>
      <c r="G1" s="196" t="s">
        <v>30</v>
      </c>
      <c r="H1" s="60" t="s">
        <v>42</v>
      </c>
      <c r="I1" s="60" t="s">
        <v>43</v>
      </c>
      <c r="J1" s="60" t="s">
        <v>45</v>
      </c>
      <c r="K1" s="60" t="s">
        <v>101</v>
      </c>
      <c r="L1" s="60" t="s">
        <v>105</v>
      </c>
      <c r="M1" s="60" t="s">
        <v>98</v>
      </c>
      <c r="N1" s="60" t="s">
        <v>99</v>
      </c>
      <c r="O1" s="60" t="s">
        <v>49</v>
      </c>
      <c r="P1" s="60" t="s">
        <v>23</v>
      </c>
      <c r="Q1" s="60" t="s">
        <v>35</v>
      </c>
      <c r="R1" s="4" t="s">
        <v>143</v>
      </c>
      <c r="S1" s="4" t="s">
        <v>145</v>
      </c>
      <c r="T1" s="83" t="s">
        <v>231</v>
      </c>
      <c r="U1" s="4" t="s">
        <v>232</v>
      </c>
      <c r="W1" s="83"/>
      <c r="X1" s="83"/>
      <c r="Y1" s="83"/>
      <c r="Z1" s="83"/>
      <c r="AA1" s="83"/>
    </row>
    <row r="2" spans="1:27" s="4" customFormat="1" ht="15" customHeight="1">
      <c r="A2" s="13" t="s">
        <v>400</v>
      </c>
      <c r="B2" s="108" t="s">
        <v>327</v>
      </c>
      <c r="C2" s="208">
        <v>42005</v>
      </c>
      <c r="D2" s="209">
        <v>3200</v>
      </c>
      <c r="E2" s="207" t="s">
        <v>406</v>
      </c>
      <c r="F2" s="209">
        <v>4</v>
      </c>
      <c r="G2" s="169">
        <v>4.5</v>
      </c>
      <c r="H2" s="13">
        <f>IFERROR(IF(AND(Q2="H",E2="Pers"),LOOKUP(F2,Personnel_Code,Personnel_CoûtH),IF(AND(Q2="J",E2="Pers"),LOOKUP(F2,Personnel_Code,Personnel_CoûtJ),IF(E2="MatL",LOOKUP(F2,MatL_Code,MatL_Coût),IF(E2="MatX",LOOKUP(F2,MatX_Code,MatX_Prix),"")))),"")</f>
        <v>32.770000000000003</v>
      </c>
      <c r="I2" s="210">
        <f>IFERROR(G2*H2,"")</f>
        <v>147.465</v>
      </c>
      <c r="J2" s="13" t="str">
        <f>IF(H2="","non","")</f>
        <v/>
      </c>
      <c r="K2" s="16">
        <f>IF(C2="","",MONTH(C2))</f>
        <v>1</v>
      </c>
      <c r="L2" s="16">
        <f>IF(C2="","",YEAR(C2))</f>
        <v>2015</v>
      </c>
      <c r="M2" s="13" t="str">
        <f>IF(B2="","",LOOKUP(B2,Table_Chantiers[],Chantier_Centre1))</f>
        <v>CP DARN</v>
      </c>
      <c r="N2" s="13" t="str">
        <f>IF(B2="","",LOOKUP(B2,Table_Chantiers[],Chantier_Centre2))</f>
        <v>CS MIRE</v>
      </c>
      <c r="O2" s="13" t="str">
        <f>IF(B2="","",LOOKUP(B2,Table_Chantiers[],Chantier_UT))</f>
        <v>UT OUES</v>
      </c>
      <c r="P2" s="63" t="str">
        <f>IFERROR(IF(E2="Pers",LOOKUP(F2,Personnel_Code,Personnel_Lib),IF(E2="MatL",LOOKUP(F2,MatL_Code,MatL_Lib),IF(E2="MatX",LOOKUP(F2,MatX_Code,MatX_Lib),""))),"Cat. et Code non compatibles")</f>
        <v>REER</v>
      </c>
      <c r="Q2" s="13" t="str">
        <f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16" t="str">
        <f>IFERROR(IF(D2="","",LOOKUP(D2,Table_Tâches[],Tâches_CodeETLib)),"")</f>
        <v>03200   ING. VH</v>
      </c>
      <c r="S2" s="144">
        <f>IF(OR(C2="",G2=""),"",G2/(NETWORKDAYS(DATE(YEAR(C2),1,1),DATE(YEAR(C2),12,31))-Annexe!$E$17))</f>
        <v>1.7786561264822136E-2</v>
      </c>
      <c r="T2" s="207" t="str">
        <f t="shared" ref="T2" si="0">K2&amp; "/"&amp; L2</f>
        <v>1/2015</v>
      </c>
      <c r="U2" s="129">
        <v>3159</v>
      </c>
      <c r="W2" s="83"/>
      <c r="X2" s="83"/>
      <c r="Y2" s="83"/>
      <c r="Z2" s="83"/>
      <c r="AA2" s="83"/>
    </row>
    <row r="3" spans="1:27" s="4" customFormat="1" ht="15" customHeight="1">
      <c r="A3" s="13" t="s">
        <v>401</v>
      </c>
      <c r="B3" s="108" t="s">
        <v>287</v>
      </c>
      <c r="C3" s="208">
        <v>42005</v>
      </c>
      <c r="D3" s="209">
        <v>3200</v>
      </c>
      <c r="E3" s="207" t="s">
        <v>407</v>
      </c>
      <c r="F3" s="209">
        <v>3352</v>
      </c>
      <c r="G3" s="169">
        <v>201</v>
      </c>
      <c r="H3" s="13">
        <f>IFERROR(IF(AND(Q3="H",E3="Pers"),LOOKUP(F3,Personnel_Code,Personnel_CoûtH),IF(AND(Q3="J",E3="Pers"),LOOKUP(F3,Personnel_Code,Personnel_CoûtJ),IF(E3="MatL",LOOKUP(F3,MatL_Code,MatL_Coût),IF(E3="MatX",LOOKUP(F3,MatX_Code,MatX_Prix),"")))),"")</f>
        <v>0.56000000000000005</v>
      </c>
      <c r="I3" s="210">
        <f>IFERROR(G3*H3,"")</f>
        <v>112.56000000000002</v>
      </c>
      <c r="J3" s="13" t="str">
        <f>IF(H3="","non","")</f>
        <v/>
      </c>
      <c r="K3" s="16">
        <f>IF(C3="","",MONTH(C3))</f>
        <v>1</v>
      </c>
      <c r="L3" s="16">
        <f>IF(C3="","",YEAR(C3))</f>
        <v>2015</v>
      </c>
      <c r="M3" s="13" t="str">
        <f>IF(B3="","",LOOKUP(B3,Table_Chantiers[],Chantier_Centre1))</f>
        <v>CS MIRE</v>
      </c>
      <c r="N3" s="13" t="str">
        <f>IF(B3="","",LOOKUP(B3,Table_Chantiers[],Chantier_Centre2))</f>
        <v>CS MIRE</v>
      </c>
      <c r="O3" s="13" t="str">
        <f>IF(B3="","",LOOKUP(B3,Table_Chantiers[],Chantier_UT))</f>
        <v>UT OUES</v>
      </c>
      <c r="P3" s="63" t="str">
        <f>IFERROR(IF(E3="Pers",LOOKUP(F3,Personnel_Code,Personnel_Lib),IF(E3="MatL",LOOKUP(F3,MatL_Code,MatL_Lib),IF(E3="MatX",LOOKUP(F3,MatX_Code,MatX_Lib),""))),"Cat. et Code non compatibles")</f>
        <v>Kangoo Mirecourt</v>
      </c>
      <c r="Q3" s="13" t="str">
        <f>IFERROR(IF(AND(E3="Pers",RIGHT(B3,2)="13"),"J",IF(AND(E3="Pers",LEFT(B3,2)="UT"),"J",IF(AND(E3="Pers",RIGHT(B3,2)&lt;&gt;"13"),"H",IF(E3="MatL",LOOKUP(F3,MatL_Code,MatL_Unite),IF(E3="MatX",LOOKUP(F3,MatX_Code,MatX_Unite),""))))),"")</f>
        <v>Km</v>
      </c>
      <c r="R3" s="16" t="str">
        <f>IFERROR(IF(D3="","",LOOKUP(D3,Table_Tâches[],Tâches_CodeETLib)),"")</f>
        <v>03200   ING. VH</v>
      </c>
      <c r="S3" s="144">
        <f>IF(OR(C3="",G3=""),"",G3/(NETWORKDAYS(DATE(YEAR(C3),1,1),DATE(YEAR(C3),12,31))-Annexe!$E$17))</f>
        <v>0.7944664031620553</v>
      </c>
      <c r="T3" s="207" t="str">
        <f t="shared" ref="T3" si="1">K3&amp; "/"&amp; L3</f>
        <v>1/2015</v>
      </c>
      <c r="U3" s="129">
        <v>3158</v>
      </c>
      <c r="W3" s="83"/>
      <c r="X3" s="83"/>
      <c r="Y3" s="83"/>
      <c r="Z3" s="83"/>
      <c r="AA3" s="83"/>
    </row>
    <row r="4" spans="1:27" s="4" customFormat="1" ht="15" customHeight="1">
      <c r="A4" s="13" t="s">
        <v>402</v>
      </c>
      <c r="B4" s="108" t="s">
        <v>287</v>
      </c>
      <c r="C4" s="208">
        <v>42005</v>
      </c>
      <c r="D4" s="209">
        <v>3200</v>
      </c>
      <c r="E4" s="207" t="s">
        <v>406</v>
      </c>
      <c r="F4" s="209">
        <v>4</v>
      </c>
      <c r="G4" s="169">
        <v>1</v>
      </c>
      <c r="H4" s="13">
        <f>IFERROR(IF(AND(Q4="H",E4="Pers"),LOOKUP(F4,Personnel_Code,Personnel_CoûtH),IF(AND(Q4="J",E4="Pers"),LOOKUP(F4,Personnel_Code,Personnel_CoûtJ),IF(E4="MatL",LOOKUP(F4,MatL_Code,MatL_Coût),IF(E4="MatX",LOOKUP(F4,MatX_Code,MatX_Prix),"")))),"")</f>
        <v>32.770000000000003</v>
      </c>
      <c r="I4" s="210">
        <f>IFERROR(G4*H4,"")</f>
        <v>32.770000000000003</v>
      </c>
      <c r="J4" s="13" t="str">
        <f>IF(H4="","non","")</f>
        <v/>
      </c>
      <c r="K4" s="16">
        <f>IF(C4="","",MONTH(C4))</f>
        <v>1</v>
      </c>
      <c r="L4" s="16">
        <f>IF(C4="","",YEAR(C4))</f>
        <v>2015</v>
      </c>
      <c r="M4" s="13" t="str">
        <f>IF(B4="","",LOOKUP(B4,Table_Chantiers[],Chantier_Centre1))</f>
        <v>CS MIRE</v>
      </c>
      <c r="N4" s="13" t="str">
        <f>IF(B4="","",LOOKUP(B4,Table_Chantiers[],Chantier_Centre2))</f>
        <v>CS MIRE</v>
      </c>
      <c r="O4" s="13" t="str">
        <f>IF(B4="","",LOOKUP(B4,Table_Chantiers[],Chantier_UT))</f>
        <v>UT OUES</v>
      </c>
      <c r="P4" s="63" t="str">
        <f>IFERROR(IF(E4="Pers",LOOKUP(F4,Personnel_Code,Personnel_Lib),IF(E4="MatL",LOOKUP(F4,MatL_Code,MatL_Lib),IF(E4="MatX",LOOKUP(F4,MatX_Code,MatX_Lib),""))),"Cat. et Code non compatibles")</f>
        <v>REER</v>
      </c>
      <c r="Q4" s="13" t="str">
        <f>IFERROR(IF(AND(E4="Pers",RIGHT(B4,2)="13"),"J",IF(AND(E4="Pers",LEFT(B4,2)="UT"),"J",IF(AND(E4="Pers",RIGHT(B4,2)&lt;&gt;"13"),"H",IF(E4="MatL",LOOKUP(F4,MatL_Code,MatL_Unite),IF(E4="MatX",LOOKUP(F4,MatX_Code,MatX_Unite),""))))),"")</f>
        <v>H</v>
      </c>
      <c r="R4" s="16" t="str">
        <f>IFERROR(IF(D4="","",LOOKUP(D4,Table_Tâches[],Tâches_CodeETLib)),"")</f>
        <v>03200   ING. VH</v>
      </c>
      <c r="S4" s="144">
        <f>IF(OR(C4="",G4=""),"",G4/(NETWORKDAYS(DATE(YEAR(C4),1,1),DATE(YEAR(C4),12,31))-Annexe!$E$17))</f>
        <v>3.952569169960474E-3</v>
      </c>
      <c r="T4" s="207" t="str">
        <f t="shared" ref="T4" si="2">K4&amp; "/"&amp; L4</f>
        <v>1/2015</v>
      </c>
      <c r="U4" s="129">
        <v>3157</v>
      </c>
      <c r="W4" s="83"/>
      <c r="X4" s="83"/>
      <c r="Y4" s="83"/>
      <c r="Z4" s="83"/>
      <c r="AA4" s="83"/>
    </row>
    <row r="5" spans="1:27" s="4" customFormat="1" ht="15" customHeight="1">
      <c r="A5" s="13" t="s">
        <v>403</v>
      </c>
      <c r="B5" s="108" t="s">
        <v>287</v>
      </c>
      <c r="C5" s="208">
        <v>42005</v>
      </c>
      <c r="D5" s="209">
        <v>3200</v>
      </c>
      <c r="E5" s="207" t="s">
        <v>407</v>
      </c>
      <c r="F5" s="209">
        <v>3352</v>
      </c>
      <c r="G5" s="169">
        <v>20</v>
      </c>
      <c r="H5" s="13">
        <f>IFERROR(IF(AND(Q5="H",E5="Pers"),LOOKUP(F5,Personnel_Code,Personnel_CoûtH),IF(AND(Q5="J",E5="Pers"),LOOKUP(F5,Personnel_Code,Personnel_CoûtJ),IF(E5="MatL",LOOKUP(F5,MatL_Code,MatL_Coût),IF(E5="MatX",LOOKUP(F5,MatX_Code,MatX_Prix),"")))),"")</f>
        <v>0.56000000000000005</v>
      </c>
      <c r="I5" s="210">
        <f>IFERROR(G5*H5,"")</f>
        <v>11.200000000000001</v>
      </c>
      <c r="J5" s="13" t="str">
        <f>IF(H5="","non","")</f>
        <v/>
      </c>
      <c r="K5" s="16">
        <f>IF(C5="","",MONTH(C5))</f>
        <v>1</v>
      </c>
      <c r="L5" s="16">
        <f>IF(C5="","",YEAR(C5))</f>
        <v>2015</v>
      </c>
      <c r="M5" s="13" t="str">
        <f>IF(B5="","",LOOKUP(B5,Table_Chantiers[],Chantier_Centre1))</f>
        <v>CS MIRE</v>
      </c>
      <c r="N5" s="13" t="str">
        <f>IF(B5="","",LOOKUP(B5,Table_Chantiers[],Chantier_Centre2))</f>
        <v>CS MIRE</v>
      </c>
      <c r="O5" s="13" t="str">
        <f>IF(B5="","",LOOKUP(B5,Table_Chantiers[],Chantier_UT))</f>
        <v>UT OUES</v>
      </c>
      <c r="P5" s="63" t="str">
        <f>IFERROR(IF(E5="Pers",LOOKUP(F5,Personnel_Code,Personnel_Lib),IF(E5="MatL",LOOKUP(F5,MatL_Code,MatL_Lib),IF(E5="MatX",LOOKUP(F5,MatX_Code,MatX_Lib),""))),"Cat. et Code non compatibles")</f>
        <v>Kangoo Mirecourt</v>
      </c>
      <c r="Q5" s="13" t="str">
        <f>IFERROR(IF(AND(E5="Pers",RIGHT(B5,2)="13"),"J",IF(AND(E5="Pers",LEFT(B5,2)="UT"),"J",IF(AND(E5="Pers",RIGHT(B5,2)&lt;&gt;"13"),"H",IF(E5="MatL",LOOKUP(F5,MatL_Code,MatL_Unite),IF(E5="MatX",LOOKUP(F5,MatX_Code,MatX_Unite),""))))),"")</f>
        <v>Km</v>
      </c>
      <c r="R5" s="16" t="str">
        <f>IFERROR(IF(D5="","",LOOKUP(D5,Table_Tâches[],Tâches_CodeETLib)),"")</f>
        <v>03200   ING. VH</v>
      </c>
      <c r="S5" s="144">
        <f>IF(OR(C5="",G5=""),"",G5/(NETWORKDAYS(DATE(YEAR(C5),1,1),DATE(YEAR(C5),12,31))-Annexe!$E$17))</f>
        <v>7.9051383399209488E-2</v>
      </c>
      <c r="T5" s="207" t="str">
        <f t="shared" ref="T5" si="3">K5&amp; "/"&amp; L5</f>
        <v>1/2015</v>
      </c>
      <c r="U5" s="129">
        <v>3156</v>
      </c>
      <c r="W5" s="83"/>
      <c r="X5" s="83"/>
      <c r="Y5" s="83"/>
      <c r="Z5" s="83"/>
      <c r="AA5" s="83"/>
    </row>
    <row r="6" spans="1:27" s="4" customFormat="1" ht="15" customHeight="1">
      <c r="A6" s="13" t="s">
        <v>404</v>
      </c>
      <c r="B6" s="108" t="s">
        <v>287</v>
      </c>
      <c r="C6" s="208">
        <v>42005</v>
      </c>
      <c r="D6" s="209">
        <v>3200</v>
      </c>
      <c r="E6" s="207" t="s">
        <v>406</v>
      </c>
      <c r="F6" s="209">
        <v>4</v>
      </c>
      <c r="G6" s="169">
        <v>2.5</v>
      </c>
      <c r="H6" s="13">
        <f>IFERROR(IF(AND(Q6="H",E6="Pers"),LOOKUP(F6,Personnel_Code,Personnel_CoûtH),IF(AND(Q6="J",E6="Pers"),LOOKUP(F6,Personnel_Code,Personnel_CoûtJ),IF(E6="MatL",LOOKUP(F6,MatL_Code,MatL_Coût),IF(E6="MatX",LOOKUP(F6,MatX_Code,MatX_Prix),"")))),"")</f>
        <v>32.770000000000003</v>
      </c>
      <c r="I6" s="210">
        <f>IFERROR(G6*H6,"")</f>
        <v>81.925000000000011</v>
      </c>
      <c r="J6" s="13" t="str">
        <f>IF(H6="","non","")</f>
        <v/>
      </c>
      <c r="K6" s="16">
        <f>IF(C6="","",MONTH(C6))</f>
        <v>1</v>
      </c>
      <c r="L6" s="16">
        <f>IF(C6="","",YEAR(C6))</f>
        <v>2015</v>
      </c>
      <c r="M6" s="13" t="str">
        <f>IF(B6="","",LOOKUP(B6,Table_Chantiers[],Chantier_Centre1))</f>
        <v>CS MIRE</v>
      </c>
      <c r="N6" s="13" t="str">
        <f>IF(B6="","",LOOKUP(B6,Table_Chantiers[],Chantier_Centre2))</f>
        <v>CS MIRE</v>
      </c>
      <c r="O6" s="13" t="str">
        <f>IF(B6="","",LOOKUP(B6,Table_Chantiers[],Chantier_UT))</f>
        <v>UT OUES</v>
      </c>
      <c r="P6" s="63" t="str">
        <f>IFERROR(IF(E6="Pers",LOOKUP(F6,Personnel_Code,Personnel_Lib),IF(E6="MatL",LOOKUP(F6,MatL_Code,MatL_Lib),IF(E6="MatX",LOOKUP(F6,MatX_Code,MatX_Lib),""))),"Cat. et Code non compatibles")</f>
        <v>REER</v>
      </c>
      <c r="Q6" s="13" t="str">
        <f>IFERROR(IF(AND(E6="Pers",RIGHT(B6,2)="13"),"J",IF(AND(E6="Pers",LEFT(B6,2)="UT"),"J",IF(AND(E6="Pers",RIGHT(B6,2)&lt;&gt;"13"),"H",IF(E6="MatL",LOOKUP(F6,MatL_Code,MatL_Unite),IF(E6="MatX",LOOKUP(F6,MatX_Code,MatX_Unite),""))))),"")</f>
        <v>H</v>
      </c>
      <c r="R6" s="16" t="str">
        <f>IFERROR(IF(D6="","",LOOKUP(D6,Table_Tâches[],Tâches_CodeETLib)),"")</f>
        <v>03200   ING. VH</v>
      </c>
      <c r="S6" s="144">
        <f>IF(OR(C6="",G6=""),"",G6/(NETWORKDAYS(DATE(YEAR(C6),1,1),DATE(YEAR(C6),12,31))-Annexe!$E$17))</f>
        <v>9.881422924901186E-3</v>
      </c>
      <c r="T6" s="207" t="str">
        <f t="shared" ref="T6:T7" si="4">K6&amp; "/"&amp; L6</f>
        <v>1/2015</v>
      </c>
      <c r="U6" s="129">
        <v>3155</v>
      </c>
      <c r="W6" s="83"/>
      <c r="X6" s="83"/>
      <c r="Y6" s="83"/>
      <c r="Z6" s="83"/>
      <c r="AA6" s="83"/>
    </row>
    <row r="7" spans="1:27" s="4" customFormat="1" ht="15" customHeight="1">
      <c r="A7" s="13" t="s">
        <v>405</v>
      </c>
      <c r="B7" s="108" t="s">
        <v>287</v>
      </c>
      <c r="C7" s="208">
        <v>42005</v>
      </c>
      <c r="D7" s="209">
        <v>3200</v>
      </c>
      <c r="E7" s="207" t="s">
        <v>407</v>
      </c>
      <c r="F7" s="209">
        <v>3352</v>
      </c>
      <c r="G7" s="169">
        <v>112</v>
      </c>
      <c r="H7" s="13">
        <f>IFERROR(IF(AND(Q7="H",E7="Pers"),LOOKUP(F7,Personnel_Code,Personnel_CoûtH),IF(AND(Q7="J",E7="Pers"),LOOKUP(F7,Personnel_Code,Personnel_CoûtJ),IF(E7="MatL",LOOKUP(F7,MatL_Code,MatL_Coût),IF(E7="MatX",LOOKUP(F7,MatX_Code,MatX_Prix),"")))),"")</f>
        <v>0.56000000000000005</v>
      </c>
      <c r="I7" s="210">
        <f>IFERROR(G7*H7,"")</f>
        <v>62.720000000000006</v>
      </c>
      <c r="J7" s="13" t="str">
        <f>IF(H7="","non","")</f>
        <v/>
      </c>
      <c r="K7" s="16">
        <f>IF(C7="","",MONTH(C7))</f>
        <v>1</v>
      </c>
      <c r="L7" s="16">
        <f>IF(C7="","",YEAR(C7))</f>
        <v>2015</v>
      </c>
      <c r="M7" s="13" t="str">
        <f>IF(B7="","",LOOKUP(B7,Table_Chantiers[],Chantier_Centre1))</f>
        <v>CS MIRE</v>
      </c>
      <c r="N7" s="13" t="str">
        <f>IF(B7="","",LOOKUP(B7,Table_Chantiers[],Chantier_Centre2))</f>
        <v>CS MIRE</v>
      </c>
      <c r="O7" s="13" t="str">
        <f>IF(B7="","",LOOKUP(B7,Table_Chantiers[],Chantier_UT))</f>
        <v>UT OUES</v>
      </c>
      <c r="P7" s="63" t="str">
        <f>IFERROR(IF(E7="Pers",LOOKUP(F7,Personnel_Code,Personnel_Lib),IF(E7="MatL",LOOKUP(F7,MatL_Code,MatL_Lib),IF(E7="MatX",LOOKUP(F7,MatX_Code,MatX_Lib),""))),"Cat. et Code non compatibles")</f>
        <v>Kangoo Mirecourt</v>
      </c>
      <c r="Q7" s="13" t="str">
        <f>IFERROR(IF(AND(E7="Pers",RIGHT(B7,2)="13"),"J",IF(AND(E7="Pers",LEFT(B7,2)="UT"),"J",IF(AND(E7="Pers",RIGHT(B7,2)&lt;&gt;"13"),"H",IF(E7="MatL",LOOKUP(F7,MatL_Code,MatL_Unite),IF(E7="MatX",LOOKUP(F7,MatX_Code,MatX_Unite),""))))),"")</f>
        <v>Km</v>
      </c>
      <c r="R7" s="16" t="str">
        <f>IFERROR(IF(D7="","",LOOKUP(D7,Table_Tâches[],Tâches_CodeETLib)),"")</f>
        <v>03200   ING. VH</v>
      </c>
      <c r="S7" s="144">
        <f>IF(OR(C7="",G7=""),"",G7/(NETWORKDAYS(DATE(YEAR(C7),1,1),DATE(YEAR(C7),12,31))-Annexe!$E$17))</f>
        <v>0.44268774703557312</v>
      </c>
      <c r="T7" s="207" t="str">
        <f t="shared" si="4"/>
        <v>1/2015</v>
      </c>
      <c r="U7" s="129">
        <v>3155</v>
      </c>
      <c r="W7" s="83"/>
      <c r="X7" s="83"/>
      <c r="Y7" s="83"/>
      <c r="Z7" s="83"/>
      <c r="AA7" s="83"/>
    </row>
    <row r="8" spans="1:27" s="4" customFormat="1" ht="15" customHeight="1">
      <c r="A8" s="13" t="s">
        <v>411</v>
      </c>
      <c r="B8" s="108" t="s">
        <v>409</v>
      </c>
      <c r="C8" s="208">
        <v>42009</v>
      </c>
      <c r="D8" s="209">
        <v>1400</v>
      </c>
      <c r="E8" s="207" t="s">
        <v>406</v>
      </c>
      <c r="F8" s="209">
        <v>11</v>
      </c>
      <c r="G8" s="169">
        <v>8</v>
      </c>
      <c r="H8" s="13">
        <f>IFERROR(IF(AND(Q8="H",E8="Pers"),LOOKUP(F8,Personnel_Code,Personnel_CoûtH),IF(AND(Q8="J",E8="Pers"),LOOKUP(F8,Personnel_Code,Personnel_CoûtJ),IF(E8="MatL",LOOKUP(F8,MatL_Code,MatL_Coût),IF(E8="MatX",LOOKUP(F8,MatX_Code,MatX_Prix),"")))),"")</f>
        <v>23.18</v>
      </c>
      <c r="I8" s="210">
        <f>IFERROR(G8*H8,"")</f>
        <v>185.44</v>
      </c>
      <c r="J8" s="13" t="str">
        <f>IF(H8="","non","")</f>
        <v/>
      </c>
      <c r="K8" s="16">
        <f>IF(C8="","",MONTH(C8))</f>
        <v>1</v>
      </c>
      <c r="L8" s="16">
        <f>IF(C8="","",YEAR(C8))</f>
        <v>2015</v>
      </c>
      <c r="M8" s="13" t="str">
        <f>IF(B8="","",LOOKUP(B8,Table_Chantiers[],Chantier_Centre1))</f>
        <v>CS MIRE</v>
      </c>
      <c r="N8" s="13" t="str">
        <f>IF(B8="","",LOOKUP(B8,Table_Chantiers[],Chantier_Centre2))</f>
        <v>CS MIRE</v>
      </c>
      <c r="O8" s="13" t="str">
        <f>IF(B8="","",LOOKUP(B8,Table_Chantiers[],Chantier_UT))</f>
        <v>UT OUES</v>
      </c>
      <c r="P8" s="63" t="str">
        <f>IFERROR(IF(E8="Pers",LOOKUP(F8,Personnel_Code,Personnel_Lib),IF(E8="MatL",LOOKUP(F8,MatL_Code,MatL_Lib),IF(E8="MatX",LOOKUP(F8,MatX_Code,MatX_Lib),""))),"Cat. et Code non compatibles")</f>
        <v>ADJOINT TECHNIQUE</v>
      </c>
      <c r="Q8" s="13" t="str">
        <f>IFERROR(IF(AND(E8="Pers",RIGHT(B8,2)="13"),"J",IF(AND(E8="Pers",LEFT(B8,2)="UT"),"J",IF(AND(E8="Pers",RIGHT(B8,2)&lt;&gt;"13"),"H",IF(E8="MatL",LOOKUP(F8,MatL_Code,MatL_Unite),IF(E8="MatX",LOOKUP(F8,MatX_Code,MatX_Unite),""))))),"")</f>
        <v>H</v>
      </c>
      <c r="R8" s="16" t="str">
        <f>IFERROR(IF(D8="","",LOOKUP(D8,Table_Tâches[],Tâches_CodeETLib)),"")</f>
        <v>01400   SERV. HIVERNAL</v>
      </c>
      <c r="S8" s="144">
        <f>IF(OR(C8="",G8=""),"",G8/(NETWORKDAYS(DATE(YEAR(C8),1,1),DATE(YEAR(C8),12,31))-Annexe!$E$17))</f>
        <v>3.1620553359683792E-2</v>
      </c>
      <c r="T8" s="207" t="str">
        <f t="shared" ref="T8" si="5">K8&amp; "/"&amp; L8</f>
        <v>1/2015</v>
      </c>
      <c r="U8" s="129">
        <v>3154</v>
      </c>
      <c r="W8" s="83"/>
      <c r="X8" s="83"/>
      <c r="Y8" s="83"/>
      <c r="Z8" s="83"/>
      <c r="AA8" s="83"/>
    </row>
    <row r="9" spans="1:27" s="4" customFormat="1" ht="15" customHeight="1">
      <c r="A9" s="13" t="s">
        <v>412</v>
      </c>
      <c r="B9" s="108" t="s">
        <v>409</v>
      </c>
      <c r="C9" s="208">
        <v>42009</v>
      </c>
      <c r="D9" s="209">
        <v>1400</v>
      </c>
      <c r="E9" s="207" t="s">
        <v>407</v>
      </c>
      <c r="F9" s="209">
        <v>14051</v>
      </c>
      <c r="G9" s="169">
        <v>6</v>
      </c>
      <c r="H9" s="13">
        <f>IFERROR(IF(AND(Q9="H",E9="Pers"),LOOKUP(F9,Personnel_Code,Personnel_CoûtH),IF(AND(Q9="J",E9="Pers"),LOOKUP(F9,Personnel_Code,Personnel_CoûtJ),IF(E9="MatL",LOOKUP(F9,MatL_Code,MatL_Coût),IF(E9="MatX",LOOKUP(F9,MatX_Code,MatX_Prix),"")))),"")</f>
        <v>60</v>
      </c>
      <c r="I9" s="210">
        <f>IFERROR(G9*H9,"")</f>
        <v>360</v>
      </c>
      <c r="J9" s="13" t="str">
        <f>IF(H9="","non","")</f>
        <v/>
      </c>
      <c r="K9" s="16">
        <f>IF(C9="","",MONTH(C9))</f>
        <v>1</v>
      </c>
      <c r="L9" s="16">
        <f>IF(C9="","",YEAR(C9))</f>
        <v>2015</v>
      </c>
      <c r="M9" s="13" t="str">
        <f>IF(B9="","",LOOKUP(B9,Table_Chantiers[],Chantier_Centre1))</f>
        <v>CS MIRE</v>
      </c>
      <c r="N9" s="13" t="str">
        <f>IF(B9="","",LOOKUP(B9,Table_Chantiers[],Chantier_Centre2))</f>
        <v>CS MIRE</v>
      </c>
      <c r="O9" s="13" t="str">
        <f>IF(B9="","",LOOKUP(B9,Table_Chantiers[],Chantier_UT))</f>
        <v>UT OUES</v>
      </c>
      <c r="P9" s="63" t="str">
        <f>IFERROR(IF(E9="Pers",LOOKUP(F9,Personnel_Code,Personnel_Lib),IF(E9="MatL",LOOKUP(F9,MatL_Code,MatL_Lib),IF(E9="MatX",LOOKUP(F9,MatX_Code,MatX_Lib),""))),"Cat. et Code non compatibles")</f>
        <v>Camion Mirecourt (pour VH)</v>
      </c>
      <c r="Q9" s="13" t="str">
        <f>IFERROR(IF(AND(E9="Pers",RIGHT(B9,2)="13"),"J",IF(AND(E9="Pers",LEFT(B9,2)="UT"),"J",IF(AND(E9="Pers",RIGHT(B9,2)&lt;&gt;"13"),"H",IF(E9="MatL",LOOKUP(F9,MatL_Code,MatL_Unite),IF(E9="MatX",LOOKUP(F9,MatX_Code,MatX_Unite),""))))),"")</f>
        <v>H</v>
      </c>
      <c r="R9" s="16" t="str">
        <f>IFERROR(IF(D9="","",LOOKUP(D9,Table_Tâches[],Tâches_CodeETLib)),"")</f>
        <v>01400   SERV. HIVERNAL</v>
      </c>
      <c r="S9" s="144">
        <f>IF(OR(C9="",G9=""),"",G9/(NETWORKDAYS(DATE(YEAR(C9),1,1),DATE(YEAR(C9),12,31))-Annexe!$E$17))</f>
        <v>2.3715415019762844E-2</v>
      </c>
      <c r="T9" s="207" t="str">
        <f t="shared" ref="T9" si="6">K9&amp; "/"&amp; L9</f>
        <v>1/2015</v>
      </c>
      <c r="U9" s="129">
        <v>3153</v>
      </c>
      <c r="W9" s="83"/>
      <c r="X9" s="83"/>
      <c r="Y9" s="83"/>
      <c r="Z9" s="83"/>
      <c r="AA9" s="83"/>
    </row>
    <row r="10" spans="1:27" s="4" customFormat="1" ht="15" customHeight="1">
      <c r="A10" s="13" t="s">
        <v>413</v>
      </c>
      <c r="B10" s="108" t="s">
        <v>409</v>
      </c>
      <c r="C10" s="208">
        <v>42009</v>
      </c>
      <c r="D10" s="209">
        <v>1400</v>
      </c>
      <c r="E10" s="207" t="s">
        <v>407</v>
      </c>
      <c r="F10" s="209">
        <v>70181</v>
      </c>
      <c r="G10" s="169">
        <v>6</v>
      </c>
      <c r="H10" s="13">
        <f>IFERROR(IF(AND(Q10="H",E10="Pers"),LOOKUP(F10,Personnel_Code,Personnel_CoûtH),IF(AND(Q10="J",E10="Pers"),LOOKUP(F10,Personnel_Code,Personnel_CoûtJ),IF(E10="MatL",LOOKUP(F10,MatL_Code,MatL_Coût),IF(E10="MatX",LOOKUP(F10,MatX_Code,MatX_Prix),"")))),"")</f>
        <v>5</v>
      </c>
      <c r="I10" s="210">
        <f>IFERROR(G10*H10,"")</f>
        <v>30</v>
      </c>
      <c r="J10" s="13" t="str">
        <f>IF(H10="","non","")</f>
        <v/>
      </c>
      <c r="K10" s="16">
        <f>IF(C10="","",MONTH(C10))</f>
        <v>1</v>
      </c>
      <c r="L10" s="16">
        <f>IF(C10="","",YEAR(C10))</f>
        <v>2015</v>
      </c>
      <c r="M10" s="13" t="str">
        <f>IF(B10="","",LOOKUP(B10,Table_Chantiers[],Chantier_Centre1))</f>
        <v>CS MIRE</v>
      </c>
      <c r="N10" s="13" t="str">
        <f>IF(B10="","",LOOKUP(B10,Table_Chantiers[],Chantier_Centre2))</f>
        <v>CS MIRE</v>
      </c>
      <c r="O10" s="13" t="str">
        <f>IF(B10="","",LOOKUP(B10,Table_Chantiers[],Chantier_UT))</f>
        <v>UT OUES</v>
      </c>
      <c r="P10" s="63" t="str">
        <f>IFERROR(IF(E10="Pers",LOOKUP(F10,Personnel_Code,Personnel_Lib),IF(E10="MatL",LOOKUP(F10,MatL_Code,MatL_Lib),IF(E10="MatX",LOOKUP(F10,MatX_Code,MatX_Lib),""))),"Cat. et Code non compatibles")</f>
        <v xml:space="preserve">Saleuse Mirecourt </v>
      </c>
      <c r="Q10" s="13" t="str">
        <f>IFERROR(IF(AND(E10="Pers",RIGHT(B10,2)="13"),"J",IF(AND(E10="Pers",LEFT(B10,2)="UT"),"J",IF(AND(E10="Pers",RIGHT(B10,2)&lt;&gt;"13"),"H",IF(E10="MatL",LOOKUP(F10,MatL_Code,MatL_Unite),IF(E10="MatX",LOOKUP(F10,MatX_Code,MatX_Unite),""))))),"")</f>
        <v>H</v>
      </c>
      <c r="R10" s="16" t="str">
        <f>IFERROR(IF(D10="","",LOOKUP(D10,Table_Tâches[],Tâches_CodeETLib)),"")</f>
        <v>01400   SERV. HIVERNAL</v>
      </c>
      <c r="S10" s="144">
        <f>IF(OR(C10="",G10=""),"",G10/(NETWORKDAYS(DATE(YEAR(C10),1,1),DATE(YEAR(C10),12,31))-Annexe!$E$17))</f>
        <v>2.3715415019762844E-2</v>
      </c>
      <c r="T10" s="207" t="str">
        <f t="shared" ref="T10" si="7">K10&amp; "/"&amp; L10</f>
        <v>1/2015</v>
      </c>
      <c r="U10" s="129">
        <v>3152</v>
      </c>
      <c r="W10" s="83"/>
      <c r="X10" s="83"/>
      <c r="Y10" s="83"/>
      <c r="Z10" s="83"/>
      <c r="AA10" s="83"/>
    </row>
    <row r="11" spans="1:27" s="4" customFormat="1" ht="15" customHeight="1">
      <c r="A11" s="13" t="s">
        <v>414</v>
      </c>
      <c r="B11" s="108" t="s">
        <v>409</v>
      </c>
      <c r="C11" s="208">
        <v>42009</v>
      </c>
      <c r="D11" s="209">
        <v>1400</v>
      </c>
      <c r="E11" s="207" t="s">
        <v>407</v>
      </c>
      <c r="F11" s="209">
        <v>18301</v>
      </c>
      <c r="G11" s="169">
        <v>6</v>
      </c>
      <c r="H11" s="13">
        <f>IFERROR(IF(AND(Q11="H",E11="Pers"),LOOKUP(F11,Personnel_Code,Personnel_CoûtH),IF(AND(Q11="J",E11="Pers"),LOOKUP(F11,Personnel_Code,Personnel_CoûtJ),IF(E11="MatL",LOOKUP(F11,MatL_Code,MatL_Coût),IF(E11="MatX",LOOKUP(F11,MatX_Code,MatX_Prix),"")))),"")</f>
        <v>20</v>
      </c>
      <c r="I11" s="210">
        <f>IFERROR(G11*H11,"")</f>
        <v>120</v>
      </c>
      <c r="J11" s="13" t="str">
        <f>IF(H11="","non","")</f>
        <v/>
      </c>
      <c r="K11" s="16">
        <f>IF(C11="","",MONTH(C11))</f>
        <v>1</v>
      </c>
      <c r="L11" s="16">
        <f>IF(C11="","",YEAR(C11))</f>
        <v>2015</v>
      </c>
      <c r="M11" s="13" t="str">
        <f>IF(B11="","",LOOKUP(B11,Table_Chantiers[],Chantier_Centre1))</f>
        <v>CS MIRE</v>
      </c>
      <c r="N11" s="13" t="str">
        <f>IF(B11="","",LOOKUP(B11,Table_Chantiers[],Chantier_Centre2))</f>
        <v>CS MIRE</v>
      </c>
      <c r="O11" s="13" t="str">
        <f>IF(B11="","",LOOKUP(B11,Table_Chantiers[],Chantier_UT))</f>
        <v>UT OUES</v>
      </c>
      <c r="P11" s="63" t="str">
        <f>IFERROR(IF(E11="Pers",LOOKUP(F11,Personnel_Code,Personnel_Lib),IF(E11="MatL",LOOKUP(F11,MatL_Code,MatL_Lib),IF(E11="MatX",LOOKUP(F11,MatX_Code,MatX_Lib),""))),"Cat. et Code non compatibles")</f>
        <v>Tracteur Mirecourt (ARRET AU 04/02)</v>
      </c>
      <c r="Q11" s="13" t="str">
        <f>IFERROR(IF(AND(E11="Pers",RIGHT(B11,2)="13"),"J",IF(AND(E11="Pers",LEFT(B11,2)="UT"),"J",IF(AND(E11="Pers",RIGHT(B11,2)&lt;&gt;"13"),"H",IF(E11="MatL",LOOKUP(F11,MatL_Code,MatL_Unite),IF(E11="MatX",LOOKUP(F11,MatX_Code,MatX_Unite),""))))),"")</f>
        <v>H</v>
      </c>
      <c r="R11" s="16" t="str">
        <f>IFERROR(IF(D11="","",LOOKUP(D11,Table_Tâches[],Tâches_CodeETLib)),"")</f>
        <v>01400   SERV. HIVERNAL</v>
      </c>
      <c r="S11" s="144">
        <f>IF(OR(C11="",G11=""),"",G11/(NETWORKDAYS(DATE(YEAR(C11),1,1),DATE(YEAR(C11),12,31))-Annexe!$E$17))</f>
        <v>2.3715415019762844E-2</v>
      </c>
      <c r="T11" s="207" t="str">
        <f t="shared" ref="T11" si="8">K11&amp; "/"&amp; L11</f>
        <v>1/2015</v>
      </c>
      <c r="U11" s="129">
        <v>3151</v>
      </c>
      <c r="W11" s="83"/>
      <c r="X11" s="83"/>
      <c r="Y11" s="83"/>
      <c r="Z11" s="83"/>
      <c r="AA11" s="83"/>
    </row>
    <row r="12" spans="1:27" s="4" customFormat="1" ht="15" customHeight="1">
      <c r="A12" s="13" t="s">
        <v>415</v>
      </c>
      <c r="B12" s="108" t="s">
        <v>409</v>
      </c>
      <c r="C12" s="208">
        <v>42009</v>
      </c>
      <c r="D12" s="209">
        <v>1400</v>
      </c>
      <c r="E12" s="207" t="s">
        <v>407</v>
      </c>
      <c r="F12" s="209">
        <v>19058</v>
      </c>
      <c r="G12" s="169">
        <v>6</v>
      </c>
      <c r="H12" s="13">
        <f>IFERROR(IF(AND(Q12="H",E12="Pers"),LOOKUP(F12,Personnel_Code,Personnel_CoûtH),IF(AND(Q12="J",E12="Pers"),LOOKUP(F12,Personnel_Code,Personnel_CoûtJ),IF(E12="MatL",LOOKUP(F12,MatL_Code,MatL_Coût),IF(E12="MatX",LOOKUP(F12,MatX_Code,MatX_Prix),"")))),"")</f>
        <v>10</v>
      </c>
      <c r="I12" s="210">
        <f>IFERROR(G12*H12,"")</f>
        <v>60</v>
      </c>
      <c r="J12" s="13" t="str">
        <f>IF(H12="","non","")</f>
        <v/>
      </c>
      <c r="K12" s="16">
        <f>IF(C12="","",MONTH(C12))</f>
        <v>1</v>
      </c>
      <c r="L12" s="16">
        <f>IF(C12="","",YEAR(C12))</f>
        <v>2015</v>
      </c>
      <c r="M12" s="13" t="str">
        <f>IF(B12="","",LOOKUP(B12,Table_Chantiers[],Chantier_Centre1))</f>
        <v>CS MIRE</v>
      </c>
      <c r="N12" s="13" t="str">
        <f>IF(B12="","",LOOKUP(B12,Table_Chantiers[],Chantier_Centre2))</f>
        <v>CS MIRE</v>
      </c>
      <c r="O12" s="13" t="str">
        <f>IF(B12="","",LOOKUP(B12,Table_Chantiers[],Chantier_UT))</f>
        <v>UT OUES</v>
      </c>
      <c r="P12" s="63" t="str">
        <f>IFERROR(IF(E12="Pers",LOOKUP(F12,Personnel_Code,Personnel_Lib),IF(E12="MatL",LOOKUP(F12,MatL_Code,MatL_Lib),IF(E12="MatX",LOOKUP(F12,MatX_Code,MatX_Lib),""))),"Cat. et Code non compatibles")</f>
        <v>Chargeur Mirecourt (ARRET AU 04/02)</v>
      </c>
      <c r="Q12" s="13" t="str">
        <f>IFERROR(IF(AND(E12="Pers",RIGHT(B12,2)="13"),"J",IF(AND(E12="Pers",LEFT(B12,2)="UT"),"J",IF(AND(E12="Pers",RIGHT(B12,2)&lt;&gt;"13"),"H",IF(E12="MatL",LOOKUP(F12,MatL_Code,MatL_Unite),IF(E12="MatX",LOOKUP(F12,MatX_Code,MatX_Unite),""))))),"")</f>
        <v>H</v>
      </c>
      <c r="R12" s="16" t="str">
        <f>IFERROR(IF(D12="","",LOOKUP(D12,Table_Tâches[],Tâches_CodeETLib)),"")</f>
        <v>01400   SERV. HIVERNAL</v>
      </c>
      <c r="S12" s="144">
        <f>IF(OR(C12="",G12=""),"",G12/(NETWORKDAYS(DATE(YEAR(C12),1,1),DATE(YEAR(C12),12,31))-Annexe!$E$17))</f>
        <v>2.3715415019762844E-2</v>
      </c>
      <c r="T12" s="207" t="str">
        <f t="shared" ref="T12:T17" si="9">K12&amp; "/"&amp; L12</f>
        <v>1/2015</v>
      </c>
      <c r="U12" s="129">
        <v>3150</v>
      </c>
      <c r="W12" s="83"/>
      <c r="X12" s="83"/>
      <c r="Y12" s="83"/>
      <c r="Z12" s="83"/>
      <c r="AA12" s="83"/>
    </row>
    <row r="13" spans="1:27" s="4" customFormat="1" ht="15" customHeight="1">
      <c r="A13" s="13" t="s">
        <v>416</v>
      </c>
      <c r="B13" s="108" t="s">
        <v>409</v>
      </c>
      <c r="C13" s="208">
        <v>42009</v>
      </c>
      <c r="D13" s="209">
        <v>1400</v>
      </c>
      <c r="E13" s="207" t="s">
        <v>408</v>
      </c>
      <c r="F13" s="209" t="s">
        <v>410</v>
      </c>
      <c r="G13" s="169">
        <v>5.6</v>
      </c>
      <c r="H13" s="13">
        <f>IFERROR(IF(AND(Q13="H",E13="Pers"),LOOKUP(F13,Personnel_Code,Personnel_CoûtH),IF(AND(Q13="J",E13="Pers"),LOOKUP(F13,Personnel_Code,Personnel_CoûtJ),IF(E13="MatL",LOOKUP(F13,MatL_Code,MatL_Coût),IF(E13="MatX",LOOKUP(F13,MatX_Code,MatX_Prix),"")))),"")</f>
        <v>70</v>
      </c>
      <c r="I13" s="210">
        <f>IFERROR(G13*H13,"")</f>
        <v>392</v>
      </c>
      <c r="J13" s="13" t="str">
        <f>IF(H13="","non","")</f>
        <v/>
      </c>
      <c r="K13" s="16">
        <f>IF(C13="","",MONTH(C13))</f>
        <v>1</v>
      </c>
      <c r="L13" s="16">
        <f>IF(C13="","",YEAR(C13))</f>
        <v>2015</v>
      </c>
      <c r="M13" s="13" t="str">
        <f>IF(B13="","",LOOKUP(B13,Table_Chantiers[],Chantier_Centre1))</f>
        <v>CS MIRE</v>
      </c>
      <c r="N13" s="13" t="str">
        <f>IF(B13="","",LOOKUP(B13,Table_Chantiers[],Chantier_Centre2))</f>
        <v>CS MIRE</v>
      </c>
      <c r="O13" s="13" t="str">
        <f>IF(B13="","",LOOKUP(B13,Table_Chantiers[],Chantier_UT))</f>
        <v>UT OUES</v>
      </c>
      <c r="P13" s="63" t="str">
        <f>IFERROR(IF(E13="Pers",LOOKUP(F13,Personnel_Code,Personnel_Lib),IF(E13="MatL",LOOKUP(F13,MatL_Code,MatL_Lib),IF(E13="MatX",LOOKUP(F13,MatX_Code,MatX_Lib),""))),"Cat. et Code non compatibles")</f>
        <v>Sel</v>
      </c>
      <c r="Q13" s="13" t="str">
        <f>IFERROR(IF(AND(E13="Pers",RIGHT(B13,2)="13"),"J",IF(AND(E13="Pers",LEFT(B13,2)="UT"),"J",IF(AND(E13="Pers",RIGHT(B13,2)&lt;&gt;"13"),"H",IF(E13="MatL",LOOKUP(F13,MatL_Code,MatL_Unite),IF(E13="MatX",LOOKUP(F13,MatX_Code,MatX_Unite),""))))),"")</f>
        <v>T</v>
      </c>
      <c r="R13" s="16" t="str">
        <f>IFERROR(IF(D13="","",LOOKUP(D13,Table_Tâches[],Tâches_CodeETLib)),"")</f>
        <v>01400   SERV. HIVERNAL</v>
      </c>
      <c r="S13" s="144">
        <f>IF(OR(C13="",G13=""),"",G13/(NETWORKDAYS(DATE(YEAR(C13),1,1),DATE(YEAR(C13),12,31))-Annexe!$E$17))</f>
        <v>2.2134387351778653E-2</v>
      </c>
      <c r="T13" s="207" t="str">
        <f t="shared" si="9"/>
        <v>1/2015</v>
      </c>
      <c r="U13" s="129">
        <v>3150</v>
      </c>
      <c r="W13" s="83"/>
      <c r="X13" s="83"/>
      <c r="Y13" s="83"/>
      <c r="Z13" s="83"/>
      <c r="AA13" s="83"/>
    </row>
    <row r="14" spans="1:27" s="4" customFormat="1" ht="15" customHeight="1">
      <c r="A14" s="13" t="s">
        <v>417</v>
      </c>
      <c r="B14" s="108" t="s">
        <v>409</v>
      </c>
      <c r="C14" s="208">
        <v>42009</v>
      </c>
      <c r="D14" s="209">
        <v>1400</v>
      </c>
      <c r="E14" s="207" t="s">
        <v>406</v>
      </c>
      <c r="F14" s="209">
        <v>11</v>
      </c>
      <c r="G14" s="169">
        <v>11.5</v>
      </c>
      <c r="H14" s="13">
        <f>IFERROR(IF(AND(Q14="H",E14="Pers"),LOOKUP(F14,Personnel_Code,Personnel_CoûtH),IF(AND(Q14="J",E14="Pers"),LOOKUP(F14,Personnel_Code,Personnel_CoûtJ),IF(E14="MatL",LOOKUP(F14,MatL_Code,MatL_Coût),IF(E14="MatX",LOOKUP(F14,MatX_Code,MatX_Prix),"")))),"")</f>
        <v>23.18</v>
      </c>
      <c r="I14" s="210">
        <f>IFERROR(G14*H14,"")</f>
        <v>266.57</v>
      </c>
      <c r="J14" s="13" t="str">
        <f>IF(H14="","non","")</f>
        <v/>
      </c>
      <c r="K14" s="16">
        <f>IF(C14="","",MONTH(C14))</f>
        <v>1</v>
      </c>
      <c r="L14" s="16">
        <f>IF(C14="","",YEAR(C14))</f>
        <v>2015</v>
      </c>
      <c r="M14" s="13" t="str">
        <f>IF(B14="","",LOOKUP(B14,Table_Chantiers[],Chantier_Centre1))</f>
        <v>CS MIRE</v>
      </c>
      <c r="N14" s="13" t="str">
        <f>IF(B14="","",LOOKUP(B14,Table_Chantiers[],Chantier_Centre2))</f>
        <v>CS MIRE</v>
      </c>
      <c r="O14" s="13" t="str">
        <f>IF(B14="","",LOOKUP(B14,Table_Chantiers[],Chantier_UT))</f>
        <v>UT OUES</v>
      </c>
      <c r="P14" s="63" t="str">
        <f>IFERROR(IF(E14="Pers",LOOKUP(F14,Personnel_Code,Personnel_Lib),IF(E14="MatL",LOOKUP(F14,MatL_Code,MatL_Lib),IF(E14="MatX",LOOKUP(F14,MatX_Code,MatX_Lib),""))),"Cat. et Code non compatibles")</f>
        <v>ADJOINT TECHNIQUE</v>
      </c>
      <c r="Q14" s="13" t="str">
        <f>IFERROR(IF(AND(E14="Pers",RIGHT(B14,2)="13"),"J",IF(AND(E14="Pers",LEFT(B14,2)="UT"),"J",IF(AND(E14="Pers",RIGHT(B14,2)&lt;&gt;"13"),"H",IF(E14="MatL",LOOKUP(F14,MatL_Code,MatL_Unite),IF(E14="MatX",LOOKUP(F14,MatX_Code,MatX_Unite),""))))),"")</f>
        <v>H</v>
      </c>
      <c r="R14" s="16" t="str">
        <f>IFERROR(IF(D14="","",LOOKUP(D14,Table_Tâches[],Tâches_CodeETLib)),"")</f>
        <v>01400   SERV. HIVERNAL</v>
      </c>
      <c r="S14" s="144">
        <f>IF(OR(C14="",G14=""),"",G14/(NETWORKDAYS(DATE(YEAR(C14),1,1),DATE(YEAR(C14),12,31))-Annexe!$E$17))</f>
        <v>4.5454545454545456E-2</v>
      </c>
      <c r="T14" s="207" t="str">
        <f t="shared" si="9"/>
        <v>1/2015</v>
      </c>
      <c r="U14" s="129">
        <v>3150</v>
      </c>
      <c r="W14" s="83"/>
      <c r="X14" s="83"/>
      <c r="Y14" s="83"/>
      <c r="Z14" s="83"/>
      <c r="AA14" s="83"/>
    </row>
    <row r="15" spans="1:27" s="4" customFormat="1" ht="15" customHeight="1">
      <c r="A15" s="13" t="s">
        <v>418</v>
      </c>
      <c r="B15" s="108" t="s">
        <v>409</v>
      </c>
      <c r="C15" s="208">
        <v>42009</v>
      </c>
      <c r="D15" s="209">
        <v>1400</v>
      </c>
      <c r="E15" s="207" t="s">
        <v>407</v>
      </c>
      <c r="F15" s="209">
        <v>14091</v>
      </c>
      <c r="G15" s="169">
        <v>5</v>
      </c>
      <c r="H15" s="13">
        <f>IFERROR(IF(AND(Q15="H",E15="Pers"),LOOKUP(F15,Personnel_Code,Personnel_CoûtH),IF(AND(Q15="J",E15="Pers"),LOOKUP(F15,Personnel_Code,Personnel_CoûtJ),IF(E15="MatL",LOOKUP(F15,MatL_Code,MatL_Coût),IF(E15="MatX",LOOKUP(F15,MatX_Code,MatX_Prix),"")))),"")</f>
        <v>60</v>
      </c>
      <c r="I15" s="210">
        <f>IFERROR(G15*H15,"")</f>
        <v>300</v>
      </c>
      <c r="J15" s="13" t="str">
        <f>IF(H15="","non","")</f>
        <v/>
      </c>
      <c r="K15" s="16">
        <f>IF(C15="","",MONTH(C15))</f>
        <v>1</v>
      </c>
      <c r="L15" s="16">
        <f>IF(C15="","",YEAR(C15))</f>
        <v>2015</v>
      </c>
      <c r="M15" s="13" t="str">
        <f>IF(B15="","",LOOKUP(B15,Table_Chantiers[],Chantier_Centre1))</f>
        <v>CS MIRE</v>
      </c>
      <c r="N15" s="13" t="str">
        <f>IF(B15="","",LOOKUP(B15,Table_Chantiers[],Chantier_Centre2))</f>
        <v>CS MIRE</v>
      </c>
      <c r="O15" s="13" t="str">
        <f>IF(B15="","",LOOKUP(B15,Table_Chantiers[],Chantier_UT))</f>
        <v>UT OUES</v>
      </c>
      <c r="P15" s="63" t="str">
        <f>IFERROR(IF(E15="Pers",LOOKUP(F15,Personnel_Code,Personnel_Lib),IF(E15="MatL",LOOKUP(F15,MatL_Code,MatL_Lib),IF(E15="MatX",LOOKUP(F15,MatX_Code,MatX_Lib),""))),"Cat. et Code non compatibles")</f>
        <v>Camion Mirecourt</v>
      </c>
      <c r="Q15" s="13" t="str">
        <f>IFERROR(IF(AND(E15="Pers",RIGHT(B15,2)="13"),"J",IF(AND(E15="Pers",LEFT(B15,2)="UT"),"J",IF(AND(E15="Pers",RIGHT(B15,2)&lt;&gt;"13"),"H",IF(E15="MatL",LOOKUP(F15,MatL_Code,MatL_Unite),IF(E15="MatX",LOOKUP(F15,MatX_Code,MatX_Unite),""))))),"")</f>
        <v>H</v>
      </c>
      <c r="R15" s="16" t="str">
        <f>IFERROR(IF(D15="","",LOOKUP(D15,Table_Tâches[],Tâches_CodeETLib)),"")</f>
        <v>01400   SERV. HIVERNAL</v>
      </c>
      <c r="S15" s="144">
        <f>IF(OR(C15="",G15=""),"",G15/(NETWORKDAYS(DATE(YEAR(C15),1,1),DATE(YEAR(C15),12,31))-Annexe!$E$17))</f>
        <v>1.9762845849802372E-2</v>
      </c>
      <c r="T15" s="207" t="str">
        <f t="shared" si="9"/>
        <v>1/2015</v>
      </c>
      <c r="U15" s="129">
        <v>3150</v>
      </c>
      <c r="W15" s="83"/>
      <c r="X15" s="83"/>
      <c r="Y15" s="83"/>
      <c r="Z15" s="83"/>
      <c r="AA15" s="83"/>
    </row>
    <row r="16" spans="1:27" s="4" customFormat="1" ht="15" customHeight="1">
      <c r="A16" s="13" t="s">
        <v>419</v>
      </c>
      <c r="B16" s="108" t="s">
        <v>409</v>
      </c>
      <c r="C16" s="208">
        <v>42009</v>
      </c>
      <c r="D16" s="209">
        <v>1400</v>
      </c>
      <c r="E16" s="207" t="s">
        <v>407</v>
      </c>
      <c r="F16" s="209">
        <v>70235</v>
      </c>
      <c r="G16" s="169">
        <v>4</v>
      </c>
      <c r="H16" s="13">
        <f>IFERROR(IF(AND(Q16="H",E16="Pers"),LOOKUP(F16,Personnel_Code,Personnel_CoûtH),IF(AND(Q16="J",E16="Pers"),LOOKUP(F16,Personnel_Code,Personnel_CoûtJ),IF(E16="MatL",LOOKUP(F16,MatL_Code,MatL_Coût),IF(E16="MatX",LOOKUP(F16,MatX_Code,MatX_Prix),"")))),"")</f>
        <v>5</v>
      </c>
      <c r="I16" s="210">
        <f>IFERROR(G16*H16,"")</f>
        <v>20</v>
      </c>
      <c r="J16" s="13" t="str">
        <f>IF(H16="","non","")</f>
        <v/>
      </c>
      <c r="K16" s="16">
        <f>IF(C16="","",MONTH(C16))</f>
        <v>1</v>
      </c>
      <c r="L16" s="16">
        <f>IF(C16="","",YEAR(C16))</f>
        <v>2015</v>
      </c>
      <c r="M16" s="13" t="str">
        <f>IF(B16="","",LOOKUP(B16,Table_Chantiers[],Chantier_Centre1))</f>
        <v>CS MIRE</v>
      </c>
      <c r="N16" s="13" t="str">
        <f>IF(B16="","",LOOKUP(B16,Table_Chantiers[],Chantier_Centre2))</f>
        <v>CS MIRE</v>
      </c>
      <c r="O16" s="13" t="str">
        <f>IF(B16="","",LOOKUP(B16,Table_Chantiers[],Chantier_UT))</f>
        <v>UT OUES</v>
      </c>
      <c r="P16" s="63" t="str">
        <f>IFERROR(IF(E16="Pers",LOOKUP(F16,Personnel_Code,Personnel_Lib),IF(E16="MatL",LOOKUP(F16,MatL_Code,MatL_Lib),IF(E16="MatX",LOOKUP(F16,MatX_Code,MatX_Lib),""))),"Cat. et Code non compatibles")</f>
        <v xml:space="preserve">Saleuse Mirecourt </v>
      </c>
      <c r="Q16" s="13" t="str">
        <f>IFERROR(IF(AND(E16="Pers",RIGHT(B16,2)="13"),"J",IF(AND(E16="Pers",LEFT(B16,2)="UT"),"J",IF(AND(E16="Pers",RIGHT(B16,2)&lt;&gt;"13"),"H",IF(E16="MatL",LOOKUP(F16,MatL_Code,MatL_Unite),IF(E16="MatX",LOOKUP(F16,MatX_Code,MatX_Unite),""))))),"")</f>
        <v>H</v>
      </c>
      <c r="R16" s="16" t="str">
        <f>IFERROR(IF(D16="","",LOOKUP(D16,Table_Tâches[],Tâches_CodeETLib)),"")</f>
        <v>01400   SERV. HIVERNAL</v>
      </c>
      <c r="S16" s="144">
        <f>IF(OR(C16="",G16=""),"",G16/(NETWORKDAYS(DATE(YEAR(C16),1,1),DATE(YEAR(C16),12,31))-Annexe!$E$17))</f>
        <v>1.5810276679841896E-2</v>
      </c>
      <c r="T16" s="207" t="str">
        <f t="shared" si="9"/>
        <v>1/2015</v>
      </c>
      <c r="U16" s="129">
        <v>3150</v>
      </c>
      <c r="W16" s="83"/>
      <c r="X16" s="83"/>
      <c r="Y16" s="83"/>
      <c r="Z16" s="83"/>
      <c r="AA16" s="83"/>
    </row>
    <row r="17" spans="1:27" s="4" customFormat="1" ht="15" customHeight="1">
      <c r="A17" s="13" t="s">
        <v>608</v>
      </c>
      <c r="B17" s="108" t="s">
        <v>422</v>
      </c>
      <c r="C17" s="208">
        <v>42374</v>
      </c>
      <c r="D17" s="209">
        <v>1710</v>
      </c>
      <c r="E17" s="207" t="s">
        <v>406</v>
      </c>
      <c r="F17" s="209">
        <v>11</v>
      </c>
      <c r="G17" s="169">
        <v>55</v>
      </c>
      <c r="H17" s="13">
        <f>IFERROR(IF(AND(Q17="H",E17="Pers"),LOOKUP(F17,Personnel_Code,Personnel_CoûtH),IF(AND(Q17="J",E17="Pers"),LOOKUP(F17,Personnel_Code,Personnel_CoûtJ),IF(E17="MatL",LOOKUP(F17,MatL_Code,MatL_Coût),IF(E17="MatX",LOOKUP(F17,MatX_Code,MatX_Prix),"")))),"")</f>
        <v>23.18</v>
      </c>
      <c r="I17" s="210">
        <f>IFERROR(G17*H17,"")</f>
        <v>1274.9000000000001</v>
      </c>
      <c r="J17" s="13" t="str">
        <f>IF(H17="","non","")</f>
        <v/>
      </c>
      <c r="K17" s="16">
        <f>IF(C17="","",MONTH(C17))</f>
        <v>1</v>
      </c>
      <c r="L17" s="16">
        <f>IF(C17="","",YEAR(C17))</f>
        <v>2016</v>
      </c>
      <c r="M17" s="13" t="str">
        <f>IF(B17="","",LOOKUP(B17,Table_Chantiers[],Chantier_Centre1))</f>
        <v>CP VITT</v>
      </c>
      <c r="N17" s="13" t="str">
        <f>IF(B17="","",LOOKUP(B17,Table_Chantiers[],Chantier_Centre2))</f>
        <v>CP VITT</v>
      </c>
      <c r="O17" s="13" t="str">
        <f>IF(B17="","",LOOKUP(B17,Table_Chantiers[],Chantier_UT))</f>
        <v>UT OUES</v>
      </c>
      <c r="P17" s="63" t="str">
        <f>IFERROR(IF(E17="Pers",LOOKUP(F17,Personnel_Code,Personnel_Lib),IF(E17="MatL",LOOKUP(F17,MatL_Code,MatL_Lib),IF(E17="MatX",LOOKUP(F17,MatX_Code,MatX_Lib),""))),"Cat. et Code non compatibles")</f>
        <v>ADJOINT TECHNIQUE</v>
      </c>
      <c r="Q17" s="13" t="str">
        <f>IFERROR(IF(AND(E17="Pers",RIGHT(B17,2)="13"),"J",IF(AND(E17="Pers",LEFT(B17,2)="UT"),"J",IF(AND(E17="Pers",RIGHT(B17,2)&lt;&gt;"13"),"H",IF(E17="MatL",LOOKUP(F17,MatL_Code,MatL_Unite),IF(E17="MatX",LOOKUP(F17,MatX_Code,MatX_Unite),""))))),"")</f>
        <v>H</v>
      </c>
      <c r="R17" s="16" t="str">
        <f>IFERROR(IF(D17="","",LOOKUP(D17,Table_Tâches[],Tâches_CodeETLib)),"")</f>
        <v>01710   INTERVENTIONS</v>
      </c>
      <c r="S17" s="144">
        <f>IF(OR(C17="",G17=""),"",G17/(NETWORKDAYS(DATE(YEAR(C17),1,1),DATE(YEAR(C17),12,31))-Annexe!$E$17))</f>
        <v>0.21739130434782608</v>
      </c>
      <c r="T17" s="207" t="str">
        <f t="shared" si="9"/>
        <v>1/2016</v>
      </c>
      <c r="U17" s="129">
        <v>3150</v>
      </c>
      <c r="W17" s="83"/>
      <c r="X17" s="83"/>
      <c r="Y17" s="83"/>
      <c r="Z17" s="83"/>
      <c r="AA17" s="83"/>
    </row>
    <row r="18" spans="1:27" s="4" customFormat="1" ht="15" customHeight="1">
      <c r="A18" s="13" t="s">
        <v>609</v>
      </c>
      <c r="B18" s="108" t="s">
        <v>422</v>
      </c>
      <c r="C18" s="208">
        <v>42374</v>
      </c>
      <c r="D18" s="209">
        <v>1710</v>
      </c>
      <c r="E18" s="207" t="s">
        <v>406</v>
      </c>
      <c r="F18" s="209">
        <v>11</v>
      </c>
      <c r="G18" s="169">
        <v>55</v>
      </c>
      <c r="H18" s="13">
        <f>IFERROR(IF(AND(Q18="H",E18="Pers"),LOOKUP(F18,Personnel_Code,Personnel_CoûtH),IF(AND(Q18="J",E18="Pers"),LOOKUP(F18,Personnel_Code,Personnel_CoûtJ),IF(E18="MatL",LOOKUP(F18,MatL_Code,MatL_Coût),IF(E18="MatX",LOOKUP(F18,MatX_Code,MatX_Prix),"")))),"")</f>
        <v>23.18</v>
      </c>
      <c r="I18" s="210">
        <f>IFERROR(G18*H18,"")</f>
        <v>1274.9000000000001</v>
      </c>
      <c r="J18" s="13" t="str">
        <f>IF(H18="","non","")</f>
        <v/>
      </c>
      <c r="K18" s="16">
        <f>IF(C18="","",MONTH(C18))</f>
        <v>1</v>
      </c>
      <c r="L18" s="16">
        <f>IF(C18="","",YEAR(C18))</f>
        <v>2016</v>
      </c>
      <c r="M18" s="13" t="str">
        <f>IF(B18="","",LOOKUP(B18,Table_Chantiers[],Chantier_Centre1))</f>
        <v>CP VITT</v>
      </c>
      <c r="N18" s="13" t="str">
        <f>IF(B18="","",LOOKUP(B18,Table_Chantiers[],Chantier_Centre2))</f>
        <v>CP VITT</v>
      </c>
      <c r="O18" s="13" t="str">
        <f>IF(B18="","",LOOKUP(B18,Table_Chantiers[],Chantier_UT))</f>
        <v>UT OUES</v>
      </c>
      <c r="P18" s="63" t="str">
        <f>IFERROR(IF(E18="Pers",LOOKUP(F18,Personnel_Code,Personnel_Lib),IF(E18="MatL",LOOKUP(F18,MatL_Code,MatL_Lib),IF(E18="MatX",LOOKUP(F18,MatX_Code,MatX_Lib),""))),"Cat. et Code non compatibles")</f>
        <v>ADJOINT TECHNIQUE</v>
      </c>
      <c r="Q18" s="13" t="str">
        <f>IFERROR(IF(AND(E18="Pers",RIGHT(B18,2)="13"),"J",IF(AND(E18="Pers",LEFT(B18,2)="UT"),"J",IF(AND(E18="Pers",RIGHT(B18,2)&lt;&gt;"13"),"H",IF(E18="MatL",LOOKUP(F18,MatL_Code,MatL_Unite),IF(E18="MatX",LOOKUP(F18,MatX_Code,MatX_Unite),""))))),"")</f>
        <v>H</v>
      </c>
      <c r="R18" s="16" t="str">
        <f>IFERROR(IF(D18="","",LOOKUP(D18,Table_Tâches[],Tâches_CodeETLib)),"")</f>
        <v>01710   INTERVENTIONS</v>
      </c>
      <c r="S18" s="144">
        <f>IF(OR(C18="",G18=""),"",G18/(NETWORKDAYS(DATE(YEAR(C18),1,1),DATE(YEAR(C18),12,31))-Annexe!$E$17))</f>
        <v>0.21739130434782608</v>
      </c>
      <c r="T18" s="207"/>
      <c r="U18" s="129">
        <v>3160</v>
      </c>
      <c r="W18" s="83"/>
      <c r="X18" s="83"/>
      <c r="Y18" s="83"/>
      <c r="Z18" s="83"/>
      <c r="AA18" s="83"/>
    </row>
    <row r="19" spans="1:27">
      <c r="A19" s="13" t="s">
        <v>610</v>
      </c>
      <c r="B19" s="108" t="s">
        <v>422</v>
      </c>
      <c r="C19" s="208">
        <v>42374</v>
      </c>
      <c r="D19" s="209">
        <v>1710</v>
      </c>
      <c r="E19" s="207" t="s">
        <v>406</v>
      </c>
      <c r="F19" s="209">
        <v>11</v>
      </c>
      <c r="G19" s="169">
        <v>55</v>
      </c>
      <c r="H19" s="13">
        <f>IFERROR(IF(AND(Q19="H",E19="Pers"),LOOKUP(F19,Personnel_Code,Personnel_CoûtH),IF(AND(Q19="J",E19="Pers"),LOOKUP(F19,Personnel_Code,Personnel_CoûtJ),IF(E19="MatL",LOOKUP(F19,MatL_Code,MatL_Coût),IF(E19="MatX",LOOKUP(F19,MatX_Code,MatX_Prix),"")))),"")</f>
        <v>23.18</v>
      </c>
      <c r="I19" s="210">
        <f>IFERROR(G19*H19,"")</f>
        <v>1274.9000000000001</v>
      </c>
      <c r="J19" s="13" t="str">
        <f>IF(H19="","non","")</f>
        <v/>
      </c>
      <c r="K19" s="16">
        <f>IF(C19="","",MONTH(C19))</f>
        <v>1</v>
      </c>
      <c r="L19" s="16">
        <f>IF(C19="","",YEAR(C19))</f>
        <v>2016</v>
      </c>
      <c r="M19" s="13" t="str">
        <f>IF(B19="","",LOOKUP(B19,Table_Chantiers[],Chantier_Centre1))</f>
        <v>CP VITT</v>
      </c>
      <c r="N19" s="13" t="str">
        <f>IF(B19="","",LOOKUP(B19,Table_Chantiers[],Chantier_Centre2))</f>
        <v>CP VITT</v>
      </c>
      <c r="O19" s="13" t="str">
        <f>IF(B19="","",LOOKUP(B19,Table_Chantiers[],Chantier_UT))</f>
        <v>UT OUES</v>
      </c>
      <c r="P19" s="63" t="str">
        <f>IFERROR(IF(E19="Pers",LOOKUP(F19,Personnel_Code,Personnel_Lib),IF(E19="MatL",LOOKUP(F19,MatL_Code,MatL_Lib),IF(E19="MatX",LOOKUP(F19,MatX_Code,MatX_Lib),""))),"Cat. et Code non compatibles")</f>
        <v>ADJOINT TECHNIQUE</v>
      </c>
      <c r="Q19" s="13" t="str">
        <f>IFERROR(IF(AND(E19="Pers",RIGHT(B19,2)="13"),"J",IF(AND(E19="Pers",LEFT(B19,2)="UT"),"J",IF(AND(E19="Pers",RIGHT(B19,2)&lt;&gt;"13"),"H",IF(E19="MatL",LOOKUP(F19,MatL_Code,MatL_Unite),IF(E19="MatX",LOOKUP(F19,MatX_Code,MatX_Unite),""))))),"")</f>
        <v>H</v>
      </c>
      <c r="R19" s="16" t="str">
        <f>IFERROR(IF(D19="","",LOOKUP(D19,Table_Tâches[],Tâches_CodeETLib)),"")</f>
        <v>01710   INTERVENTIONS</v>
      </c>
      <c r="S19" s="144">
        <f>IF(OR(C19="",G19=""),"",G19/(NETWORKDAYS(DATE(YEAR(C19),1,1),DATE(YEAR(C19),12,31))-Annexe!$E$17))</f>
        <v>0.21739130434782608</v>
      </c>
      <c r="T19" s="129"/>
      <c r="U19" s="129">
        <v>3161</v>
      </c>
    </row>
    <row r="20" spans="1:27">
      <c r="A20" s="13" t="s">
        <v>611</v>
      </c>
      <c r="B20" s="108" t="s">
        <v>422</v>
      </c>
      <c r="C20" s="208">
        <v>42374</v>
      </c>
      <c r="D20" s="209">
        <v>1710</v>
      </c>
      <c r="E20" s="207" t="s">
        <v>406</v>
      </c>
      <c r="F20" s="209">
        <v>11</v>
      </c>
      <c r="G20" s="169">
        <v>55</v>
      </c>
      <c r="H20" s="13">
        <f>IFERROR(IF(AND(Q20="H",E20="Pers"),LOOKUP(F20,Personnel_Code,Personnel_CoûtH),IF(AND(Q20="J",E20="Pers"),LOOKUP(F20,Personnel_Code,Personnel_CoûtJ),IF(E20="MatL",LOOKUP(F20,MatL_Code,MatL_Coût),IF(E20="MatX",LOOKUP(F20,MatX_Code,MatX_Prix),"")))),"")</f>
        <v>23.18</v>
      </c>
      <c r="I20" s="210">
        <f>IFERROR(G20*H20,"")</f>
        <v>1274.9000000000001</v>
      </c>
      <c r="J20" s="13" t="str">
        <f>IF(H20="","non","")</f>
        <v/>
      </c>
      <c r="K20" s="16">
        <f>IF(C20="","",MONTH(C20))</f>
        <v>1</v>
      </c>
      <c r="L20" s="16">
        <f>IF(C20="","",YEAR(C20))</f>
        <v>2016</v>
      </c>
      <c r="M20" s="13" t="str">
        <f>IF(B20="","",LOOKUP(B20,Table_Chantiers[],Chantier_Centre1))</f>
        <v>CP VITT</v>
      </c>
      <c r="N20" s="13" t="str">
        <f>IF(B20="","",LOOKUP(B20,Table_Chantiers[],Chantier_Centre2))</f>
        <v>CP VITT</v>
      </c>
      <c r="O20" s="13" t="str">
        <f>IF(B20="","",LOOKUP(B20,Table_Chantiers[],Chantier_UT))</f>
        <v>UT OUES</v>
      </c>
      <c r="P20" s="63" t="str">
        <f>IFERROR(IF(E20="Pers",LOOKUP(F20,Personnel_Code,Personnel_Lib),IF(E20="MatL",LOOKUP(F20,MatL_Code,MatL_Lib),IF(E20="MatX",LOOKUP(F20,MatX_Code,MatX_Lib),""))),"Cat. et Code non compatibles")</f>
        <v>ADJOINT TECHNIQUE</v>
      </c>
      <c r="Q20" s="13" t="str">
        <f>IFERROR(IF(AND(E20="Pers",RIGHT(B20,2)="13"),"J",IF(AND(E20="Pers",LEFT(B20,2)="UT"),"J",IF(AND(E20="Pers",RIGHT(B20,2)&lt;&gt;"13"),"H",IF(E20="MatL",LOOKUP(F20,MatL_Code,MatL_Unite),IF(E20="MatX",LOOKUP(F20,MatX_Code,MatX_Unite),""))))),"")</f>
        <v>H</v>
      </c>
      <c r="R20" s="16" t="str">
        <f>IFERROR(IF(D20="","",LOOKUP(D20,Table_Tâches[],Tâches_CodeETLib)),"")</f>
        <v>01710   INTERVENTIONS</v>
      </c>
      <c r="S20" s="144">
        <f>IF(OR(C20="",G20=""),"",G20/(NETWORKDAYS(DATE(YEAR(C20),1,1),DATE(YEAR(C20),12,31))-Annexe!$E$17))</f>
        <v>0.21739130434782608</v>
      </c>
      <c r="T20" s="129"/>
      <c r="U20" s="129">
        <v>3162</v>
      </c>
    </row>
  </sheetData>
  <sheetProtection deleteRows="0" selectLockedCells="1" sort="0" autoFilter="0"/>
  <sortState ref="A2:I13">
    <sortCondition descending="1" ref="A2"/>
  </sortState>
  <dataValidations count="1">
    <dataValidation type="list" allowBlank="1" showInputMessage="1" showErrorMessage="1" sqref="E21:E1048576">
      <formula1>"MatL,MatX,Pers"</formula1>
    </dataValidation>
  </dataValidations>
  <pageMargins left="0.11811023622047245" right="0.23622047244094491" top="0.59055118110236227" bottom="0.74803149606299213" header="0.19685039370078741" footer="0.31496062992125984"/>
  <pageSetup paperSize="9" scale="99" fitToHeight="0" orientation="landscape" r:id="rId1"/>
  <headerFooter>
    <oddHeader>&amp;C&amp;"-,Gras"&amp;20Base de données des saisies</oddHead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>
    <tabColor rgb="FF00CC00"/>
    <pageSetUpPr autoPageBreaks="0" fitToPage="1"/>
  </sheetPr>
  <dimension ref="A1:AA61"/>
  <sheetViews>
    <sheetView tabSelected="1" zoomScale="97" zoomScaleNormal="97" workbookViewId="0">
      <selection activeCell="U2" sqref="U2"/>
    </sheetView>
  </sheetViews>
  <sheetFormatPr baseColWidth="10" defaultRowHeight="15"/>
  <cols>
    <col min="1" max="1" width="8" style="3" customWidth="1"/>
    <col min="2" max="2" width="5.7109375" style="3" customWidth="1"/>
    <col min="3" max="3" width="12.42578125" style="3" customWidth="1"/>
    <col min="4" max="4" width="13.85546875" style="3" customWidth="1"/>
    <col min="5" max="5" width="13.28515625" style="3" customWidth="1"/>
    <col min="6" max="6" width="11.42578125" style="3" customWidth="1"/>
    <col min="7" max="7" width="6.140625" style="3" customWidth="1"/>
    <col min="8" max="9" width="11.42578125" style="3" customWidth="1"/>
    <col min="10" max="10" width="11.42578125" style="8" customWidth="1"/>
    <col min="11" max="12" width="11.42578125" style="3" customWidth="1"/>
    <col min="13" max="13" width="11.42578125" style="18" customWidth="1"/>
    <col min="14" max="15" width="11.42578125" style="3" customWidth="1"/>
    <col min="16" max="16" width="15.7109375" style="3" customWidth="1"/>
    <col min="17" max="17" width="11.42578125" style="8"/>
    <col min="18" max="18" width="17.42578125" style="3" customWidth="1"/>
    <col min="19" max="19" width="14" style="3" customWidth="1"/>
    <col min="20" max="22" width="11.42578125" style="3"/>
    <col min="23" max="23" width="9" style="65" customWidth="1"/>
    <col min="24" max="27" width="11.42578125" style="3" customWidth="1"/>
    <col min="28" max="16384" width="11.42578125" style="3"/>
  </cols>
  <sheetData>
    <row r="1" spans="1:27" s="6" customFormat="1">
      <c r="A1" s="6" t="s">
        <v>26</v>
      </c>
      <c r="B1" s="6" t="s">
        <v>27</v>
      </c>
      <c r="C1" s="6" t="s">
        <v>0</v>
      </c>
      <c r="D1" s="6" t="s">
        <v>28</v>
      </c>
      <c r="E1" s="6" t="s">
        <v>41</v>
      </c>
      <c r="F1" s="6" t="s">
        <v>31</v>
      </c>
      <c r="G1" s="6" t="s">
        <v>30</v>
      </c>
      <c r="H1" s="6" t="s">
        <v>42</v>
      </c>
      <c r="I1" s="6" t="s">
        <v>43</v>
      </c>
      <c r="J1" s="129" t="s">
        <v>45</v>
      </c>
      <c r="K1" s="49" t="s">
        <v>97</v>
      </c>
      <c r="L1" s="6" t="s">
        <v>104</v>
      </c>
      <c r="M1" s="49" t="s">
        <v>98</v>
      </c>
      <c r="N1" s="6" t="s">
        <v>99</v>
      </c>
      <c r="O1" s="6" t="s">
        <v>49</v>
      </c>
      <c r="P1" s="6" t="s">
        <v>102</v>
      </c>
      <c r="Q1" s="4" t="s">
        <v>35</v>
      </c>
      <c r="R1" s="6" t="s">
        <v>106</v>
      </c>
      <c r="S1" s="6" t="s">
        <v>144</v>
      </c>
      <c r="T1" s="158" t="s">
        <v>231</v>
      </c>
      <c r="W1" s="127" t="s">
        <v>103</v>
      </c>
      <c r="X1" s="128"/>
    </row>
    <row r="2" spans="1:27" s="4" customFormat="1">
      <c r="A2" s="13" t="str">
        <f t="shared" ref="A2:A22" si="0">W2</f>
        <v>3163.01</v>
      </c>
      <c r="B2" s="108" t="str">
        <f>IF(OR(E2="",G2=0),"",$D$27)</f>
        <v>VI 03</v>
      </c>
      <c r="C2" s="109">
        <f t="shared" ref="C2" si="1">IF(OR(E2="",G2=""),"",$D$29)</f>
        <v>42374</v>
      </c>
      <c r="D2" s="110">
        <f t="shared" ref="D2" si="2">IF(OR(E2="",G2=""),"",$H$27)</f>
        <v>1710</v>
      </c>
      <c r="E2" s="83" t="str">
        <f t="shared" ref="E2" si="3">IF(B33=1,"Pers",IF(B33=2,"MatL",IF(B33=3,"MatX","")))</f>
        <v>Pers</v>
      </c>
      <c r="F2" s="110">
        <f t="shared" ref="F2" si="4">C33</f>
        <v>11</v>
      </c>
      <c r="G2" s="84">
        <f t="shared" ref="G2:G22" si="5">F33</f>
        <v>55</v>
      </c>
      <c r="H2" s="75">
        <f>IFERROR(IF(AND(Q2="H",E2="Pers"),LOOKUP(F2,Personnel_Code,Personnel_CoûtH),IF(AND(Q2="J",E2="Pers"),LOOKUP(F2,Personnel_Code,Personnel_CoûtJ),IF(E2="MatL",LOOKUP(F2,MatL_Code,MatL_Coût),IF(E2="MatX",LOOKUP(F2,MatX_Code,MatX_Prix),"")))),"")</f>
        <v>23.18</v>
      </c>
      <c r="I2" s="81">
        <f>IFERROR(G2*H2,"")</f>
        <v>1274.9000000000001</v>
      </c>
      <c r="J2" s="13" t="str">
        <f t="shared" ref="J2" si="6">IF(H2="","non","")</f>
        <v/>
      </c>
      <c r="K2" s="16">
        <f>IF(C2="","",MONTH(C2))</f>
        <v>1</v>
      </c>
      <c r="L2" s="16">
        <f>IF(C2="","",YEAR(C2))</f>
        <v>2016</v>
      </c>
      <c r="M2" s="13" t="str">
        <f>IF(B2="","",LOOKUP(B2,Table_Chantiers[],Chantier_Centre1))</f>
        <v>CP VITT</v>
      </c>
      <c r="N2" s="13" t="str">
        <f>IF(B2="","",LOOKUP(B2,Table_Chantiers[],Chantier_Centre2))</f>
        <v>CP VITT</v>
      </c>
      <c r="O2" s="13" t="str">
        <f>IF(B2="","",LOOKUP(B2,Table_Chantiers[],Chantier_UT))</f>
        <v>UT OUES</v>
      </c>
      <c r="P2" s="66" t="str">
        <f t="shared" ref="P2:P22" si="7">IFERROR(IF(E2="Pers",LOOKUP(F2,Personnel_Code,Personnel_Lib),IF(E2="MatL",LOOKUP(F2,MatL_Code,MatL_Lib),IF(E2="MatX",LOOKUP(F2,MatX_Code,MatX_Lib),""))),"Cat. et Code non compatibles")</f>
        <v>ADJOINT TECHNIQUE</v>
      </c>
      <c r="Q2" s="75" t="str">
        <f t="shared" ref="Q2:Q22" si="8"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4" t="str">
        <f>IFERROR(IF(D2="","",LOOKUP(D2,Table_Tâches[],Tâches_CodeETLib)),"")</f>
        <v>01710   INTERVENTIONS</v>
      </c>
      <c r="S2" s="124">
        <f>IF(OR(C2="",G2=""),"",G2/(NETWORKDAYS(DATE(YEAR(C2),1,1),DATE(YEAR(C2),12,31))-Annexe!$E$17))</f>
        <v>0.21739130434782608</v>
      </c>
      <c r="T2" s="118" t="str">
        <f t="shared" ref="T2:T22" si="9">K2&amp; "/"&amp; L2</f>
        <v>1/2016</v>
      </c>
      <c r="U2" s="62">
        <f>ROUND(MAX(BD!U:U),0)+1</f>
        <v>3163</v>
      </c>
      <c r="V2" s="12" t="s">
        <v>76</v>
      </c>
      <c r="W2" s="12" t="str">
        <f>U2&amp; ""&amp; V2</f>
        <v>3163.01</v>
      </c>
      <c r="AA2" s="4" t="str">
        <f>K2 &amp;"/" &amp; L2</f>
        <v>1/2016</v>
      </c>
    </row>
    <row r="3" spans="1:27" s="6" customFormat="1">
      <c r="A3" s="12" t="str">
        <f t="shared" si="0"/>
        <v>3163.02</v>
      </c>
      <c r="B3" s="108" t="str">
        <f t="shared" ref="B3:B22" si="10">IF(OR(E3="",G3=0),"",$D$27)</f>
        <v/>
      </c>
      <c r="C3" s="109" t="str">
        <f t="shared" ref="C3:C22" si="11">IF(OR(E3="",G3=""),"",$D$29)</f>
        <v/>
      </c>
      <c r="D3" s="110" t="str">
        <f t="shared" ref="D3:D22" si="12">IF(OR(E3="",G3=""),"",$H$27)</f>
        <v/>
      </c>
      <c r="E3" s="83" t="str">
        <f t="shared" ref="E3:E22" si="13">IF(B34=1,"Pers",IF(B34=2,"MatL",IF(B34=3,"MatX","")))</f>
        <v/>
      </c>
      <c r="F3" s="110">
        <f t="shared" ref="F3:F22" si="14">C34</f>
        <v>0</v>
      </c>
      <c r="G3" s="84">
        <f t="shared" si="5"/>
        <v>0</v>
      </c>
      <c r="H3" s="75" t="str">
        <f t="shared" ref="H3:H22" si="15">IFERROR(IF(AND(Q3="H",E3="Pers"),LOOKUP(F3,Personnel_Code,Personnel_CoûtH),IF(AND(Q3="J",E3="Pers"),LOOKUP(F3,Personnel_Code,Personnel_CoûtJ),IF(E3="MatL",LOOKUP(F3,MatL_Code,MatL_Coût),IF(E3="MatX",LOOKUP(F3,MatX_Code,MatX_Prix),"")))),"")</f>
        <v/>
      </c>
      <c r="I3" s="81" t="str">
        <f t="shared" ref="I3:I22" si="16">IFERROR(G3*H3,"")</f>
        <v/>
      </c>
      <c r="J3" s="13" t="str">
        <f t="shared" ref="J3:J22" si="17">IF(H3="","non","")</f>
        <v>non</v>
      </c>
      <c r="K3" s="16" t="str">
        <f t="shared" ref="K3:K22" si="18">IF(C3="","",MONTH(C3))</f>
        <v/>
      </c>
      <c r="L3" s="16" t="str">
        <f t="shared" ref="L3:L22" si="19">IF(C3="","",YEAR(C3))</f>
        <v/>
      </c>
      <c r="M3" s="13" t="str">
        <f>IF(B3="","",LOOKUP(B3,Table_Chantiers[],Chantier_Centre1))</f>
        <v/>
      </c>
      <c r="N3" s="13" t="str">
        <f>IF(B3="","",LOOKUP(B3,Table_Chantiers[],Chantier_Centre2))</f>
        <v/>
      </c>
      <c r="O3" s="13" t="str">
        <f>IF(B3="","",LOOKUP(B3,Table_Chantiers[],Chantier_UT))</f>
        <v/>
      </c>
      <c r="P3" s="66" t="str">
        <f t="shared" si="7"/>
        <v/>
      </c>
      <c r="Q3" s="75" t="str">
        <f t="shared" si="8"/>
        <v/>
      </c>
      <c r="R3" s="4" t="str">
        <f>IFERROR(IF(D3="","",LOOKUP(D3,Table_Tâches[],Tâches_CodeETLib)),"")</f>
        <v/>
      </c>
      <c r="S3" s="124" t="str">
        <f>IF(OR(C3="",G3=""),"",G3/(NETWORKDAYS(DATE(YEAR(C3),1,1),DATE(YEAR(C3),12,31))-Annexe!$E$17))</f>
        <v/>
      </c>
      <c r="T3" s="118" t="str">
        <f t="shared" si="9"/>
        <v>/</v>
      </c>
      <c r="U3" s="62">
        <f>ROUND(MAX(BD!U:U),0)+1</f>
        <v>3163</v>
      </c>
      <c r="V3" s="12" t="s">
        <v>77</v>
      </c>
      <c r="W3" s="12" t="str">
        <f t="shared" ref="W3:W22" si="20">U3&amp; ""&amp; V3</f>
        <v>3163.02</v>
      </c>
      <c r="Y3" s="4"/>
      <c r="Z3" s="5"/>
      <c r="AA3" s="4" t="str">
        <f t="shared" ref="AA3:AA23" si="21">K3 &amp;"/" &amp; L3</f>
        <v>/</v>
      </c>
    </row>
    <row r="4" spans="1:27" s="6" customFormat="1">
      <c r="A4" s="13" t="str">
        <f t="shared" si="0"/>
        <v>3163.03</v>
      </c>
      <c r="B4" s="108" t="str">
        <f t="shared" si="10"/>
        <v/>
      </c>
      <c r="C4" s="109" t="str">
        <f t="shared" si="11"/>
        <v/>
      </c>
      <c r="D4" s="110" t="str">
        <f t="shared" si="12"/>
        <v/>
      </c>
      <c r="E4" s="83" t="str">
        <f t="shared" si="13"/>
        <v/>
      </c>
      <c r="F4" s="110">
        <f t="shared" si="14"/>
        <v>0</v>
      </c>
      <c r="G4" s="84">
        <f>F35</f>
        <v>0</v>
      </c>
      <c r="H4" s="75" t="str">
        <f t="shared" si="15"/>
        <v/>
      </c>
      <c r="I4" s="81" t="str">
        <f t="shared" si="16"/>
        <v/>
      </c>
      <c r="J4" s="13" t="str">
        <f t="shared" si="17"/>
        <v>non</v>
      </c>
      <c r="K4" s="16" t="str">
        <f t="shared" si="18"/>
        <v/>
      </c>
      <c r="L4" s="16" t="str">
        <f t="shared" si="19"/>
        <v/>
      </c>
      <c r="M4" s="13" t="str">
        <f>IF(B4="","",LOOKUP(B4,Table_Chantiers[],Chantier_Centre1))</f>
        <v/>
      </c>
      <c r="N4" s="13" t="str">
        <f>IF(B4="","",LOOKUP(B4,Table_Chantiers[],Chantier_Centre2))</f>
        <v/>
      </c>
      <c r="O4" s="13" t="str">
        <f>IF(B4="","",LOOKUP(B4,Table_Chantiers[],Chantier_UT))</f>
        <v/>
      </c>
      <c r="P4" s="66" t="str">
        <f t="shared" si="7"/>
        <v/>
      </c>
      <c r="Q4" s="75" t="str">
        <f t="shared" si="8"/>
        <v/>
      </c>
      <c r="R4" s="4" t="str">
        <f>IFERROR(IF(D4="","",LOOKUP(D4,Table_Tâches[],Tâches_CodeETLib)),"")</f>
        <v/>
      </c>
      <c r="S4" s="124" t="str">
        <f>IF(OR(C4="",G4=""),"",G4/(NETWORKDAYS(DATE(YEAR(C4),1,1),DATE(YEAR(C4),12,31))-Annexe!$E$17))</f>
        <v/>
      </c>
      <c r="T4" s="118" t="str">
        <f t="shared" si="9"/>
        <v>/</v>
      </c>
      <c r="U4" s="62">
        <f>ROUND(MAX(BD!U:U),0)+1</f>
        <v>3163</v>
      </c>
      <c r="V4" s="12" t="s">
        <v>78</v>
      </c>
      <c r="W4" s="12" t="str">
        <f t="shared" si="20"/>
        <v>3163.03</v>
      </c>
      <c r="Z4" s="5"/>
      <c r="AA4" s="4" t="str">
        <f t="shared" si="21"/>
        <v>/</v>
      </c>
    </row>
    <row r="5" spans="1:27" s="6" customFormat="1">
      <c r="A5" s="12" t="str">
        <f t="shared" si="0"/>
        <v>3163.04</v>
      </c>
      <c r="B5" s="108" t="str">
        <f t="shared" si="10"/>
        <v/>
      </c>
      <c r="C5" s="109" t="str">
        <f t="shared" si="11"/>
        <v/>
      </c>
      <c r="D5" s="110" t="str">
        <f t="shared" si="12"/>
        <v/>
      </c>
      <c r="E5" s="83" t="str">
        <f t="shared" si="13"/>
        <v/>
      </c>
      <c r="F5" s="110">
        <f t="shared" si="14"/>
        <v>0</v>
      </c>
      <c r="G5" s="84">
        <f t="shared" si="5"/>
        <v>0</v>
      </c>
      <c r="H5" s="75" t="str">
        <f t="shared" si="15"/>
        <v/>
      </c>
      <c r="I5" s="81" t="str">
        <f t="shared" si="16"/>
        <v/>
      </c>
      <c r="J5" s="13" t="str">
        <f t="shared" si="17"/>
        <v>non</v>
      </c>
      <c r="K5" s="16" t="str">
        <f t="shared" si="18"/>
        <v/>
      </c>
      <c r="L5" s="16" t="str">
        <f t="shared" si="19"/>
        <v/>
      </c>
      <c r="M5" s="13" t="str">
        <f>IF(B5="","",LOOKUP(B5,Table_Chantiers[],Chantier_Centre1))</f>
        <v/>
      </c>
      <c r="N5" s="13" t="str">
        <f>IF(B5="","",LOOKUP(B5,Table_Chantiers[],Chantier_Centre2))</f>
        <v/>
      </c>
      <c r="O5" s="13" t="str">
        <f>IF(B5="","",LOOKUP(B5,Table_Chantiers[],Chantier_UT))</f>
        <v/>
      </c>
      <c r="P5" s="66" t="str">
        <f t="shared" si="7"/>
        <v/>
      </c>
      <c r="Q5" s="75" t="str">
        <f t="shared" si="8"/>
        <v/>
      </c>
      <c r="R5" s="4" t="str">
        <f>IFERROR(IF(D5="","",LOOKUP(D5,Table_Tâches[],Tâches_CodeETLib)),"")</f>
        <v/>
      </c>
      <c r="S5" s="124" t="str">
        <f>IF(OR(C5="",G5=""),"",G5/(NETWORKDAYS(DATE(YEAR(C5),1,1),DATE(YEAR(C5),12,31))-Annexe!$E$17))</f>
        <v/>
      </c>
      <c r="T5" s="118" t="str">
        <f t="shared" si="9"/>
        <v>/</v>
      </c>
      <c r="U5" s="62">
        <f>ROUND(MAX(BD!U:U),0)+1</f>
        <v>3163</v>
      </c>
      <c r="V5" s="12" t="s">
        <v>79</v>
      </c>
      <c r="W5" s="12" t="str">
        <f t="shared" si="20"/>
        <v>3163.04</v>
      </c>
      <c r="Z5" s="5"/>
      <c r="AA5" s="4" t="str">
        <f t="shared" si="21"/>
        <v>/</v>
      </c>
    </row>
    <row r="6" spans="1:27" s="6" customFormat="1">
      <c r="A6" s="12" t="str">
        <f t="shared" si="0"/>
        <v>3163.05</v>
      </c>
      <c r="B6" s="108" t="str">
        <f t="shared" si="10"/>
        <v/>
      </c>
      <c r="C6" s="109" t="str">
        <f t="shared" si="11"/>
        <v/>
      </c>
      <c r="D6" s="110" t="str">
        <f t="shared" si="12"/>
        <v/>
      </c>
      <c r="E6" s="83" t="str">
        <f t="shared" si="13"/>
        <v/>
      </c>
      <c r="F6" s="110">
        <f t="shared" si="14"/>
        <v>0</v>
      </c>
      <c r="G6" s="84">
        <f t="shared" si="5"/>
        <v>0</v>
      </c>
      <c r="H6" s="75" t="str">
        <f t="shared" si="15"/>
        <v/>
      </c>
      <c r="I6" s="81" t="str">
        <f t="shared" si="16"/>
        <v/>
      </c>
      <c r="J6" s="13" t="str">
        <f t="shared" si="17"/>
        <v>non</v>
      </c>
      <c r="K6" s="16" t="str">
        <f t="shared" si="18"/>
        <v/>
      </c>
      <c r="L6" s="16" t="str">
        <f t="shared" si="19"/>
        <v/>
      </c>
      <c r="M6" s="13" t="str">
        <f>IF(B6="","",LOOKUP(B6,Table_Chantiers[],Chantier_Centre1))</f>
        <v/>
      </c>
      <c r="N6" s="13" t="str">
        <f>IF(B6="","",LOOKUP(B6,Table_Chantiers[],Chantier_Centre2))</f>
        <v/>
      </c>
      <c r="O6" s="13" t="str">
        <f>IF(B6="","",LOOKUP(B6,Table_Chantiers[],Chantier_UT))</f>
        <v/>
      </c>
      <c r="P6" s="66" t="str">
        <f t="shared" si="7"/>
        <v/>
      </c>
      <c r="Q6" s="75" t="str">
        <f t="shared" si="8"/>
        <v/>
      </c>
      <c r="R6" s="4" t="str">
        <f>IFERROR(IF(D6="","",LOOKUP(D6,Table_Tâches[],Tâches_CodeETLib)),"")</f>
        <v/>
      </c>
      <c r="S6" s="124" t="str">
        <f>IF(OR(C6="",G6=""),"",G6/(NETWORKDAYS(DATE(YEAR(C6),1,1),DATE(YEAR(C6),12,31))-Annexe!$E$17))</f>
        <v/>
      </c>
      <c r="T6" s="118" t="str">
        <f t="shared" si="9"/>
        <v>/</v>
      </c>
      <c r="U6" s="62">
        <f>ROUND(MAX(BD!U:U),0)+1</f>
        <v>3163</v>
      </c>
      <c r="V6" s="12" t="s">
        <v>80</v>
      </c>
      <c r="W6" s="12" t="str">
        <f t="shared" si="20"/>
        <v>3163.05</v>
      </c>
      <c r="Z6" s="5"/>
      <c r="AA6" s="4" t="str">
        <f t="shared" si="21"/>
        <v>/</v>
      </c>
    </row>
    <row r="7" spans="1:27" s="6" customFormat="1">
      <c r="A7" s="12" t="str">
        <f t="shared" si="0"/>
        <v>3163.06</v>
      </c>
      <c r="B7" s="108" t="str">
        <f t="shared" si="10"/>
        <v/>
      </c>
      <c r="C7" s="109" t="str">
        <f t="shared" si="11"/>
        <v/>
      </c>
      <c r="D7" s="110" t="str">
        <f t="shared" si="12"/>
        <v/>
      </c>
      <c r="E7" s="83" t="str">
        <f t="shared" si="13"/>
        <v/>
      </c>
      <c r="F7" s="110">
        <f t="shared" si="14"/>
        <v>0</v>
      </c>
      <c r="G7" s="84">
        <f t="shared" si="5"/>
        <v>0</v>
      </c>
      <c r="H7" s="75" t="str">
        <f t="shared" si="15"/>
        <v/>
      </c>
      <c r="I7" s="81" t="str">
        <f t="shared" si="16"/>
        <v/>
      </c>
      <c r="J7" s="13" t="str">
        <f t="shared" si="17"/>
        <v>non</v>
      </c>
      <c r="K7" s="16" t="str">
        <f t="shared" si="18"/>
        <v/>
      </c>
      <c r="L7" s="16" t="str">
        <f t="shared" si="19"/>
        <v/>
      </c>
      <c r="M7" s="13" t="str">
        <f>IF(B7="","",LOOKUP(B7,Table_Chantiers[],Chantier_Centre1))</f>
        <v/>
      </c>
      <c r="N7" s="13" t="str">
        <f>IF(B7="","",LOOKUP(B7,Table_Chantiers[],Chantier_Centre2))</f>
        <v/>
      </c>
      <c r="O7" s="13" t="str">
        <f>IF(B7="","",LOOKUP(B7,Table_Chantiers[],Chantier_UT))</f>
        <v/>
      </c>
      <c r="P7" s="66" t="str">
        <f t="shared" si="7"/>
        <v/>
      </c>
      <c r="Q7" s="75" t="str">
        <f t="shared" si="8"/>
        <v/>
      </c>
      <c r="R7" s="4" t="str">
        <f>IFERROR(IF(D7="","",LOOKUP(D7,Table_Tâches[],Tâches_CodeETLib)),"")</f>
        <v/>
      </c>
      <c r="S7" s="124" t="str">
        <f>IF(OR(C7="",G7=""),"",G7/(NETWORKDAYS(DATE(YEAR(C7),1,1),DATE(YEAR(C7),12,31))-Annexe!$E$17))</f>
        <v/>
      </c>
      <c r="T7" s="118" t="str">
        <f t="shared" si="9"/>
        <v>/</v>
      </c>
      <c r="U7" s="62">
        <f>ROUND(MAX(BD!U:U),0)+1</f>
        <v>3163</v>
      </c>
      <c r="V7" s="12" t="s">
        <v>81</v>
      </c>
      <c r="W7" s="12" t="str">
        <f t="shared" si="20"/>
        <v>3163.06</v>
      </c>
      <c r="Z7" s="5"/>
      <c r="AA7" s="4" t="str">
        <f t="shared" si="21"/>
        <v>/</v>
      </c>
    </row>
    <row r="8" spans="1:27" s="6" customFormat="1">
      <c r="A8" s="12" t="str">
        <f t="shared" si="0"/>
        <v>3163.07</v>
      </c>
      <c r="B8" s="108" t="str">
        <f t="shared" si="10"/>
        <v/>
      </c>
      <c r="C8" s="109" t="str">
        <f t="shared" si="11"/>
        <v/>
      </c>
      <c r="D8" s="110" t="str">
        <f t="shared" si="12"/>
        <v/>
      </c>
      <c r="E8" s="83" t="str">
        <f t="shared" si="13"/>
        <v/>
      </c>
      <c r="F8" s="110">
        <f t="shared" si="14"/>
        <v>0</v>
      </c>
      <c r="G8" s="84">
        <f t="shared" si="5"/>
        <v>0</v>
      </c>
      <c r="H8" s="75" t="str">
        <f t="shared" si="15"/>
        <v/>
      </c>
      <c r="I8" s="81" t="str">
        <f t="shared" si="16"/>
        <v/>
      </c>
      <c r="J8" s="13" t="str">
        <f t="shared" si="17"/>
        <v>non</v>
      </c>
      <c r="K8" s="16" t="str">
        <f t="shared" si="18"/>
        <v/>
      </c>
      <c r="L8" s="16" t="str">
        <f t="shared" si="19"/>
        <v/>
      </c>
      <c r="M8" s="13" t="str">
        <f>IF(B8="","",LOOKUP(B8,Table_Chantiers[],Chantier_Centre1))</f>
        <v/>
      </c>
      <c r="N8" s="13" t="str">
        <f>IF(B8="","",LOOKUP(B8,Table_Chantiers[],Chantier_Centre2))</f>
        <v/>
      </c>
      <c r="O8" s="13" t="str">
        <f>IF(B8="","",LOOKUP(B8,Table_Chantiers[],Chantier_UT))</f>
        <v/>
      </c>
      <c r="P8" s="66" t="str">
        <f t="shared" si="7"/>
        <v/>
      </c>
      <c r="Q8" s="75" t="str">
        <f t="shared" si="8"/>
        <v/>
      </c>
      <c r="R8" s="4" t="str">
        <f>IFERROR(IF(D8="","",LOOKUP(D8,Table_Tâches[],Tâches_CodeETLib)),"")</f>
        <v/>
      </c>
      <c r="S8" s="124" t="str">
        <f>IF(OR(C8="",G8=""),"",G8/(NETWORKDAYS(DATE(YEAR(C8),1,1),DATE(YEAR(C8),12,31))-Annexe!$E$17))</f>
        <v/>
      </c>
      <c r="T8" s="118" t="str">
        <f t="shared" si="9"/>
        <v>/</v>
      </c>
      <c r="U8" s="62">
        <f>ROUND(MAX(BD!U:U),0)+1</f>
        <v>3163</v>
      </c>
      <c r="V8" s="12" t="s">
        <v>82</v>
      </c>
      <c r="W8" s="12" t="str">
        <f t="shared" si="20"/>
        <v>3163.07</v>
      </c>
      <c r="Z8" s="5"/>
      <c r="AA8" s="4" t="str">
        <f t="shared" si="21"/>
        <v>/</v>
      </c>
    </row>
    <row r="9" spans="1:27" s="6" customFormat="1">
      <c r="A9" s="12" t="str">
        <f t="shared" si="0"/>
        <v>3163.08</v>
      </c>
      <c r="B9" s="108" t="str">
        <f t="shared" si="10"/>
        <v/>
      </c>
      <c r="C9" s="109" t="str">
        <f t="shared" si="11"/>
        <v/>
      </c>
      <c r="D9" s="110" t="str">
        <f t="shared" si="12"/>
        <v/>
      </c>
      <c r="E9" s="83" t="str">
        <f t="shared" si="13"/>
        <v/>
      </c>
      <c r="F9" s="110">
        <f t="shared" si="14"/>
        <v>0</v>
      </c>
      <c r="G9" s="84">
        <f t="shared" si="5"/>
        <v>0</v>
      </c>
      <c r="H9" s="75" t="str">
        <f t="shared" si="15"/>
        <v/>
      </c>
      <c r="I9" s="81" t="str">
        <f t="shared" si="16"/>
        <v/>
      </c>
      <c r="J9" s="13" t="str">
        <f t="shared" si="17"/>
        <v>non</v>
      </c>
      <c r="K9" s="16" t="str">
        <f t="shared" si="18"/>
        <v/>
      </c>
      <c r="L9" s="16" t="str">
        <f t="shared" si="19"/>
        <v/>
      </c>
      <c r="M9" s="13" t="str">
        <f>IF(B9="","",LOOKUP(B9,Table_Chantiers[],Chantier_Centre1))</f>
        <v/>
      </c>
      <c r="N9" s="13" t="str">
        <f>IF(B9="","",LOOKUP(B9,Table_Chantiers[],Chantier_Centre2))</f>
        <v/>
      </c>
      <c r="O9" s="13" t="str">
        <f>IF(B9="","",LOOKUP(B9,Table_Chantiers[],Chantier_UT))</f>
        <v/>
      </c>
      <c r="P9" s="66" t="str">
        <f t="shared" si="7"/>
        <v/>
      </c>
      <c r="Q9" s="75" t="str">
        <f t="shared" si="8"/>
        <v/>
      </c>
      <c r="R9" s="4" t="str">
        <f>IFERROR(IF(D9="","",LOOKUP(D9,Table_Tâches[],Tâches_CodeETLib)),"")</f>
        <v/>
      </c>
      <c r="S9" s="124" t="str">
        <f>IF(OR(C9="",G9=""),"",G9/(NETWORKDAYS(DATE(YEAR(C9),1,1),DATE(YEAR(C9),12,31))-Annexe!$E$17))</f>
        <v/>
      </c>
      <c r="T9" s="118" t="str">
        <f t="shared" si="9"/>
        <v>/</v>
      </c>
      <c r="U9" s="62">
        <f>ROUND(MAX(BD!U:U),0)+1</f>
        <v>3163</v>
      </c>
      <c r="V9" s="12" t="s">
        <v>83</v>
      </c>
      <c r="W9" s="12" t="str">
        <f t="shared" si="20"/>
        <v>3163.08</v>
      </c>
      <c r="Z9" s="5"/>
      <c r="AA9" s="4" t="str">
        <f t="shared" si="21"/>
        <v>/</v>
      </c>
    </row>
    <row r="10" spans="1:27" s="6" customFormat="1">
      <c r="A10" s="12" t="str">
        <f t="shared" si="0"/>
        <v>3163.09</v>
      </c>
      <c r="B10" s="108" t="str">
        <f t="shared" si="10"/>
        <v/>
      </c>
      <c r="C10" s="109" t="str">
        <f t="shared" si="11"/>
        <v/>
      </c>
      <c r="D10" s="110" t="str">
        <f t="shared" si="12"/>
        <v/>
      </c>
      <c r="E10" s="83" t="str">
        <f t="shared" si="13"/>
        <v/>
      </c>
      <c r="F10" s="110">
        <f t="shared" si="14"/>
        <v>0</v>
      </c>
      <c r="G10" s="84">
        <f>F41</f>
        <v>0</v>
      </c>
      <c r="H10" s="75" t="str">
        <f t="shared" si="15"/>
        <v/>
      </c>
      <c r="I10" s="81" t="str">
        <f t="shared" si="16"/>
        <v/>
      </c>
      <c r="J10" s="13" t="str">
        <f t="shared" si="17"/>
        <v>non</v>
      </c>
      <c r="K10" s="16" t="str">
        <f t="shared" si="18"/>
        <v/>
      </c>
      <c r="L10" s="16" t="str">
        <f t="shared" si="19"/>
        <v/>
      </c>
      <c r="M10" s="13" t="str">
        <f>IF(B10="","",LOOKUP(B10,Table_Chantiers[],Chantier_Centre1))</f>
        <v/>
      </c>
      <c r="N10" s="13" t="str">
        <f>IF(B10="","",LOOKUP(B10,Table_Chantiers[],Chantier_Centre2))</f>
        <v/>
      </c>
      <c r="O10" s="13" t="str">
        <f>IF(B10="","",LOOKUP(B10,Table_Chantiers[],Chantier_UT))</f>
        <v/>
      </c>
      <c r="P10" s="66" t="str">
        <f t="shared" si="7"/>
        <v/>
      </c>
      <c r="Q10" s="75" t="str">
        <f t="shared" si="8"/>
        <v/>
      </c>
      <c r="R10" s="4" t="str">
        <f>IFERROR(IF(D10="","",LOOKUP(D10,Table_Tâches[],Tâches_CodeETLib)),"")</f>
        <v/>
      </c>
      <c r="S10" s="124" t="str">
        <f>IF(OR(C10="",G10=""),"",G10/(NETWORKDAYS(DATE(YEAR(C10),1,1),DATE(YEAR(C10),12,31))-Annexe!$E$17))</f>
        <v/>
      </c>
      <c r="T10" s="118" t="str">
        <f t="shared" si="9"/>
        <v>/</v>
      </c>
      <c r="U10" s="62">
        <f>ROUND(MAX(BD!U:U),0)+1</f>
        <v>3163</v>
      </c>
      <c r="V10" s="12" t="s">
        <v>84</v>
      </c>
      <c r="W10" s="12" t="str">
        <f t="shared" si="20"/>
        <v>3163.09</v>
      </c>
      <c r="Z10" s="5"/>
      <c r="AA10" s="4" t="str">
        <f t="shared" si="21"/>
        <v>/</v>
      </c>
    </row>
    <row r="11" spans="1:27" s="6" customFormat="1">
      <c r="A11" s="12" t="str">
        <f t="shared" si="0"/>
        <v>3163.10</v>
      </c>
      <c r="B11" s="108" t="str">
        <f t="shared" si="10"/>
        <v/>
      </c>
      <c r="C11" s="109" t="str">
        <f t="shared" si="11"/>
        <v/>
      </c>
      <c r="D11" s="110" t="str">
        <f t="shared" si="12"/>
        <v/>
      </c>
      <c r="E11" s="83" t="str">
        <f t="shared" si="13"/>
        <v/>
      </c>
      <c r="F11" s="110">
        <f t="shared" si="14"/>
        <v>0</v>
      </c>
      <c r="G11" s="84">
        <f t="shared" si="5"/>
        <v>0</v>
      </c>
      <c r="H11" s="75" t="str">
        <f t="shared" si="15"/>
        <v/>
      </c>
      <c r="I11" s="81" t="str">
        <f t="shared" si="16"/>
        <v/>
      </c>
      <c r="J11" s="13" t="str">
        <f t="shared" si="17"/>
        <v>non</v>
      </c>
      <c r="K11" s="16" t="str">
        <f t="shared" si="18"/>
        <v/>
      </c>
      <c r="L11" s="16" t="str">
        <f t="shared" si="19"/>
        <v/>
      </c>
      <c r="M11" s="13" t="str">
        <f>IF(B11="","",LOOKUP(B11,Table_Chantiers[],Chantier_Centre1))</f>
        <v/>
      </c>
      <c r="N11" s="13" t="str">
        <f>IF(B11="","",LOOKUP(B11,Table_Chantiers[],Chantier_Centre2))</f>
        <v/>
      </c>
      <c r="O11" s="13" t="str">
        <f>IF(B11="","",LOOKUP(B11,Table_Chantiers[],Chantier_UT))</f>
        <v/>
      </c>
      <c r="P11" s="66" t="str">
        <f t="shared" si="7"/>
        <v/>
      </c>
      <c r="Q11" s="75" t="str">
        <f t="shared" si="8"/>
        <v/>
      </c>
      <c r="R11" s="4" t="str">
        <f>IFERROR(IF(D11="","",LOOKUP(D11,Table_Tâches[],Tâches_CodeETLib)),"")</f>
        <v/>
      </c>
      <c r="S11" s="124" t="str">
        <f>IF(OR(C11="",G11=""),"",G11/(NETWORKDAYS(DATE(YEAR(C11),1,1),DATE(YEAR(C11),12,31))-Annexe!$E$17))</f>
        <v/>
      </c>
      <c r="T11" s="118" t="str">
        <f t="shared" si="9"/>
        <v>/</v>
      </c>
      <c r="U11" s="62">
        <f>ROUND(MAX(BD!U:U),0)+1</f>
        <v>3163</v>
      </c>
      <c r="V11" s="12" t="s">
        <v>85</v>
      </c>
      <c r="W11" s="12" t="str">
        <f t="shared" si="20"/>
        <v>3163.10</v>
      </c>
      <c r="Z11" s="5"/>
      <c r="AA11" s="4" t="str">
        <f t="shared" si="21"/>
        <v>/</v>
      </c>
    </row>
    <row r="12" spans="1:27" s="6" customFormat="1">
      <c r="A12" s="12" t="str">
        <f t="shared" si="0"/>
        <v>3163.11</v>
      </c>
      <c r="B12" s="108" t="str">
        <f t="shared" si="10"/>
        <v/>
      </c>
      <c r="C12" s="109" t="str">
        <f t="shared" si="11"/>
        <v/>
      </c>
      <c r="D12" s="110" t="str">
        <f t="shared" si="12"/>
        <v/>
      </c>
      <c r="E12" s="83" t="str">
        <f t="shared" si="13"/>
        <v/>
      </c>
      <c r="F12" s="110">
        <f t="shared" si="14"/>
        <v>0</v>
      </c>
      <c r="G12" s="84">
        <f t="shared" si="5"/>
        <v>0</v>
      </c>
      <c r="H12" s="75" t="str">
        <f t="shared" si="15"/>
        <v/>
      </c>
      <c r="I12" s="81" t="str">
        <f t="shared" si="16"/>
        <v/>
      </c>
      <c r="J12" s="13" t="str">
        <f t="shared" si="17"/>
        <v>non</v>
      </c>
      <c r="K12" s="16" t="str">
        <f t="shared" si="18"/>
        <v/>
      </c>
      <c r="L12" s="16" t="str">
        <f t="shared" si="19"/>
        <v/>
      </c>
      <c r="M12" s="13" t="str">
        <f>IF(B12="","",LOOKUP(B12,Table_Chantiers[],Chantier_Centre1))</f>
        <v/>
      </c>
      <c r="N12" s="13" t="str">
        <f>IF(B12="","",LOOKUP(B12,Table_Chantiers[],Chantier_Centre2))</f>
        <v/>
      </c>
      <c r="O12" s="13" t="str">
        <f>IF(B12="","",LOOKUP(B12,Table_Chantiers[],Chantier_UT))</f>
        <v/>
      </c>
      <c r="P12" s="66" t="str">
        <f t="shared" si="7"/>
        <v/>
      </c>
      <c r="Q12" s="75" t="str">
        <f t="shared" si="8"/>
        <v/>
      </c>
      <c r="R12" s="4" t="str">
        <f>IFERROR(IF(D12="","",LOOKUP(D12,Table_Tâches[],Tâches_CodeETLib)),"")</f>
        <v/>
      </c>
      <c r="S12" s="124" t="str">
        <f>IF(OR(C12="",G12=""),"",G12/(NETWORKDAYS(DATE(YEAR(C12),1,1),DATE(YEAR(C12),12,31))-Annexe!$E$17))</f>
        <v/>
      </c>
      <c r="T12" s="118" t="str">
        <f t="shared" si="9"/>
        <v>/</v>
      </c>
      <c r="U12" s="62">
        <f>ROUND(MAX(BD!U:U),0)+1</f>
        <v>3163</v>
      </c>
      <c r="V12" s="12" t="s">
        <v>86</v>
      </c>
      <c r="W12" s="12" t="str">
        <f t="shared" si="20"/>
        <v>3163.11</v>
      </c>
      <c r="Z12" s="5"/>
      <c r="AA12" s="4" t="str">
        <f t="shared" si="21"/>
        <v>/</v>
      </c>
    </row>
    <row r="13" spans="1:27" s="6" customFormat="1">
      <c r="A13" s="12" t="str">
        <f t="shared" si="0"/>
        <v>3163.12</v>
      </c>
      <c r="B13" s="108" t="str">
        <f t="shared" si="10"/>
        <v/>
      </c>
      <c r="C13" s="109" t="str">
        <f t="shared" si="11"/>
        <v/>
      </c>
      <c r="D13" s="110" t="str">
        <f t="shared" si="12"/>
        <v/>
      </c>
      <c r="E13" s="83" t="str">
        <f t="shared" si="13"/>
        <v/>
      </c>
      <c r="F13" s="110">
        <f t="shared" si="14"/>
        <v>0</v>
      </c>
      <c r="G13" s="84">
        <f t="shared" si="5"/>
        <v>0</v>
      </c>
      <c r="H13" s="75" t="str">
        <f t="shared" si="15"/>
        <v/>
      </c>
      <c r="I13" s="81" t="str">
        <f t="shared" si="16"/>
        <v/>
      </c>
      <c r="J13" s="13" t="str">
        <f t="shared" si="17"/>
        <v>non</v>
      </c>
      <c r="K13" s="16" t="str">
        <f t="shared" si="18"/>
        <v/>
      </c>
      <c r="L13" s="16" t="str">
        <f t="shared" si="19"/>
        <v/>
      </c>
      <c r="M13" s="13" t="str">
        <f>IF(B13="","",LOOKUP(B13,Table_Chantiers[],Chantier_Centre1))</f>
        <v/>
      </c>
      <c r="N13" s="13" t="str">
        <f>IF(B13="","",LOOKUP(B13,Table_Chantiers[],Chantier_Centre2))</f>
        <v/>
      </c>
      <c r="O13" s="13" t="str">
        <f>IF(B13="","",LOOKUP(B13,Table_Chantiers[],Chantier_UT))</f>
        <v/>
      </c>
      <c r="P13" s="66" t="str">
        <f t="shared" si="7"/>
        <v/>
      </c>
      <c r="Q13" s="75" t="str">
        <f t="shared" si="8"/>
        <v/>
      </c>
      <c r="R13" s="4" t="str">
        <f>IFERROR(IF(D13="","",LOOKUP(D13,Table_Tâches[],Tâches_CodeETLib)),"")</f>
        <v/>
      </c>
      <c r="S13" s="124" t="str">
        <f>IF(OR(C13="",G13=""),"",G13/(NETWORKDAYS(DATE(YEAR(C13),1,1),DATE(YEAR(C13),12,31))-Annexe!$E$17))</f>
        <v/>
      </c>
      <c r="T13" s="118" t="str">
        <f t="shared" si="9"/>
        <v>/</v>
      </c>
      <c r="U13" s="62">
        <f>ROUND(MAX(BD!U:U),0)+1</f>
        <v>3163</v>
      </c>
      <c r="V13" s="12" t="s">
        <v>87</v>
      </c>
      <c r="W13" s="12" t="str">
        <f t="shared" si="20"/>
        <v>3163.12</v>
      </c>
      <c r="Z13" s="5"/>
      <c r="AA13" s="4" t="str">
        <f t="shared" si="21"/>
        <v>/</v>
      </c>
    </row>
    <row r="14" spans="1:27" s="6" customFormat="1">
      <c r="A14" s="12" t="str">
        <f t="shared" si="0"/>
        <v>3163.13</v>
      </c>
      <c r="B14" s="108" t="str">
        <f t="shared" si="10"/>
        <v/>
      </c>
      <c r="C14" s="109" t="str">
        <f t="shared" si="11"/>
        <v/>
      </c>
      <c r="D14" s="110" t="str">
        <f t="shared" si="12"/>
        <v/>
      </c>
      <c r="E14" s="83" t="str">
        <f t="shared" si="13"/>
        <v/>
      </c>
      <c r="F14" s="110">
        <f t="shared" si="14"/>
        <v>0</v>
      </c>
      <c r="G14" s="84">
        <f t="shared" si="5"/>
        <v>0</v>
      </c>
      <c r="H14" s="75" t="str">
        <f t="shared" si="15"/>
        <v/>
      </c>
      <c r="I14" s="81" t="str">
        <f t="shared" si="16"/>
        <v/>
      </c>
      <c r="J14" s="13" t="str">
        <f t="shared" si="17"/>
        <v>non</v>
      </c>
      <c r="K14" s="16" t="str">
        <f t="shared" si="18"/>
        <v/>
      </c>
      <c r="L14" s="16" t="str">
        <f t="shared" si="19"/>
        <v/>
      </c>
      <c r="M14" s="13" t="str">
        <f>IF(B14="","",LOOKUP(B14,Table_Chantiers[],Chantier_Centre1))</f>
        <v/>
      </c>
      <c r="N14" s="13" t="str">
        <f>IF(B14="","",LOOKUP(B14,Table_Chantiers[],Chantier_Centre2))</f>
        <v/>
      </c>
      <c r="O14" s="13" t="str">
        <f>IF(B14="","",LOOKUP(B14,Table_Chantiers[],Chantier_UT))</f>
        <v/>
      </c>
      <c r="P14" s="66" t="str">
        <f t="shared" si="7"/>
        <v/>
      </c>
      <c r="Q14" s="75" t="str">
        <f t="shared" si="8"/>
        <v/>
      </c>
      <c r="R14" s="4" t="str">
        <f>IFERROR(IF(D14="","",LOOKUP(D14,Table_Tâches[],Tâches_CodeETLib)),"")</f>
        <v/>
      </c>
      <c r="S14" s="124" t="str">
        <f>IF(OR(C14="",G14=""),"",G14/(NETWORKDAYS(DATE(YEAR(C14),1,1),DATE(YEAR(C14),12,31))-Annexe!$E$17))</f>
        <v/>
      </c>
      <c r="T14" s="118" t="str">
        <f t="shared" si="9"/>
        <v>/</v>
      </c>
      <c r="U14" s="62">
        <f>ROUND(MAX(BD!U:U),0)+1</f>
        <v>3163</v>
      </c>
      <c r="V14" s="12" t="s">
        <v>88</v>
      </c>
      <c r="W14" s="12" t="str">
        <f t="shared" si="20"/>
        <v>3163.13</v>
      </c>
      <c r="Z14" s="5"/>
      <c r="AA14" s="4" t="str">
        <f t="shared" si="21"/>
        <v>/</v>
      </c>
    </row>
    <row r="15" spans="1:27" s="6" customFormat="1">
      <c r="A15" s="12" t="str">
        <f t="shared" si="0"/>
        <v>3163.14</v>
      </c>
      <c r="B15" s="108" t="str">
        <f t="shared" si="10"/>
        <v/>
      </c>
      <c r="C15" s="109" t="str">
        <f t="shared" si="11"/>
        <v/>
      </c>
      <c r="D15" s="110" t="str">
        <f t="shared" si="12"/>
        <v/>
      </c>
      <c r="E15" s="83" t="str">
        <f t="shared" si="13"/>
        <v/>
      </c>
      <c r="F15" s="110">
        <f t="shared" si="14"/>
        <v>0</v>
      </c>
      <c r="G15" s="84">
        <f t="shared" si="5"/>
        <v>0</v>
      </c>
      <c r="H15" s="75" t="str">
        <f t="shared" si="15"/>
        <v/>
      </c>
      <c r="I15" s="81" t="str">
        <f t="shared" si="16"/>
        <v/>
      </c>
      <c r="J15" s="13" t="str">
        <f t="shared" si="17"/>
        <v>non</v>
      </c>
      <c r="K15" s="16" t="str">
        <f t="shared" si="18"/>
        <v/>
      </c>
      <c r="L15" s="16" t="str">
        <f t="shared" si="19"/>
        <v/>
      </c>
      <c r="M15" s="13" t="str">
        <f>IF(B15="","",LOOKUP(B15,Table_Chantiers[],Chantier_Centre1))</f>
        <v/>
      </c>
      <c r="N15" s="13" t="str">
        <f>IF(B15="","",LOOKUP(B15,Table_Chantiers[],Chantier_Centre2))</f>
        <v/>
      </c>
      <c r="O15" s="13" t="str">
        <f>IF(B15="","",LOOKUP(B15,Table_Chantiers[],Chantier_UT))</f>
        <v/>
      </c>
      <c r="P15" s="66" t="str">
        <f t="shared" si="7"/>
        <v/>
      </c>
      <c r="Q15" s="75" t="str">
        <f t="shared" si="8"/>
        <v/>
      </c>
      <c r="R15" s="4" t="str">
        <f>IFERROR(IF(D15="","",LOOKUP(D15,Table_Tâches[],Tâches_CodeETLib)),"")</f>
        <v/>
      </c>
      <c r="S15" s="124" t="str">
        <f>IF(OR(C15="",G15=""),"",G15/(NETWORKDAYS(DATE(YEAR(C15),1,1),DATE(YEAR(C15),12,31))-Annexe!$E$17))</f>
        <v/>
      </c>
      <c r="T15" s="118" t="str">
        <f t="shared" si="9"/>
        <v>/</v>
      </c>
      <c r="U15" s="62">
        <f>ROUND(MAX(BD!U:U),0)+1</f>
        <v>3163</v>
      </c>
      <c r="V15" s="12" t="s">
        <v>89</v>
      </c>
      <c r="W15" s="12" t="str">
        <f t="shared" si="20"/>
        <v>3163.14</v>
      </c>
      <c r="Z15" s="5"/>
      <c r="AA15" s="4" t="str">
        <f t="shared" si="21"/>
        <v>/</v>
      </c>
    </row>
    <row r="16" spans="1:27" s="6" customFormat="1">
      <c r="A16" s="12" t="str">
        <f t="shared" si="0"/>
        <v>3163.15</v>
      </c>
      <c r="B16" s="108" t="str">
        <f t="shared" si="10"/>
        <v/>
      </c>
      <c r="C16" s="109" t="str">
        <f t="shared" si="11"/>
        <v/>
      </c>
      <c r="D16" s="110" t="str">
        <f t="shared" si="12"/>
        <v/>
      </c>
      <c r="E16" s="83" t="str">
        <f t="shared" si="13"/>
        <v/>
      </c>
      <c r="F16" s="110">
        <f t="shared" si="14"/>
        <v>0</v>
      </c>
      <c r="G16" s="84">
        <f t="shared" si="5"/>
        <v>0</v>
      </c>
      <c r="H16" s="75" t="str">
        <f t="shared" si="15"/>
        <v/>
      </c>
      <c r="I16" s="81" t="str">
        <f t="shared" si="16"/>
        <v/>
      </c>
      <c r="J16" s="13" t="str">
        <f t="shared" si="17"/>
        <v>non</v>
      </c>
      <c r="K16" s="16" t="str">
        <f t="shared" si="18"/>
        <v/>
      </c>
      <c r="L16" s="16" t="str">
        <f t="shared" si="19"/>
        <v/>
      </c>
      <c r="M16" s="13" t="str">
        <f>IF(B16="","",LOOKUP(B16,Table_Chantiers[],Chantier_Centre1))</f>
        <v/>
      </c>
      <c r="N16" s="13" t="str">
        <f>IF(B16="","",LOOKUP(B16,Table_Chantiers[],Chantier_Centre2))</f>
        <v/>
      </c>
      <c r="O16" s="13" t="str">
        <f>IF(B16="","",LOOKUP(B16,Table_Chantiers[],Chantier_UT))</f>
        <v/>
      </c>
      <c r="P16" s="66" t="str">
        <f t="shared" si="7"/>
        <v/>
      </c>
      <c r="Q16" s="75" t="str">
        <f t="shared" si="8"/>
        <v/>
      </c>
      <c r="R16" s="4" t="str">
        <f>IFERROR(IF(D16="","",LOOKUP(D16,Table_Tâches[],Tâches_CodeETLib)),"")</f>
        <v/>
      </c>
      <c r="S16" s="124" t="str">
        <f>IF(OR(C16="",G16=""),"",G16/(NETWORKDAYS(DATE(YEAR(C16),1,1),DATE(YEAR(C16),12,31))-Annexe!$E$17))</f>
        <v/>
      </c>
      <c r="T16" s="118" t="str">
        <f t="shared" si="9"/>
        <v>/</v>
      </c>
      <c r="U16" s="62">
        <f>ROUND(MAX(BD!U:U),0)+1</f>
        <v>3163</v>
      </c>
      <c r="V16" s="12" t="s">
        <v>90</v>
      </c>
      <c r="W16" s="12" t="str">
        <f t="shared" si="20"/>
        <v>3163.15</v>
      </c>
      <c r="Z16" s="5"/>
      <c r="AA16" s="4" t="str">
        <f t="shared" si="21"/>
        <v>/</v>
      </c>
    </row>
    <row r="17" spans="1:27" s="6" customFormat="1">
      <c r="A17" s="12" t="str">
        <f t="shared" si="0"/>
        <v>3163.16</v>
      </c>
      <c r="B17" s="108" t="str">
        <f t="shared" si="10"/>
        <v/>
      </c>
      <c r="C17" s="109" t="str">
        <f t="shared" si="11"/>
        <v/>
      </c>
      <c r="D17" s="110" t="str">
        <f t="shared" si="12"/>
        <v/>
      </c>
      <c r="E17" s="83" t="str">
        <f t="shared" si="13"/>
        <v/>
      </c>
      <c r="F17" s="110">
        <f t="shared" si="14"/>
        <v>0</v>
      </c>
      <c r="G17" s="84">
        <f t="shared" si="5"/>
        <v>0</v>
      </c>
      <c r="H17" s="75" t="str">
        <f t="shared" si="15"/>
        <v/>
      </c>
      <c r="I17" s="81" t="str">
        <f t="shared" si="16"/>
        <v/>
      </c>
      <c r="J17" s="13" t="str">
        <f t="shared" si="17"/>
        <v>non</v>
      </c>
      <c r="K17" s="16" t="str">
        <f t="shared" si="18"/>
        <v/>
      </c>
      <c r="L17" s="16" t="str">
        <f t="shared" si="19"/>
        <v/>
      </c>
      <c r="M17" s="13" t="str">
        <f>IF(B17="","",LOOKUP(B17,Table_Chantiers[],Chantier_Centre1))</f>
        <v/>
      </c>
      <c r="N17" s="13" t="str">
        <f>IF(B17="","",LOOKUP(B17,Table_Chantiers[],Chantier_Centre2))</f>
        <v/>
      </c>
      <c r="O17" s="13" t="str">
        <f>IF(B17="","",LOOKUP(B17,Table_Chantiers[],Chantier_UT))</f>
        <v/>
      </c>
      <c r="P17" s="66" t="str">
        <f t="shared" si="7"/>
        <v/>
      </c>
      <c r="Q17" s="75" t="str">
        <f t="shared" si="8"/>
        <v/>
      </c>
      <c r="R17" s="4" t="str">
        <f>IFERROR(IF(D17="","",LOOKUP(D17,Table_Tâches[],Tâches_CodeETLib)),"")</f>
        <v/>
      </c>
      <c r="S17" s="124" t="str">
        <f>IF(OR(C17="",G17=""),"",G17/(NETWORKDAYS(DATE(YEAR(C17),1,1),DATE(YEAR(C17),12,31))-Annexe!$E$17))</f>
        <v/>
      </c>
      <c r="T17" s="118" t="str">
        <f t="shared" si="9"/>
        <v>/</v>
      </c>
      <c r="U17" s="62">
        <f>ROUND(MAX(BD!U:U),0)+1</f>
        <v>3163</v>
      </c>
      <c r="V17" s="12" t="s">
        <v>91</v>
      </c>
      <c r="W17" s="12" t="str">
        <f t="shared" si="20"/>
        <v>3163.16</v>
      </c>
      <c r="Z17" s="5"/>
      <c r="AA17" s="4" t="str">
        <f t="shared" si="21"/>
        <v>/</v>
      </c>
    </row>
    <row r="18" spans="1:27" s="6" customFormat="1">
      <c r="A18" s="12" t="str">
        <f t="shared" si="0"/>
        <v>3163.17</v>
      </c>
      <c r="B18" s="108" t="str">
        <f t="shared" si="10"/>
        <v/>
      </c>
      <c r="C18" s="109" t="str">
        <f t="shared" si="11"/>
        <v/>
      </c>
      <c r="D18" s="110" t="str">
        <f t="shared" si="12"/>
        <v/>
      </c>
      <c r="E18" s="83" t="str">
        <f t="shared" si="13"/>
        <v/>
      </c>
      <c r="F18" s="110">
        <f t="shared" si="14"/>
        <v>0</v>
      </c>
      <c r="G18" s="84">
        <f t="shared" si="5"/>
        <v>0</v>
      </c>
      <c r="H18" s="75" t="str">
        <f t="shared" si="15"/>
        <v/>
      </c>
      <c r="I18" s="81" t="str">
        <f t="shared" si="16"/>
        <v/>
      </c>
      <c r="J18" s="13" t="str">
        <f t="shared" si="17"/>
        <v>non</v>
      </c>
      <c r="K18" s="16" t="str">
        <f t="shared" si="18"/>
        <v/>
      </c>
      <c r="L18" s="16" t="str">
        <f t="shared" si="19"/>
        <v/>
      </c>
      <c r="M18" s="13" t="str">
        <f>IF(B18="","",LOOKUP(B18,Table_Chantiers[],Chantier_Centre1))</f>
        <v/>
      </c>
      <c r="N18" s="13" t="str">
        <f>IF(B18="","",LOOKUP(B18,Table_Chantiers[],Chantier_Centre2))</f>
        <v/>
      </c>
      <c r="O18" s="13" t="str">
        <f>IF(B18="","",LOOKUP(B18,Table_Chantiers[],Chantier_UT))</f>
        <v/>
      </c>
      <c r="P18" s="66" t="str">
        <f t="shared" si="7"/>
        <v/>
      </c>
      <c r="Q18" s="75" t="str">
        <f t="shared" si="8"/>
        <v/>
      </c>
      <c r="R18" s="4" t="str">
        <f>IFERROR(IF(D18="","",LOOKUP(D18,Table_Tâches[],Tâches_CodeETLib)),"")</f>
        <v/>
      </c>
      <c r="S18" s="124" t="str">
        <f>IF(OR(C18="",G18=""),"",G18/(NETWORKDAYS(DATE(YEAR(C18),1,1),DATE(YEAR(C18),12,31))-Annexe!$E$17))</f>
        <v/>
      </c>
      <c r="T18" s="118" t="str">
        <f t="shared" si="9"/>
        <v>/</v>
      </c>
      <c r="U18" s="62">
        <f>ROUND(MAX(BD!U:U),0)+1</f>
        <v>3163</v>
      </c>
      <c r="V18" s="12" t="s">
        <v>92</v>
      </c>
      <c r="W18" s="12" t="str">
        <f t="shared" si="20"/>
        <v>3163.17</v>
      </c>
      <c r="Z18" s="5"/>
      <c r="AA18" s="4" t="str">
        <f t="shared" si="21"/>
        <v>/</v>
      </c>
    </row>
    <row r="19" spans="1:27" s="6" customFormat="1">
      <c r="A19" s="12" t="str">
        <f t="shared" si="0"/>
        <v>3163.18</v>
      </c>
      <c r="B19" s="108" t="str">
        <f t="shared" si="10"/>
        <v/>
      </c>
      <c r="C19" s="109" t="str">
        <f t="shared" si="11"/>
        <v/>
      </c>
      <c r="D19" s="110" t="str">
        <f t="shared" si="12"/>
        <v/>
      </c>
      <c r="E19" s="83" t="str">
        <f t="shared" si="13"/>
        <v/>
      </c>
      <c r="F19" s="110">
        <f t="shared" si="14"/>
        <v>0</v>
      </c>
      <c r="G19" s="84">
        <f t="shared" si="5"/>
        <v>0</v>
      </c>
      <c r="H19" s="75" t="str">
        <f t="shared" si="15"/>
        <v/>
      </c>
      <c r="I19" s="81" t="str">
        <f t="shared" si="16"/>
        <v/>
      </c>
      <c r="J19" s="13" t="str">
        <f t="shared" si="17"/>
        <v>non</v>
      </c>
      <c r="K19" s="16" t="str">
        <f t="shared" si="18"/>
        <v/>
      </c>
      <c r="L19" s="16" t="str">
        <f t="shared" si="19"/>
        <v/>
      </c>
      <c r="M19" s="13" t="str">
        <f>IF(B19="","",LOOKUP(B19,Table_Chantiers[],Chantier_Centre1))</f>
        <v/>
      </c>
      <c r="N19" s="13" t="str">
        <f>IF(B19="","",LOOKUP(B19,Table_Chantiers[],Chantier_Centre2))</f>
        <v/>
      </c>
      <c r="O19" s="13" t="str">
        <f>IF(B19="","",LOOKUP(B19,Table_Chantiers[],Chantier_UT))</f>
        <v/>
      </c>
      <c r="P19" s="66" t="str">
        <f t="shared" si="7"/>
        <v/>
      </c>
      <c r="Q19" s="75" t="str">
        <f t="shared" si="8"/>
        <v/>
      </c>
      <c r="R19" s="4" t="str">
        <f>IFERROR(IF(D19="","",LOOKUP(D19,Table_Tâches[],Tâches_CodeETLib)),"")</f>
        <v/>
      </c>
      <c r="S19" s="124" t="str">
        <f>IF(OR(C19="",G19=""),"",G19/(NETWORKDAYS(DATE(YEAR(C19),1,1),DATE(YEAR(C19),12,31))-Annexe!$E$17))</f>
        <v/>
      </c>
      <c r="T19" s="118" t="str">
        <f t="shared" si="9"/>
        <v>/</v>
      </c>
      <c r="U19" s="62">
        <f>ROUND(MAX(BD!U:U),0)+1</f>
        <v>3163</v>
      </c>
      <c r="V19" s="12" t="s">
        <v>93</v>
      </c>
      <c r="W19" s="12" t="str">
        <f t="shared" si="20"/>
        <v>3163.18</v>
      </c>
      <c r="Z19" s="5"/>
      <c r="AA19" s="4" t="str">
        <f t="shared" si="21"/>
        <v>/</v>
      </c>
    </row>
    <row r="20" spans="1:27" s="6" customFormat="1">
      <c r="A20" s="12" t="str">
        <f t="shared" si="0"/>
        <v>3163.19</v>
      </c>
      <c r="B20" s="108" t="str">
        <f t="shared" si="10"/>
        <v/>
      </c>
      <c r="C20" s="109" t="str">
        <f t="shared" si="11"/>
        <v/>
      </c>
      <c r="D20" s="110" t="str">
        <f t="shared" si="12"/>
        <v/>
      </c>
      <c r="E20" s="83" t="str">
        <f t="shared" si="13"/>
        <v/>
      </c>
      <c r="F20" s="110">
        <f t="shared" si="14"/>
        <v>0</v>
      </c>
      <c r="G20" s="84">
        <f t="shared" si="5"/>
        <v>0</v>
      </c>
      <c r="H20" s="75" t="str">
        <f t="shared" si="15"/>
        <v/>
      </c>
      <c r="I20" s="81" t="str">
        <f t="shared" si="16"/>
        <v/>
      </c>
      <c r="J20" s="13" t="str">
        <f t="shared" si="17"/>
        <v>non</v>
      </c>
      <c r="K20" s="16" t="str">
        <f t="shared" si="18"/>
        <v/>
      </c>
      <c r="L20" s="16" t="str">
        <f t="shared" si="19"/>
        <v/>
      </c>
      <c r="M20" s="13" t="str">
        <f>IF(B20="","",LOOKUP(B20,Table_Chantiers[],Chantier_Centre1))</f>
        <v/>
      </c>
      <c r="N20" s="13" t="str">
        <f>IF(B20="","",LOOKUP(B20,Table_Chantiers[],Chantier_Centre2))</f>
        <v/>
      </c>
      <c r="O20" s="13" t="str">
        <f>IF(B20="","",LOOKUP(B20,Table_Chantiers[],Chantier_UT))</f>
        <v/>
      </c>
      <c r="P20" s="66" t="str">
        <f t="shared" si="7"/>
        <v/>
      </c>
      <c r="Q20" s="75" t="str">
        <f t="shared" si="8"/>
        <v/>
      </c>
      <c r="R20" s="4" t="str">
        <f>IFERROR(IF(D20="","",LOOKUP(D20,Table_Tâches[],Tâches_CodeETLib)),"")</f>
        <v/>
      </c>
      <c r="S20" s="124" t="str">
        <f>IF(OR(C20="",G20=""),"",G20/(NETWORKDAYS(DATE(YEAR(C20),1,1),DATE(YEAR(C20),12,31))-Annexe!$E$17))</f>
        <v/>
      </c>
      <c r="T20" s="118" t="str">
        <f t="shared" si="9"/>
        <v>/</v>
      </c>
      <c r="U20" s="62">
        <f>ROUND(MAX(BD!U:U),0)+1</f>
        <v>3163</v>
      </c>
      <c r="V20" s="12" t="s">
        <v>94</v>
      </c>
      <c r="W20" s="12" t="str">
        <f t="shared" si="20"/>
        <v>3163.19</v>
      </c>
      <c r="Z20" s="5"/>
      <c r="AA20" s="4" t="str">
        <f t="shared" si="21"/>
        <v>/</v>
      </c>
    </row>
    <row r="21" spans="1:27" s="50" customFormat="1">
      <c r="A21" s="12" t="str">
        <f t="shared" si="0"/>
        <v>3163.20</v>
      </c>
      <c r="B21" s="108" t="str">
        <f t="shared" si="10"/>
        <v/>
      </c>
      <c r="C21" s="109" t="str">
        <f t="shared" si="11"/>
        <v/>
      </c>
      <c r="D21" s="110" t="str">
        <f t="shared" si="12"/>
        <v/>
      </c>
      <c r="E21" s="83" t="str">
        <f t="shared" si="13"/>
        <v/>
      </c>
      <c r="F21" s="110">
        <f t="shared" si="14"/>
        <v>0</v>
      </c>
      <c r="G21" s="84">
        <f t="shared" si="5"/>
        <v>0</v>
      </c>
      <c r="H21" s="75" t="str">
        <f t="shared" si="15"/>
        <v/>
      </c>
      <c r="I21" s="81" t="str">
        <f t="shared" si="16"/>
        <v/>
      </c>
      <c r="J21" s="13" t="str">
        <f t="shared" si="17"/>
        <v>non</v>
      </c>
      <c r="K21" s="16" t="str">
        <f t="shared" si="18"/>
        <v/>
      </c>
      <c r="L21" s="16" t="str">
        <f t="shared" si="19"/>
        <v/>
      </c>
      <c r="M21" s="13" t="str">
        <f>IF(B21="","",LOOKUP(B21,Table_Chantiers[],Chantier_Centre1))</f>
        <v/>
      </c>
      <c r="N21" s="13" t="str">
        <f>IF(B21="","",LOOKUP(B21,Table_Chantiers[],Chantier_Centre2))</f>
        <v/>
      </c>
      <c r="O21" s="13" t="str">
        <f>IF(B21="","",LOOKUP(B21,Table_Chantiers[],Chantier_UT))</f>
        <v/>
      </c>
      <c r="P21" s="66" t="str">
        <f t="shared" si="7"/>
        <v/>
      </c>
      <c r="Q21" s="75" t="str">
        <f t="shared" si="8"/>
        <v/>
      </c>
      <c r="R21" s="4" t="str">
        <f>IFERROR(IF(D21="","",LOOKUP(D21,Table_Tâches[],Tâches_CodeETLib)),"")</f>
        <v/>
      </c>
      <c r="S21" s="124" t="str">
        <f>IF(OR(C21="",G21=""),"",G21/(NETWORKDAYS(DATE(YEAR(C21),1,1),DATE(YEAR(C21),12,31))-Annexe!$E$17))</f>
        <v/>
      </c>
      <c r="T21" s="118" t="str">
        <f t="shared" si="9"/>
        <v>/</v>
      </c>
      <c r="U21" s="62">
        <f>ROUND(MAX(BD!U:U),0)+1</f>
        <v>3163</v>
      </c>
      <c r="V21" s="12" t="s">
        <v>95</v>
      </c>
      <c r="W21" s="12" t="str">
        <f t="shared" si="20"/>
        <v>3163.20</v>
      </c>
      <c r="Z21" s="52"/>
      <c r="AA21" s="4" t="str">
        <f t="shared" si="21"/>
        <v>/</v>
      </c>
    </row>
    <row r="22" spans="1:27" s="50" customFormat="1">
      <c r="A22" s="12" t="str">
        <f t="shared" si="0"/>
        <v>3163.21</v>
      </c>
      <c r="B22" s="108" t="str">
        <f t="shared" si="10"/>
        <v/>
      </c>
      <c r="C22" s="109" t="str">
        <f t="shared" si="11"/>
        <v/>
      </c>
      <c r="D22" s="110" t="str">
        <f t="shared" si="12"/>
        <v/>
      </c>
      <c r="E22" s="83" t="str">
        <f t="shared" si="13"/>
        <v/>
      </c>
      <c r="F22" s="110">
        <f t="shared" si="14"/>
        <v>0</v>
      </c>
      <c r="G22" s="84">
        <f t="shared" si="5"/>
        <v>0</v>
      </c>
      <c r="H22" s="75" t="str">
        <f t="shared" si="15"/>
        <v/>
      </c>
      <c r="I22" s="81" t="str">
        <f t="shared" si="16"/>
        <v/>
      </c>
      <c r="J22" s="13" t="str">
        <f t="shared" si="17"/>
        <v>non</v>
      </c>
      <c r="K22" s="16" t="str">
        <f t="shared" si="18"/>
        <v/>
      </c>
      <c r="L22" s="16" t="str">
        <f t="shared" si="19"/>
        <v/>
      </c>
      <c r="M22" s="13" t="str">
        <f>IF(B22="","",LOOKUP(B22,Table_Chantiers[],Chantier_Centre1))</f>
        <v/>
      </c>
      <c r="N22" s="13" t="str">
        <f>IF(B22="","",LOOKUP(B22,Table_Chantiers[],Chantier_Centre2))</f>
        <v/>
      </c>
      <c r="O22" s="13" t="str">
        <f>IF(B22="","",LOOKUP(B22,Table_Chantiers[],Chantier_UT))</f>
        <v/>
      </c>
      <c r="P22" s="66" t="str">
        <f t="shared" si="7"/>
        <v/>
      </c>
      <c r="Q22" s="75" t="str">
        <f t="shared" si="8"/>
        <v/>
      </c>
      <c r="R22" s="4" t="str">
        <f>IFERROR(IF(D22="","",LOOKUP(D22,Table_Tâches[],Tâches_CodeETLib)),"")</f>
        <v/>
      </c>
      <c r="S22" s="124" t="str">
        <f>IF(OR(C22="",G22=""),"",G22/(NETWORKDAYS(DATE(YEAR(C22),1,1),DATE(YEAR(C22),12,31))-Annexe!$E$17))</f>
        <v/>
      </c>
      <c r="T22" s="118" t="str">
        <f t="shared" si="9"/>
        <v>/</v>
      </c>
      <c r="U22" s="62">
        <f>ROUND(MAX(BD!U:U),0)+1</f>
        <v>3163</v>
      </c>
      <c r="V22" s="12" t="s">
        <v>96</v>
      </c>
      <c r="W22" s="13" t="str">
        <f t="shared" si="20"/>
        <v>3163.21</v>
      </c>
      <c r="Z22" s="52"/>
      <c r="AA22" s="4" t="str">
        <f t="shared" si="21"/>
        <v>/</v>
      </c>
    </row>
    <row r="23" spans="1:27" s="50" customFormat="1">
      <c r="C23" s="54"/>
      <c r="D23" s="53"/>
      <c r="E23" s="53"/>
      <c r="F23" s="51"/>
      <c r="G23" s="51"/>
      <c r="J23" s="146"/>
      <c r="K23" s="54"/>
      <c r="L23" s="54"/>
      <c r="M23" s="54"/>
      <c r="N23" s="13"/>
      <c r="O23" s="54"/>
      <c r="P23" s="52"/>
      <c r="Q23" s="100"/>
      <c r="R23" s="54"/>
      <c r="S23" s="54"/>
      <c r="W23" s="64"/>
      <c r="Z23" s="52"/>
      <c r="AA23" s="50" t="str">
        <f t="shared" si="21"/>
        <v>/</v>
      </c>
    </row>
    <row r="24" spans="1:27" s="55" customFormat="1">
      <c r="B24" s="58" t="s">
        <v>29</v>
      </c>
      <c r="F24" s="51"/>
      <c r="J24" s="147"/>
      <c r="K24" s="56"/>
      <c r="L24" s="56"/>
      <c r="M24" s="130"/>
      <c r="N24" s="56"/>
      <c r="O24" s="56"/>
      <c r="Q24" s="101"/>
      <c r="R24" s="56"/>
      <c r="S24" s="56"/>
      <c r="W24" s="64"/>
    </row>
    <row r="25" spans="1:27" ht="10.5" customHeight="1">
      <c r="B25" s="7"/>
      <c r="J25" s="148"/>
      <c r="W25" s="49" t="s">
        <v>75</v>
      </c>
    </row>
    <row r="26" spans="1:27">
      <c r="A26" s="55"/>
      <c r="B26" s="55"/>
      <c r="C26" s="55"/>
      <c r="D26" s="55"/>
      <c r="E26" s="55"/>
      <c r="F26" s="55"/>
      <c r="G26" s="55"/>
      <c r="H26" s="55"/>
      <c r="I26" s="55"/>
      <c r="J26" s="147"/>
      <c r="K26" s="55"/>
      <c r="L26" s="55"/>
      <c r="W26" s="49" t="s">
        <v>75</v>
      </c>
    </row>
    <row r="27" spans="1:27">
      <c r="A27" s="55"/>
      <c r="B27" s="55"/>
      <c r="C27" s="141" t="s">
        <v>39</v>
      </c>
      <c r="D27" s="145" t="s">
        <v>422</v>
      </c>
      <c r="E27" s="141"/>
      <c r="F27" s="141" t="s">
        <v>22</v>
      </c>
      <c r="G27" s="55"/>
      <c r="H27" s="180">
        <v>1710</v>
      </c>
      <c r="I27" s="55"/>
      <c r="J27" s="147"/>
      <c r="K27" s="55"/>
      <c r="L27" s="55"/>
      <c r="W27" s="49" t="s">
        <v>75</v>
      </c>
    </row>
    <row r="28" spans="1:27" s="6" customFormat="1" ht="5.25" customHeight="1">
      <c r="A28" s="50"/>
      <c r="B28" s="50"/>
      <c r="C28" s="50"/>
      <c r="D28" s="51"/>
      <c r="E28" s="55"/>
      <c r="F28" s="50"/>
      <c r="G28" s="50"/>
      <c r="H28" s="50"/>
      <c r="I28" s="142"/>
      <c r="J28" s="146"/>
      <c r="K28" s="50"/>
      <c r="L28" s="50"/>
      <c r="M28" s="5"/>
      <c r="Q28" s="4"/>
      <c r="W28" s="49" t="s">
        <v>75</v>
      </c>
    </row>
    <row r="29" spans="1:27">
      <c r="A29" s="55"/>
      <c r="B29" s="55"/>
      <c r="C29" s="141" t="s">
        <v>40</v>
      </c>
      <c r="D29" s="162">
        <v>42374</v>
      </c>
      <c r="E29" s="55"/>
      <c r="F29" s="143" t="str">
        <f>IFERROR(LOOKUP(H27,Tâches_Code,Tâches_Lib),"")</f>
        <v>ACCIDENTS (interventions, réparations…) YC DANS VQ</v>
      </c>
      <c r="G29" s="143"/>
      <c r="H29" s="55"/>
      <c r="I29" s="55"/>
      <c r="J29" s="147"/>
      <c r="K29" s="55"/>
      <c r="L29" s="55"/>
      <c r="W29" s="49" t="s">
        <v>75</v>
      </c>
    </row>
    <row r="30" spans="1:27">
      <c r="A30" s="55"/>
      <c r="B30" s="55"/>
      <c r="C30" s="55"/>
      <c r="D30" s="101"/>
      <c r="E30" s="101"/>
      <c r="F30" s="55"/>
      <c r="G30" s="55"/>
      <c r="H30" s="55"/>
      <c r="I30" s="55"/>
      <c r="J30" s="147"/>
      <c r="K30" s="55"/>
      <c r="L30" s="55"/>
      <c r="W30" s="49" t="s">
        <v>75</v>
      </c>
    </row>
    <row r="31" spans="1:27" ht="14.25" customHeight="1">
      <c r="J31" s="148"/>
      <c r="W31" s="49" t="s">
        <v>75</v>
      </c>
    </row>
    <row r="32" spans="1:27" s="8" customFormat="1">
      <c r="B32" s="15" t="s">
        <v>37</v>
      </c>
      <c r="C32" s="15" t="s">
        <v>31</v>
      </c>
      <c r="D32" s="203" t="s">
        <v>23</v>
      </c>
      <c r="E32" s="204"/>
      <c r="F32" s="15" t="s">
        <v>30</v>
      </c>
      <c r="G32" s="15" t="s">
        <v>13</v>
      </c>
      <c r="H32" s="15" t="s">
        <v>24</v>
      </c>
      <c r="I32" s="15" t="s">
        <v>25</v>
      </c>
      <c r="J32" s="155" t="s">
        <v>100</v>
      </c>
      <c r="M32" s="131"/>
      <c r="T32" s="3"/>
      <c r="W32" s="129" t="str">
        <f t="shared" ref="W32:W55" si="22">IF(C32="","sup","ok")</f>
        <v>ok</v>
      </c>
    </row>
    <row r="33" spans="2:23">
      <c r="B33" s="31">
        <v>1</v>
      </c>
      <c r="C33" s="32">
        <v>11</v>
      </c>
      <c r="D33" s="77" t="str">
        <f t="shared" ref="D33:D35" si="23">IFERROR(IF(OR(B33="",C33=""),"",IF(B33=1,LOOKUP(C33,Personnel_Code,Personnel_Lib),IF(B33=2,LOOKUP(C33,MatL_Code,MatL_Lib),IF(B33=3,LOOKUP(C33,MatX_Code,MatX_Lib),"")))),"Cat. et Code non compatibles")</f>
        <v>ADJOINT TECHNIQUE</v>
      </c>
      <c r="E33" s="78"/>
      <c r="F33" s="151">
        <v>55</v>
      </c>
      <c r="G33" s="76" t="str">
        <f t="shared" ref="G33:G34" si="24">IFERROR(IF(OR(B33="",C33=""),"",IF(AND(B33=1,RIGHT($D$27,2)="13"),"J",IF(AND(B33=1,LEFT($D$27,2)="UT"),"J",IF(AND(B33=1,RIGHT($D$27,2)&lt;&gt;"13"),"H",IF(B33=2,LOOKUP(C33,MatL_Code,MatL_Unite),IF(B33=3,LOOKUP(C33,MatX_Code,MatX_Unite),"")))))),"")</f>
        <v>H</v>
      </c>
      <c r="H33" s="111">
        <f t="shared" ref="H33:H34" si="25">IFERROR(IF(AND(G33="H",B33=1),LOOKUP(C33,Personnel_Code,Personnel_CoûtH),IF(AND(G33="J",B33=1),LOOKUP(C33,Personnel_Code,Personnel_CoûtJ),IF(B33=2,LOOKUP(C33,MatL_Code,MatL_Coût),IF(B33=3,LOOKUP(C33,MatX_Code,MatX_Prix),"")))),"")</f>
        <v>23.18</v>
      </c>
      <c r="I33" s="29">
        <f t="shared" ref="I33:I34" si="26">IFERROR(IF(OR(C33="",B33=""),"",F33*H33),"")</f>
        <v>1274.9000000000001</v>
      </c>
      <c r="J33" s="152" t="str">
        <f t="shared" ref="J33:J53" si="27">IF(B2="","",A2)</f>
        <v>3163.01</v>
      </c>
      <c r="K33" s="85" t="str">
        <f t="shared" ref="K33:K53" si="28">IF(OR(B33=1,B33=3,B33=""),"",IF(LOOKUP(C33,MatL_Code,MatL_fermé)="F","Attention, matériel fermé",""))</f>
        <v/>
      </c>
      <c r="T33" s="8"/>
      <c r="W33" s="49" t="str">
        <f t="shared" si="22"/>
        <v>ok</v>
      </c>
    </row>
    <row r="34" spans="2:23">
      <c r="B34" s="31"/>
      <c r="C34" s="32"/>
      <c r="D34" s="77" t="str">
        <f t="shared" si="23"/>
        <v/>
      </c>
      <c r="E34" s="78"/>
      <c r="F34" s="151"/>
      <c r="G34" s="76" t="str">
        <f t="shared" si="24"/>
        <v/>
      </c>
      <c r="H34" s="111" t="str">
        <f t="shared" si="25"/>
        <v/>
      </c>
      <c r="I34" s="29" t="str">
        <f t="shared" si="26"/>
        <v/>
      </c>
      <c r="J34" s="153" t="str">
        <f t="shared" si="27"/>
        <v/>
      </c>
      <c r="K34" s="134" t="str">
        <f t="shared" si="28"/>
        <v/>
      </c>
      <c r="O34" s="6"/>
      <c r="P34" s="6"/>
      <c r="Q34" s="4"/>
      <c r="R34" s="6"/>
      <c r="S34" s="6"/>
      <c r="U34" s="6"/>
      <c r="V34" s="6"/>
      <c r="W34" s="49" t="str">
        <f t="shared" si="22"/>
        <v>sup</v>
      </c>
    </row>
    <row r="35" spans="2:23">
      <c r="B35" s="31"/>
      <c r="C35" s="32"/>
      <c r="D35" s="77" t="str">
        <f t="shared" si="23"/>
        <v/>
      </c>
      <c r="E35" s="78"/>
      <c r="F35" s="151"/>
      <c r="G35" s="30" t="str">
        <f t="shared" ref="G35:G40" si="29">IFERROR(IF(OR(B35="",C35=""),"",IF(AND(B35=1,RIGHT($D$27,2)="13"),"J",IF(AND(B35=1,LEFT($D$27,2)="UT"),"J",IF(AND(B35=1,RIGHT($D$27,2)&lt;&gt;"13"),"H",IF(B35=2,LOOKUP(C35,MatL_Code,MatL_Unite),IF(B35=3,LOOKUP(C35,MatX_Code,MatX_Unite),"")))))),"")</f>
        <v/>
      </c>
      <c r="H35" s="111" t="str">
        <f t="shared" ref="H35:H40" si="30">IFERROR(IF(AND(G35="H",B35=1),LOOKUP(C35,Personnel_Code,Personnel_CoûtH),IF(AND(G35="J",B35=1),LOOKUP(C35,Personnel_Code,Personnel_CoûtJ),IF(B35=2,LOOKUP(C35,MatL_Code,MatL_Coût),IF(B35=3,LOOKUP(C35,MatX_Code,MatX_Prix),"")))),"")</f>
        <v/>
      </c>
      <c r="I35" s="29" t="str">
        <f>IFERROR(IF(OR(C35="",B35=""),"",F35*H35),"")</f>
        <v/>
      </c>
      <c r="J35" s="153" t="str">
        <f t="shared" si="27"/>
        <v/>
      </c>
      <c r="K35" s="85" t="str">
        <f t="shared" si="28"/>
        <v/>
      </c>
      <c r="L35" s="150"/>
      <c r="W35" s="49" t="str">
        <f t="shared" si="22"/>
        <v>sup</v>
      </c>
    </row>
    <row r="36" spans="2:23">
      <c r="B36" s="31"/>
      <c r="C36" s="32"/>
      <c r="D36" s="77" t="str">
        <f t="shared" ref="D36:D37" si="31">IFERROR(IF(OR(B36="",C36=""),"",IF(B36=1,LOOKUP(C36,Personnel_Code,Personnel_Lib),IF(B36=2,LOOKUP(C36,MatL_Code,MatL_Lib),IF(B36=3,LOOKUP(C36,MatX_Code,MatX_Lib),"")))),"Cat. et Code non compatibles")</f>
        <v/>
      </c>
      <c r="E36" s="78"/>
      <c r="F36" s="151"/>
      <c r="G36" s="30" t="str">
        <f t="shared" si="29"/>
        <v/>
      </c>
      <c r="H36" s="111" t="str">
        <f t="shared" si="30"/>
        <v/>
      </c>
      <c r="I36" s="29" t="str">
        <f t="shared" ref="I36:I40" si="32">IFERROR(IF(OR(C36="",B36=""),"",F36*H36),"")</f>
        <v/>
      </c>
      <c r="J36" s="153" t="str">
        <f t="shared" si="27"/>
        <v/>
      </c>
      <c r="K36" s="85" t="str">
        <f t="shared" si="28"/>
        <v/>
      </c>
      <c r="W36" s="49" t="str">
        <f t="shared" si="22"/>
        <v>sup</v>
      </c>
    </row>
    <row r="37" spans="2:23">
      <c r="B37" s="31"/>
      <c r="C37" s="32"/>
      <c r="D37" s="77" t="str">
        <f t="shared" si="31"/>
        <v/>
      </c>
      <c r="E37" s="78"/>
      <c r="F37" s="151"/>
      <c r="G37" s="30" t="str">
        <f t="shared" si="29"/>
        <v/>
      </c>
      <c r="H37" s="111" t="str">
        <f t="shared" si="30"/>
        <v/>
      </c>
      <c r="I37" s="29" t="str">
        <f t="shared" si="32"/>
        <v/>
      </c>
      <c r="J37" s="153" t="str">
        <f t="shared" si="27"/>
        <v/>
      </c>
      <c r="K37" s="85" t="str">
        <f t="shared" si="28"/>
        <v/>
      </c>
      <c r="L37" s="150"/>
      <c r="W37" s="49" t="str">
        <f t="shared" si="22"/>
        <v>sup</v>
      </c>
    </row>
    <row r="38" spans="2:23">
      <c r="B38" s="31"/>
      <c r="C38" s="32"/>
      <c r="D38" s="77" t="str">
        <f t="shared" ref="D38" si="33">IFERROR(IF(OR(B38="",C38=""),"",IF(B38=1,LOOKUP(C38,Personnel_Code,Personnel_Lib),IF(B38=2,LOOKUP(C38,MatL_Code,MatL_Lib),IF(B38=3,LOOKUP(C38,MatX_Code,MatX_Lib),"")))),"Cat. et Code non compatibles")</f>
        <v/>
      </c>
      <c r="E38" s="78"/>
      <c r="F38" s="151"/>
      <c r="G38" s="30" t="str">
        <f t="shared" si="29"/>
        <v/>
      </c>
      <c r="H38" s="111" t="str">
        <f t="shared" si="30"/>
        <v/>
      </c>
      <c r="I38" s="29" t="str">
        <f t="shared" si="32"/>
        <v/>
      </c>
      <c r="J38" s="153" t="str">
        <f t="shared" si="27"/>
        <v/>
      </c>
      <c r="K38" s="85" t="str">
        <f t="shared" si="28"/>
        <v/>
      </c>
      <c r="W38" s="49" t="str">
        <f t="shared" si="22"/>
        <v>sup</v>
      </c>
    </row>
    <row r="39" spans="2:23">
      <c r="B39" s="31"/>
      <c r="C39" s="32"/>
      <c r="D39" s="77" t="str">
        <f>IFERROR(IF(OR(B39="",C39=""),"",IF(B39=1,LOOKUP(C39,Personnel_Code,Personnel_Lib),IF(B39=2,LOOKUP(C39,MatL_Code,MatL_Lib),IF(B39=3,LOOKUP(C39,MatX_Code,MatX_Lib),"")))),"Cat. et Code non compatibles")</f>
        <v/>
      </c>
      <c r="E39" s="78"/>
      <c r="F39" s="151"/>
      <c r="G39" s="30" t="str">
        <f t="shared" si="29"/>
        <v/>
      </c>
      <c r="H39" s="111" t="str">
        <f t="shared" si="30"/>
        <v/>
      </c>
      <c r="I39" s="29" t="str">
        <f t="shared" si="32"/>
        <v/>
      </c>
      <c r="J39" s="153" t="str">
        <f t="shared" si="27"/>
        <v/>
      </c>
      <c r="K39" s="85" t="str">
        <f t="shared" si="28"/>
        <v/>
      </c>
      <c r="O39" s="18"/>
      <c r="W39" s="49" t="str">
        <f t="shared" si="22"/>
        <v>sup</v>
      </c>
    </row>
    <row r="40" spans="2:23">
      <c r="B40" s="31"/>
      <c r="C40" s="32"/>
      <c r="D40" s="77" t="str">
        <f t="shared" ref="D40" si="34">IFERROR(IF(OR(B40="",C40=""),"",IF(B40=1,LOOKUP(C40,Personnel_Code,Personnel_Lib),IF(B40=2,LOOKUP(C40,MatL_Code,MatL_Lib),IF(B40=3,LOOKUP(C40,MatX_Code,MatX_Lib),"")))),"Cat. et Code non compatibles")</f>
        <v/>
      </c>
      <c r="E40" s="78"/>
      <c r="F40" s="151"/>
      <c r="G40" s="30" t="str">
        <f t="shared" si="29"/>
        <v/>
      </c>
      <c r="H40" s="111" t="str">
        <f t="shared" si="30"/>
        <v/>
      </c>
      <c r="I40" s="29" t="str">
        <f t="shared" si="32"/>
        <v/>
      </c>
      <c r="J40" s="153" t="str">
        <f t="shared" si="27"/>
        <v/>
      </c>
      <c r="K40" s="85" t="str">
        <f t="shared" si="28"/>
        <v/>
      </c>
      <c r="O40" s="18"/>
      <c r="P40" s="8"/>
      <c r="R40" s="8"/>
      <c r="S40" s="8"/>
      <c r="U40" s="8"/>
      <c r="V40" s="8"/>
      <c r="W40" s="49" t="str">
        <f t="shared" si="22"/>
        <v>sup</v>
      </c>
    </row>
    <row r="41" spans="2:23">
      <c r="B41" s="31"/>
      <c r="C41" s="32"/>
      <c r="D41" s="77" t="str">
        <f t="shared" ref="D41:D53" si="35">IFERROR(IF(OR(B41="",C41=""),"",IF(B41=1,LOOKUP(C41,Personnel_Code,Personnel_Lib),IF(B41=2,LOOKUP(C41,MatL_Code,MatL_Lib),IF(B41=3,LOOKUP(C41,MatX_Code,MatX_Lib),"")))),"Cat. et Code non compatibles")</f>
        <v/>
      </c>
      <c r="E41" s="149"/>
      <c r="F41" s="151"/>
      <c r="G41" s="30" t="str">
        <f t="shared" ref="G41:G53" si="36">IFERROR(IF(OR(B41="",C41=""),"",IF(AND(B41=1,RIGHT($D$27,2)="13"),"J",IF(AND(B41=1,LEFT($D$27,2)="UT"),"J",IF(AND(B41=1,RIGHT($D$27,2)&lt;&gt;"13"),"H",IF(B41=2,LOOKUP(C41,MatL_Code,MatL_Unite),IF(B41=3,LOOKUP(C41,MatX_Code,MatX_Unite),"")))))),"")</f>
        <v/>
      </c>
      <c r="H41" s="111" t="str">
        <f t="shared" ref="H41:H53" si="37">IFERROR(IF(AND(G41="H",B41=1),LOOKUP(C41,Personnel_Code,Personnel_CoûtH),IF(AND(G41="J",B41=1),LOOKUP(C41,Personnel_Code,Personnel_CoûtJ),IF(B41=2,LOOKUP(C41,MatL_Code,MatL_Coût),IF(B41=3,LOOKUP(C41,MatX_Code,MatX_Prix),"")))),"")</f>
        <v/>
      </c>
      <c r="I41" s="29" t="str">
        <f>IFERROR(IF(OR(C41="",B41=""),"",F41*H41),"")</f>
        <v/>
      </c>
      <c r="J41" s="153" t="str">
        <f t="shared" si="27"/>
        <v/>
      </c>
      <c r="K41" s="85" t="str">
        <f t="shared" si="28"/>
        <v/>
      </c>
      <c r="O41" s="18"/>
      <c r="P41" s="8"/>
      <c r="R41" s="8"/>
      <c r="S41" s="8"/>
      <c r="U41" s="8"/>
      <c r="V41" s="8"/>
      <c r="W41" s="49" t="str">
        <f t="shared" si="22"/>
        <v>sup</v>
      </c>
    </row>
    <row r="42" spans="2:23">
      <c r="B42" s="31"/>
      <c r="C42" s="32"/>
      <c r="D42" s="77" t="str">
        <f t="shared" si="35"/>
        <v/>
      </c>
      <c r="E42" s="78"/>
      <c r="F42" s="151"/>
      <c r="G42" s="30" t="str">
        <f t="shared" si="36"/>
        <v/>
      </c>
      <c r="H42" s="111" t="str">
        <f t="shared" si="37"/>
        <v/>
      </c>
      <c r="I42" s="29" t="str">
        <f t="shared" ref="I42:I53" si="38">IFERROR(IF(OR(C42="",B42=""),"",F42*H42),"")</f>
        <v/>
      </c>
      <c r="J42" s="153" t="str">
        <f t="shared" si="27"/>
        <v/>
      </c>
      <c r="K42" s="85" t="str">
        <f t="shared" si="28"/>
        <v/>
      </c>
      <c r="O42" s="24"/>
      <c r="P42" s="24"/>
      <c r="Q42" s="26"/>
      <c r="R42" s="24"/>
      <c r="S42" s="24"/>
      <c r="U42" s="24"/>
      <c r="V42" s="24"/>
      <c r="W42" s="49" t="str">
        <f t="shared" si="22"/>
        <v>sup</v>
      </c>
    </row>
    <row r="43" spans="2:23">
      <c r="B43" s="31"/>
      <c r="C43" s="32"/>
      <c r="D43" s="77" t="str">
        <f t="shared" si="35"/>
        <v/>
      </c>
      <c r="E43" s="78"/>
      <c r="F43" s="151"/>
      <c r="G43" s="30" t="str">
        <f t="shared" si="36"/>
        <v/>
      </c>
      <c r="H43" s="111" t="str">
        <f t="shared" si="37"/>
        <v/>
      </c>
      <c r="I43" s="29" t="str">
        <f t="shared" si="38"/>
        <v/>
      </c>
      <c r="J43" s="153" t="str">
        <f t="shared" si="27"/>
        <v/>
      </c>
      <c r="K43" s="85" t="str">
        <f t="shared" si="28"/>
        <v/>
      </c>
      <c r="O43" s="24"/>
      <c r="P43" s="24"/>
      <c r="Q43" s="26"/>
      <c r="R43" s="135"/>
      <c r="S43" s="135"/>
      <c r="U43" s="135"/>
      <c r="V43" s="24"/>
      <c r="W43" s="49" t="str">
        <f t="shared" si="22"/>
        <v>sup</v>
      </c>
    </row>
    <row r="44" spans="2:23">
      <c r="B44" s="31"/>
      <c r="C44" s="32"/>
      <c r="D44" s="77" t="str">
        <f>IFERROR(IF(OR(B44="",C44=""),"",IF(B44=1,LOOKUP(C44,Personnel_Code,Personnel_Lib),IF(B44=2,LOOKUP(C44,MatL_Code,MatL_Lib),IF(B44=3,LOOKUP(C44,MatX_Code,MatX_Lib),"")))),"Cat. et Code non compatibles")</f>
        <v/>
      </c>
      <c r="E44" s="78"/>
      <c r="F44" s="151"/>
      <c r="G44" s="30" t="str">
        <f t="shared" si="36"/>
        <v/>
      </c>
      <c r="H44" s="111" t="str">
        <f t="shared" si="37"/>
        <v/>
      </c>
      <c r="I44" s="29" t="str">
        <f t="shared" si="38"/>
        <v/>
      </c>
      <c r="J44" s="153" t="str">
        <f t="shared" si="27"/>
        <v/>
      </c>
      <c r="K44" s="85" t="str">
        <f t="shared" si="28"/>
        <v/>
      </c>
      <c r="O44" s="25"/>
      <c r="P44" s="25"/>
      <c r="Q44" s="99"/>
      <c r="R44" s="136"/>
      <c r="S44" s="136"/>
      <c r="U44" s="137"/>
      <c r="V44" s="25"/>
      <c r="W44" s="49" t="str">
        <f t="shared" si="22"/>
        <v>sup</v>
      </c>
    </row>
    <row r="45" spans="2:23">
      <c r="B45" s="31"/>
      <c r="C45" s="32"/>
      <c r="D45" s="77" t="str">
        <f t="shared" si="35"/>
        <v/>
      </c>
      <c r="E45" s="78"/>
      <c r="F45" s="151"/>
      <c r="G45" s="30" t="str">
        <f t="shared" si="36"/>
        <v/>
      </c>
      <c r="H45" s="111" t="str">
        <f t="shared" si="37"/>
        <v/>
      </c>
      <c r="I45" s="29" t="str">
        <f t="shared" si="38"/>
        <v/>
      </c>
      <c r="J45" s="153" t="str">
        <f t="shared" si="27"/>
        <v/>
      </c>
      <c r="K45" s="85" t="str">
        <f t="shared" si="28"/>
        <v/>
      </c>
      <c r="O45" s="24"/>
      <c r="P45" s="24"/>
      <c r="Q45" s="26"/>
      <c r="R45" s="138"/>
      <c r="S45" s="138"/>
      <c r="U45" s="135"/>
      <c r="V45" s="24"/>
      <c r="W45" s="49" t="str">
        <f t="shared" si="22"/>
        <v>sup</v>
      </c>
    </row>
    <row r="46" spans="2:23">
      <c r="B46" s="31"/>
      <c r="C46" s="32"/>
      <c r="D46" s="77" t="str">
        <f t="shared" si="35"/>
        <v/>
      </c>
      <c r="E46" s="78"/>
      <c r="F46" s="151"/>
      <c r="G46" s="30" t="str">
        <f t="shared" si="36"/>
        <v/>
      </c>
      <c r="H46" s="111" t="str">
        <f t="shared" si="37"/>
        <v/>
      </c>
      <c r="I46" s="29" t="str">
        <f t="shared" si="38"/>
        <v/>
      </c>
      <c r="J46" s="153" t="str">
        <f t="shared" si="27"/>
        <v/>
      </c>
      <c r="K46" s="85" t="str">
        <f t="shared" si="28"/>
        <v/>
      </c>
      <c r="O46" s="25"/>
      <c r="P46" s="27"/>
      <c r="Q46" s="26"/>
      <c r="R46" s="139"/>
      <c r="S46" s="139"/>
      <c r="U46" s="135"/>
      <c r="V46" s="24"/>
      <c r="W46" s="49" t="str">
        <f t="shared" si="22"/>
        <v>sup</v>
      </c>
    </row>
    <row r="47" spans="2:23">
      <c r="B47" s="31"/>
      <c r="C47" s="32"/>
      <c r="D47" s="77" t="str">
        <f t="shared" si="35"/>
        <v/>
      </c>
      <c r="E47" s="161"/>
      <c r="F47" s="151"/>
      <c r="G47" s="30" t="str">
        <f t="shared" si="36"/>
        <v/>
      </c>
      <c r="H47" s="111" t="str">
        <f t="shared" si="37"/>
        <v/>
      </c>
      <c r="I47" s="29" t="str">
        <f t="shared" si="38"/>
        <v/>
      </c>
      <c r="J47" s="153" t="str">
        <f t="shared" si="27"/>
        <v/>
      </c>
      <c r="K47" s="85" t="str">
        <f t="shared" si="28"/>
        <v/>
      </c>
      <c r="O47" s="24"/>
      <c r="P47" s="24"/>
      <c r="Q47" s="26"/>
      <c r="R47" s="138"/>
      <c r="S47" s="138"/>
      <c r="U47" s="138"/>
      <c r="V47" s="26"/>
      <c r="W47" s="49" t="str">
        <f t="shared" si="22"/>
        <v>sup</v>
      </c>
    </row>
    <row r="48" spans="2:23">
      <c r="B48" s="31"/>
      <c r="C48" s="32"/>
      <c r="D48" s="77" t="str">
        <f t="shared" si="35"/>
        <v/>
      </c>
      <c r="E48" s="78"/>
      <c r="F48" s="151"/>
      <c r="G48" s="30" t="str">
        <f t="shared" si="36"/>
        <v/>
      </c>
      <c r="H48" s="111" t="str">
        <f t="shared" si="37"/>
        <v/>
      </c>
      <c r="I48" s="29" t="str">
        <f t="shared" si="38"/>
        <v/>
      </c>
      <c r="J48" s="153" t="str">
        <f t="shared" si="27"/>
        <v/>
      </c>
      <c r="K48" s="85" t="str">
        <f t="shared" si="28"/>
        <v/>
      </c>
      <c r="O48" s="24"/>
      <c r="P48" s="24"/>
      <c r="Q48" s="26"/>
      <c r="R48" s="135"/>
      <c r="S48" s="135"/>
      <c r="U48" s="135"/>
      <c r="V48" s="24"/>
      <c r="W48" s="49" t="str">
        <f t="shared" si="22"/>
        <v>sup</v>
      </c>
    </row>
    <row r="49" spans="2:23">
      <c r="B49" s="31"/>
      <c r="C49" s="32"/>
      <c r="D49" s="77" t="str">
        <f t="shared" si="35"/>
        <v/>
      </c>
      <c r="E49" s="78"/>
      <c r="F49" s="151"/>
      <c r="G49" s="30" t="str">
        <f t="shared" si="36"/>
        <v/>
      </c>
      <c r="H49" s="111" t="str">
        <f t="shared" si="37"/>
        <v/>
      </c>
      <c r="I49" s="29" t="str">
        <f t="shared" si="38"/>
        <v/>
      </c>
      <c r="J49" s="153" t="str">
        <f t="shared" si="27"/>
        <v/>
      </c>
      <c r="K49" s="85" t="str">
        <f t="shared" si="28"/>
        <v/>
      </c>
      <c r="O49" s="24"/>
      <c r="P49" s="24"/>
      <c r="Q49" s="26"/>
      <c r="R49" s="135"/>
      <c r="S49" s="135"/>
      <c r="U49" s="135"/>
      <c r="V49" s="24"/>
      <c r="W49" s="49" t="str">
        <f t="shared" si="22"/>
        <v>sup</v>
      </c>
    </row>
    <row r="50" spans="2:23">
      <c r="B50" s="31"/>
      <c r="C50" s="32"/>
      <c r="D50" s="77" t="str">
        <f t="shared" si="35"/>
        <v/>
      </c>
      <c r="E50" s="78"/>
      <c r="F50" s="151"/>
      <c r="G50" s="30" t="str">
        <f t="shared" si="36"/>
        <v/>
      </c>
      <c r="H50" s="111" t="str">
        <f t="shared" si="37"/>
        <v/>
      </c>
      <c r="I50" s="29" t="str">
        <f t="shared" si="38"/>
        <v/>
      </c>
      <c r="J50" s="153" t="str">
        <f t="shared" si="27"/>
        <v/>
      </c>
      <c r="K50" s="85" t="str">
        <f t="shared" si="28"/>
        <v/>
      </c>
      <c r="O50" s="61"/>
      <c r="P50" s="28"/>
      <c r="Q50" s="99"/>
      <c r="R50" s="137"/>
      <c r="S50" s="137"/>
      <c r="U50" s="137"/>
      <c r="V50" s="69"/>
      <c r="W50" s="49" t="str">
        <f t="shared" si="22"/>
        <v>sup</v>
      </c>
    </row>
    <row r="51" spans="2:23">
      <c r="B51" s="31"/>
      <c r="C51" s="32"/>
      <c r="D51" s="77" t="str">
        <f t="shared" si="35"/>
        <v/>
      </c>
      <c r="E51" s="78"/>
      <c r="F51" s="151"/>
      <c r="G51" s="30" t="str">
        <f t="shared" si="36"/>
        <v/>
      </c>
      <c r="H51" s="111" t="str">
        <f t="shared" si="37"/>
        <v/>
      </c>
      <c r="I51" s="29" t="str">
        <f t="shared" si="38"/>
        <v/>
      </c>
      <c r="J51" s="153" t="str">
        <f t="shared" si="27"/>
        <v/>
      </c>
      <c r="K51" s="85" t="str">
        <f t="shared" si="28"/>
        <v/>
      </c>
      <c r="O51" s="140"/>
      <c r="P51" s="138"/>
      <c r="Q51" s="138"/>
      <c r="R51" s="135"/>
      <c r="S51" s="135"/>
      <c r="U51" s="135"/>
      <c r="V51" s="70"/>
      <c r="W51" s="49" t="str">
        <f t="shared" si="22"/>
        <v>sup</v>
      </c>
    </row>
    <row r="52" spans="2:23">
      <c r="B52" s="31"/>
      <c r="C52" s="32"/>
      <c r="D52" s="77" t="str">
        <f t="shared" si="35"/>
        <v/>
      </c>
      <c r="E52" s="78"/>
      <c r="F52" s="151"/>
      <c r="G52" s="30" t="str">
        <f t="shared" si="36"/>
        <v/>
      </c>
      <c r="H52" s="111" t="str">
        <f t="shared" si="37"/>
        <v/>
      </c>
      <c r="I52" s="29" t="str">
        <f t="shared" si="38"/>
        <v/>
      </c>
      <c r="J52" s="153" t="str">
        <f t="shared" si="27"/>
        <v/>
      </c>
      <c r="K52" s="85" t="str">
        <f t="shared" si="28"/>
        <v/>
      </c>
      <c r="O52" s="68"/>
      <c r="P52" s="138"/>
      <c r="Q52" s="138"/>
      <c r="R52" s="135"/>
      <c r="S52" s="135"/>
      <c r="U52" s="135"/>
      <c r="V52" s="70"/>
      <c r="W52" s="49" t="str">
        <f t="shared" si="22"/>
        <v>sup</v>
      </c>
    </row>
    <row r="53" spans="2:23">
      <c r="B53" s="31"/>
      <c r="C53" s="32"/>
      <c r="D53" s="77" t="str">
        <f t="shared" si="35"/>
        <v/>
      </c>
      <c r="E53" s="78"/>
      <c r="F53" s="151"/>
      <c r="G53" s="30" t="str">
        <f t="shared" si="36"/>
        <v/>
      </c>
      <c r="H53" s="111" t="str">
        <f t="shared" si="37"/>
        <v/>
      </c>
      <c r="I53" s="29" t="str">
        <f t="shared" si="38"/>
        <v/>
      </c>
      <c r="J53" s="154" t="str">
        <f t="shared" si="27"/>
        <v/>
      </c>
      <c r="K53" s="85" t="str">
        <f t="shared" si="28"/>
        <v/>
      </c>
      <c r="O53" s="135"/>
      <c r="P53" s="135"/>
      <c r="Q53" s="138"/>
      <c r="R53" s="135"/>
      <c r="S53" s="135"/>
      <c r="U53" s="135"/>
      <c r="V53" s="24"/>
      <c r="W53" s="49" t="str">
        <f t="shared" si="22"/>
        <v>sup</v>
      </c>
    </row>
    <row r="54" spans="2:23" ht="28.5" customHeight="1">
      <c r="J54" s="148"/>
      <c r="L54" s="156"/>
      <c r="M54" s="132"/>
      <c r="N54" s="25"/>
      <c r="O54" s="25"/>
      <c r="P54" s="25"/>
      <c r="Q54" s="99"/>
      <c r="R54" s="136"/>
      <c r="S54" s="136"/>
      <c r="U54" s="137"/>
      <c r="V54" s="25"/>
      <c r="W54" s="49" t="str">
        <f t="shared" si="22"/>
        <v>sup</v>
      </c>
    </row>
    <row r="55" spans="2:23">
      <c r="M55" s="133"/>
      <c r="N55" s="24"/>
      <c r="O55" s="24"/>
      <c r="P55" s="24"/>
      <c r="Q55" s="26"/>
      <c r="R55" s="138"/>
      <c r="S55" s="138"/>
      <c r="U55" s="135"/>
      <c r="V55" s="24"/>
      <c r="W55" s="49" t="str">
        <f t="shared" si="22"/>
        <v>sup</v>
      </c>
    </row>
    <row r="56" spans="2:23" ht="6" customHeight="1">
      <c r="M56" s="133"/>
      <c r="N56" s="24"/>
      <c r="O56" s="24"/>
      <c r="P56" s="24"/>
      <c r="Q56" s="26"/>
      <c r="R56" s="26"/>
      <c r="S56" s="26"/>
      <c r="U56" s="24"/>
      <c r="V56" s="24"/>
      <c r="W56" s="49"/>
    </row>
    <row r="57" spans="2:23">
      <c r="B57" s="59" t="s">
        <v>200</v>
      </c>
      <c r="M57" s="133"/>
      <c r="N57" s="24"/>
      <c r="O57" s="24"/>
      <c r="P57" s="24"/>
      <c r="Q57" s="26"/>
      <c r="R57" s="26"/>
      <c r="S57" s="26"/>
      <c r="U57" s="24"/>
      <c r="V57" s="24"/>
      <c r="W57" s="49"/>
    </row>
    <row r="58" spans="2:23">
      <c r="M58" s="133"/>
      <c r="N58" s="24"/>
      <c r="O58" s="24"/>
      <c r="P58" s="24"/>
      <c r="Q58" s="26"/>
      <c r="R58" s="26"/>
      <c r="S58" s="26"/>
      <c r="U58" s="24"/>
      <c r="V58" s="24"/>
      <c r="W58" s="49"/>
    </row>
    <row r="59" spans="2:23">
      <c r="M59" s="133"/>
      <c r="N59" s="24"/>
      <c r="O59" s="24"/>
      <c r="P59" s="24"/>
      <c r="Q59" s="26"/>
      <c r="R59" s="26"/>
      <c r="S59" s="26"/>
      <c r="U59" s="24"/>
      <c r="V59" s="24"/>
      <c r="W59" s="49"/>
    </row>
    <row r="60" spans="2:23">
      <c r="M60" s="133"/>
      <c r="N60" s="24"/>
      <c r="O60" s="24"/>
      <c r="P60" s="24"/>
      <c r="Q60" s="26"/>
      <c r="R60" s="26"/>
      <c r="S60" s="26"/>
      <c r="U60" s="24"/>
      <c r="V60" s="24"/>
      <c r="W60" s="49"/>
    </row>
    <row r="61" spans="2:23">
      <c r="M61" s="133"/>
      <c r="N61" s="24"/>
      <c r="O61" s="24"/>
      <c r="P61" s="24"/>
      <c r="Q61" s="26"/>
      <c r="R61" s="26"/>
      <c r="S61" s="26"/>
      <c r="U61" s="24"/>
      <c r="V61" s="24"/>
      <c r="W61" s="49"/>
    </row>
  </sheetData>
  <sheetProtection selectLockedCells="1"/>
  <dataConsolidate/>
  <mergeCells count="1">
    <mergeCell ref="D32:E32"/>
  </mergeCells>
  <conditionalFormatting sqref="O51">
    <cfRule type="cellIs" dxfId="40" priority="332" operator="lessThan">
      <formula>15</formula>
    </cfRule>
  </conditionalFormatting>
  <conditionalFormatting sqref="K33:K53">
    <cfRule type="cellIs" dxfId="39" priority="123" operator="equal">
      <formula>"Attention, matériel fermé"</formula>
    </cfRule>
  </conditionalFormatting>
  <conditionalFormatting sqref="C51:C53 C33:C38">
    <cfRule type="cellIs" dxfId="38" priority="12" operator="lessThan">
      <formula>15</formula>
    </cfRule>
  </conditionalFormatting>
  <conditionalFormatting sqref="C46:C47">
    <cfRule type="cellIs" dxfId="37" priority="5" operator="lessThan">
      <formula>15</formula>
    </cfRule>
  </conditionalFormatting>
  <conditionalFormatting sqref="C48:C50">
    <cfRule type="cellIs" dxfId="36" priority="4" operator="lessThan">
      <formula>15</formula>
    </cfRule>
  </conditionalFormatting>
  <conditionalFormatting sqref="C39:C45">
    <cfRule type="cellIs" dxfId="35" priority="2" operator="lessThan">
      <formula>15</formula>
    </cfRule>
  </conditionalFormatting>
  <dataValidations count="9">
    <dataValidation operator="greaterThan" allowBlank="1" showInputMessage="1" showErrorMessage="1" sqref="R46:T46 D29"/>
    <dataValidation type="list" allowBlank="1" showInputMessage="1" showErrorMessage="1" errorTitle="Erreur code" error="Ce code n'existe pas" promptTitle="Choix" prompt="1. Personnel_x000a_2. Matériel_x000a_3. Matériaux" sqref="B33:B53">
      <formula1>"1,2,3"</formula1>
    </dataValidation>
    <dataValidation type="list" allowBlank="1" showInputMessage="1" showErrorMessage="1" sqref="C33:C53">
      <formula1>IF(B33=1,Personnel_Code,IF(B33=2,MatL_Code,IF(B33=3,MatX_Code,"")))</formula1>
    </dataValidation>
    <dataValidation type="list" allowBlank="1" showInputMessage="1" showErrorMessage="1" sqref="B2:B22">
      <formula1>Chantier_Code</formula1>
    </dataValidation>
    <dataValidation type="list" allowBlank="1" showInputMessage="1" showErrorMessage="1" sqref="D2:D22">
      <formula1>Tâches_Code</formula1>
    </dataValidation>
    <dataValidation type="list" allowBlank="1" showInputMessage="1" showErrorMessage="1" sqref="E2:E22">
      <formula1>"MatL,MatX,Pers"</formula1>
    </dataValidation>
    <dataValidation type="list" allowBlank="1" showInputMessage="1" showErrorMessage="1" sqref="F2:F22">
      <formula1>IF(E2="Pers",Personnel_Code,IF(E2="MatL",MatL_Code,IF(E2="MatX",MatX_Code,"")))</formula1>
    </dataValidation>
    <dataValidation type="list" allowBlank="1" showInputMessage="1" showErrorMessage="1" errorTitle="Chantier inconnu" error="Ce chantier n'est pas créé" sqref="D27">
      <formula1>Chantier_Code</formula1>
    </dataValidation>
    <dataValidation type="list" allowBlank="1" showInputMessage="1" showErrorMessage="1" errorTitle="Tâche inconnue" error="Ce code ne figure pas dans la liste des tâches" sqref="H27">
      <formula1>Tâches_Code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IF(M51=1,Personnel!$A$3:$A$6,IF(M51=2,MatL!$A$2:$A$14,IF(M51=3,MatX!$A$2:$A$6,"")))</xm:f>
          </x14:formula1>
          <xm:sqref>O51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Chantier!B67:B90</xm:f>
          </x14:formula1>
          <xm:sqref>R44:S44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Chantier!B77:B100</xm:f>
          </x14:formula1>
          <xm:sqref>R54:S54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Chantier!C67:C90</xm:f>
          </x14:formula1>
          <xm:sqref>T44</xm:sqref>
        </x14:dataValidation>
        <x14:dataValidation type="list" errorStyle="warning" allowBlank="1" showInputMessage="1" showErrorMessage="1" errorTitle="Chantier inconnu" error="Ce chantier n'est pas créé">
          <x14:formula1>
            <xm:f>Chantier!C77:C100</xm:f>
          </x14:formula1>
          <xm:sqref>T54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3">
    <tabColor theme="1"/>
    <pageSetUpPr autoPageBreaks="0"/>
  </sheetPr>
  <dimension ref="A2:X32"/>
  <sheetViews>
    <sheetView showGridLines="0" view="pageBreakPreview" topLeftCell="A37" zoomScale="85" zoomScaleNormal="100" zoomScaleSheetLayoutView="85" workbookViewId="0">
      <selection activeCell="A2" sqref="A2:X30"/>
    </sheetView>
  </sheetViews>
  <sheetFormatPr baseColWidth="10" defaultRowHeight="15"/>
  <cols>
    <col min="1" max="1" width="5" style="6" customWidth="1"/>
    <col min="2" max="2" width="6" style="6" customWidth="1"/>
    <col min="3" max="9" width="11.42578125" style="6"/>
    <col min="10" max="10" width="15.140625" style="4" customWidth="1"/>
    <col min="11" max="13" width="11.42578125" style="6" hidden="1" customWidth="1"/>
    <col min="14" max="23" width="0" style="6" hidden="1" customWidth="1"/>
    <col min="24" max="16384" width="11.42578125" style="6"/>
  </cols>
  <sheetData>
    <row r="2" spans="1:24">
      <c r="A2" s="3"/>
      <c r="B2" s="7"/>
      <c r="C2" s="3"/>
      <c r="D2" s="3"/>
      <c r="E2" s="3"/>
      <c r="F2" s="3"/>
      <c r="G2" s="3"/>
      <c r="H2" s="3"/>
      <c r="I2" s="3"/>
      <c r="J2" s="148"/>
      <c r="K2" s="3"/>
      <c r="L2" s="3"/>
      <c r="M2" s="18"/>
      <c r="N2" s="3"/>
      <c r="O2" s="3"/>
      <c r="P2" s="3"/>
      <c r="Q2" s="8"/>
      <c r="R2" s="3"/>
      <c r="S2" s="3"/>
      <c r="T2" s="3"/>
      <c r="U2" s="3"/>
      <c r="V2" s="3"/>
      <c r="W2" s="49" t="s">
        <v>75</v>
      </c>
      <c r="X2" s="3"/>
    </row>
    <row r="3" spans="1:24">
      <c r="A3" s="55"/>
      <c r="B3" s="55"/>
      <c r="C3" s="55"/>
      <c r="D3" s="55"/>
      <c r="E3" s="55"/>
      <c r="F3" s="55"/>
      <c r="G3" s="55"/>
      <c r="H3" s="55"/>
      <c r="I3" s="55"/>
      <c r="J3" s="147"/>
      <c r="K3" s="55"/>
      <c r="L3" s="55"/>
      <c r="M3" s="18"/>
      <c r="N3" s="3"/>
      <c r="O3" s="3"/>
      <c r="P3" s="3"/>
      <c r="Q3" s="8"/>
      <c r="R3" s="3"/>
      <c r="S3" s="3"/>
      <c r="T3" s="3"/>
      <c r="U3" s="3"/>
      <c r="V3" s="3"/>
      <c r="W3" s="49" t="s">
        <v>75</v>
      </c>
      <c r="X3" s="3"/>
    </row>
    <row r="4" spans="1:24">
      <c r="A4" s="55"/>
      <c r="B4" s="55"/>
      <c r="C4" s="141" t="s">
        <v>39</v>
      </c>
      <c r="D4" s="145" t="s">
        <v>422</v>
      </c>
      <c r="E4" s="141"/>
      <c r="F4" s="141" t="s">
        <v>22</v>
      </c>
      <c r="G4" s="55"/>
      <c r="H4" s="180">
        <v>1710</v>
      </c>
      <c r="I4" s="55"/>
      <c r="J4" s="147"/>
      <c r="K4" s="55"/>
      <c r="L4" s="55"/>
      <c r="M4" s="18"/>
      <c r="N4" s="3"/>
      <c r="O4" s="3"/>
      <c r="P4" s="3"/>
      <c r="Q4" s="8"/>
      <c r="R4" s="3"/>
      <c r="S4" s="3"/>
      <c r="T4" s="3"/>
      <c r="U4" s="3"/>
      <c r="V4" s="3"/>
      <c r="W4" s="49" t="s">
        <v>75</v>
      </c>
      <c r="X4" s="3"/>
    </row>
    <row r="5" spans="1:24">
      <c r="A5" s="50"/>
      <c r="B5" s="50"/>
      <c r="C5" s="50"/>
      <c r="D5" s="51"/>
      <c r="E5" s="55"/>
      <c r="F5" s="50"/>
      <c r="G5" s="50"/>
      <c r="H5" s="50"/>
      <c r="I5" s="142"/>
      <c r="J5" s="146"/>
      <c r="K5" s="50"/>
      <c r="L5" s="50"/>
      <c r="M5" s="5"/>
      <c r="Q5" s="4"/>
      <c r="W5" s="49" t="s">
        <v>75</v>
      </c>
    </row>
    <row r="6" spans="1:24">
      <c r="A6" s="55"/>
      <c r="B6" s="55"/>
      <c r="C6" s="141" t="s">
        <v>40</v>
      </c>
      <c r="D6" s="162">
        <v>42374</v>
      </c>
      <c r="E6" s="55"/>
      <c r="F6" s="143" t="s">
        <v>602</v>
      </c>
      <c r="G6" s="143"/>
      <c r="H6" s="55"/>
      <c r="I6" s="55"/>
      <c r="J6" s="147"/>
      <c r="K6" s="55"/>
      <c r="L6" s="55"/>
      <c r="M6" s="18"/>
      <c r="N6" s="3"/>
      <c r="O6" s="3"/>
      <c r="P6" s="3"/>
      <c r="Q6" s="8"/>
      <c r="R6" s="3"/>
      <c r="S6" s="3"/>
      <c r="T6" s="3"/>
      <c r="U6" s="3"/>
      <c r="V6" s="3"/>
      <c r="W6" s="49" t="s">
        <v>75</v>
      </c>
      <c r="X6" s="3"/>
    </row>
    <row r="7" spans="1:24">
      <c r="A7" s="55"/>
      <c r="B7" s="55"/>
      <c r="C7" s="55"/>
      <c r="D7" s="101"/>
      <c r="E7" s="101"/>
      <c r="F7" s="55"/>
      <c r="G7" s="55"/>
      <c r="H7" s="55"/>
      <c r="I7" s="55"/>
      <c r="J7" s="147"/>
      <c r="K7" s="55"/>
      <c r="L7" s="55"/>
      <c r="M7" s="18"/>
      <c r="N7" s="3"/>
      <c r="O7" s="3"/>
      <c r="P7" s="3"/>
      <c r="Q7" s="8"/>
      <c r="R7" s="3"/>
      <c r="S7" s="3"/>
      <c r="T7" s="3"/>
      <c r="U7" s="3"/>
      <c r="V7" s="3"/>
      <c r="W7" s="49" t="s">
        <v>75</v>
      </c>
      <c r="X7" s="3"/>
    </row>
    <row r="8" spans="1:24">
      <c r="A8" s="3"/>
      <c r="B8" s="3"/>
      <c r="C8" s="3"/>
      <c r="D8" s="3"/>
      <c r="E8" s="3"/>
      <c r="F8" s="3"/>
      <c r="G8" s="3"/>
      <c r="H8" s="3"/>
      <c r="I8" s="3"/>
      <c r="J8" s="148"/>
      <c r="K8" s="3"/>
      <c r="L8" s="3"/>
      <c r="M8" s="18"/>
      <c r="N8" s="3"/>
      <c r="O8" s="3"/>
      <c r="P8" s="3"/>
      <c r="Q8" s="8"/>
      <c r="R8" s="3"/>
      <c r="S8" s="3"/>
      <c r="T8" s="3"/>
      <c r="U8" s="3"/>
      <c r="V8" s="3"/>
      <c r="W8" s="49" t="s">
        <v>75</v>
      </c>
      <c r="X8" s="3"/>
    </row>
    <row r="9" spans="1:24">
      <c r="A9" s="8"/>
      <c r="B9" s="197" t="s">
        <v>37</v>
      </c>
      <c r="C9" s="197" t="s">
        <v>31</v>
      </c>
      <c r="D9" s="205" t="s">
        <v>23</v>
      </c>
      <c r="E9" s="206"/>
      <c r="F9" s="197" t="s">
        <v>30</v>
      </c>
      <c r="G9" s="15" t="s">
        <v>13</v>
      </c>
      <c r="H9" s="15" t="s">
        <v>24</v>
      </c>
      <c r="I9" s="15" t="s">
        <v>25</v>
      </c>
      <c r="J9" s="155" t="s">
        <v>100</v>
      </c>
      <c r="K9" s="8"/>
      <c r="L9" s="8"/>
      <c r="M9" s="131"/>
      <c r="N9" s="8"/>
      <c r="O9" s="8"/>
      <c r="P9" s="8"/>
      <c r="Q9" s="8"/>
      <c r="R9" s="8"/>
      <c r="S9" s="8"/>
      <c r="T9" s="3"/>
      <c r="U9" s="8"/>
      <c r="V9" s="8"/>
      <c r="W9" s="129" t="s">
        <v>75</v>
      </c>
      <c r="X9" s="8"/>
    </row>
    <row r="10" spans="1:24">
      <c r="A10" s="3"/>
      <c r="B10" s="198">
        <v>1</v>
      </c>
      <c r="C10" s="199">
        <v>11</v>
      </c>
      <c r="D10" s="200" t="s">
        <v>34</v>
      </c>
      <c r="E10" s="201"/>
      <c r="F10" s="202">
        <v>55</v>
      </c>
      <c r="G10" s="76" t="s">
        <v>38</v>
      </c>
      <c r="H10" s="111">
        <v>23.18</v>
      </c>
      <c r="I10" s="29">
        <v>1274.9000000000001</v>
      </c>
      <c r="J10" s="152" t="s">
        <v>608</v>
      </c>
      <c r="K10" s="85" t="s">
        <v>606</v>
      </c>
      <c r="L10" s="3"/>
      <c r="M10" s="18"/>
      <c r="N10" s="3"/>
      <c r="O10" s="3"/>
      <c r="P10" s="3"/>
      <c r="Q10" s="8"/>
      <c r="R10" s="3"/>
      <c r="S10" s="3"/>
      <c r="T10" s="8"/>
      <c r="U10" s="3"/>
      <c r="V10" s="3"/>
      <c r="W10" s="49" t="s">
        <v>75</v>
      </c>
      <c r="X10" s="3"/>
    </row>
    <row r="13" spans="1:24">
      <c r="A13" s="3"/>
      <c r="B13" s="7"/>
      <c r="C13" s="3"/>
      <c r="D13" s="3"/>
      <c r="E13" s="3"/>
      <c r="F13" s="3"/>
      <c r="G13" s="3"/>
      <c r="H13" s="3"/>
      <c r="I13" s="3"/>
      <c r="J13" s="148"/>
      <c r="K13" s="3"/>
      <c r="L13" s="3"/>
      <c r="M13" s="18"/>
      <c r="N13" s="3"/>
      <c r="O13" s="3"/>
      <c r="P13" s="3"/>
      <c r="Q13" s="8"/>
      <c r="R13" s="3"/>
      <c r="S13" s="3"/>
      <c r="T13" s="3"/>
      <c r="U13" s="3"/>
      <c r="V13" s="3"/>
      <c r="W13" s="49" t="s">
        <v>75</v>
      </c>
      <c r="X13" s="3"/>
    </row>
    <row r="14" spans="1:24">
      <c r="A14" s="55"/>
      <c r="B14" s="55"/>
      <c r="C14" s="55"/>
      <c r="D14" s="55"/>
      <c r="E14" s="55"/>
      <c r="F14" s="55"/>
      <c r="G14" s="55"/>
      <c r="H14" s="55"/>
      <c r="I14" s="55"/>
      <c r="J14" s="147"/>
      <c r="K14" s="55"/>
      <c r="L14" s="55"/>
      <c r="M14" s="18"/>
      <c r="N14" s="3"/>
      <c r="O14" s="3"/>
      <c r="P14" s="3"/>
      <c r="Q14" s="8"/>
      <c r="R14" s="3"/>
      <c r="S14" s="3"/>
      <c r="T14" s="3"/>
      <c r="U14" s="3"/>
      <c r="V14" s="3"/>
      <c r="W14" s="49" t="s">
        <v>75</v>
      </c>
      <c r="X14" s="3"/>
    </row>
    <row r="15" spans="1:24">
      <c r="A15" s="55"/>
      <c r="B15" s="55"/>
      <c r="C15" s="141" t="s">
        <v>39</v>
      </c>
      <c r="D15" s="145" t="s">
        <v>422</v>
      </c>
      <c r="E15" s="141"/>
      <c r="F15" s="141" t="s">
        <v>22</v>
      </c>
      <c r="G15" s="55"/>
      <c r="H15" s="180">
        <v>1710</v>
      </c>
      <c r="I15" s="55"/>
      <c r="J15" s="147"/>
      <c r="K15" s="55"/>
      <c r="L15" s="55"/>
      <c r="M15" s="18"/>
      <c r="N15" s="3"/>
      <c r="O15" s="3"/>
      <c r="P15" s="3"/>
      <c r="Q15" s="8"/>
      <c r="R15" s="3"/>
      <c r="S15" s="3"/>
      <c r="T15" s="3"/>
      <c r="U15" s="3"/>
      <c r="V15" s="3"/>
      <c r="W15" s="49" t="s">
        <v>75</v>
      </c>
      <c r="X15" s="3"/>
    </row>
    <row r="16" spans="1:24">
      <c r="A16" s="50"/>
      <c r="B16" s="50"/>
      <c r="C16" s="50"/>
      <c r="D16" s="51"/>
      <c r="E16" s="55"/>
      <c r="F16" s="50"/>
      <c r="G16" s="50"/>
      <c r="H16" s="50"/>
      <c r="I16" s="142"/>
      <c r="J16" s="146"/>
      <c r="K16" s="50"/>
      <c r="L16" s="50"/>
      <c r="M16" s="5"/>
      <c r="Q16" s="4"/>
      <c r="W16" s="49" t="s">
        <v>75</v>
      </c>
    </row>
    <row r="17" spans="1:24">
      <c r="A17" s="55"/>
      <c r="B17" s="55"/>
      <c r="C17" s="141" t="s">
        <v>40</v>
      </c>
      <c r="D17" s="162">
        <v>42374</v>
      </c>
      <c r="E17" s="55"/>
      <c r="F17" s="143" t="s">
        <v>602</v>
      </c>
      <c r="G17" s="143"/>
      <c r="H17" s="55"/>
      <c r="I17" s="55"/>
      <c r="J17" s="147"/>
      <c r="K17" s="55"/>
      <c r="L17" s="55"/>
      <c r="M17" s="18"/>
      <c r="N17" s="3"/>
      <c r="O17" s="3"/>
      <c r="P17" s="3"/>
      <c r="Q17" s="8"/>
      <c r="R17" s="3"/>
      <c r="S17" s="3"/>
      <c r="T17" s="3"/>
      <c r="U17" s="3"/>
      <c r="V17" s="3"/>
      <c r="W17" s="49" t="s">
        <v>75</v>
      </c>
      <c r="X17" s="3"/>
    </row>
    <row r="18" spans="1:24">
      <c r="A18" s="55"/>
      <c r="B18" s="55"/>
      <c r="C18" s="55"/>
      <c r="D18" s="101"/>
      <c r="E18" s="101"/>
      <c r="F18" s="55"/>
      <c r="G18" s="55"/>
      <c r="H18" s="55"/>
      <c r="I18" s="55"/>
      <c r="J18" s="147"/>
      <c r="K18" s="55"/>
      <c r="L18" s="55"/>
      <c r="M18" s="18"/>
      <c r="N18" s="3"/>
      <c r="O18" s="3"/>
      <c r="P18" s="3"/>
      <c r="Q18" s="8"/>
      <c r="R18" s="3"/>
      <c r="S18" s="3"/>
      <c r="T18" s="3"/>
      <c r="U18" s="3"/>
      <c r="V18" s="3"/>
      <c r="W18" s="49" t="s">
        <v>75</v>
      </c>
      <c r="X18" s="3"/>
    </row>
    <row r="19" spans="1:24">
      <c r="A19" s="3"/>
      <c r="B19" s="3"/>
      <c r="C19" s="3"/>
      <c r="D19" s="3"/>
      <c r="E19" s="3"/>
      <c r="F19" s="3"/>
      <c r="G19" s="3"/>
      <c r="H19" s="3"/>
      <c r="I19" s="3"/>
      <c r="J19" s="148"/>
      <c r="K19" s="3"/>
      <c r="L19" s="3"/>
      <c r="M19" s="18"/>
      <c r="N19" s="3"/>
      <c r="O19" s="3"/>
      <c r="P19" s="3"/>
      <c r="Q19" s="8"/>
      <c r="R19" s="3"/>
      <c r="S19" s="3"/>
      <c r="T19" s="3"/>
      <c r="U19" s="3"/>
      <c r="V19" s="3"/>
      <c r="W19" s="49" t="s">
        <v>75</v>
      </c>
      <c r="X19" s="3"/>
    </row>
    <row r="20" spans="1:24">
      <c r="A20" s="8"/>
      <c r="B20" s="197" t="s">
        <v>37</v>
      </c>
      <c r="C20" s="197" t="s">
        <v>31</v>
      </c>
      <c r="D20" s="205" t="s">
        <v>23</v>
      </c>
      <c r="E20" s="206"/>
      <c r="F20" s="197" t="s">
        <v>30</v>
      </c>
      <c r="G20" s="15" t="s">
        <v>13</v>
      </c>
      <c r="H20" s="15" t="s">
        <v>24</v>
      </c>
      <c r="I20" s="15" t="s">
        <v>25</v>
      </c>
      <c r="J20" s="155" t="s">
        <v>100</v>
      </c>
      <c r="K20" s="8"/>
      <c r="L20" s="8"/>
      <c r="M20" s="131"/>
      <c r="N20" s="8"/>
      <c r="O20" s="8"/>
      <c r="P20" s="8"/>
      <c r="Q20" s="8"/>
      <c r="R20" s="8"/>
      <c r="S20" s="8"/>
      <c r="T20" s="3"/>
      <c r="U20" s="8"/>
      <c r="V20" s="8"/>
      <c r="W20" s="129" t="s">
        <v>75</v>
      </c>
      <c r="X20" s="8"/>
    </row>
    <row r="21" spans="1:24">
      <c r="A21" s="3"/>
      <c r="B21" s="198">
        <v>1</v>
      </c>
      <c r="C21" s="199">
        <v>11</v>
      </c>
      <c r="D21" s="200" t="s">
        <v>34</v>
      </c>
      <c r="E21" s="201"/>
      <c r="F21" s="202">
        <v>55</v>
      </c>
      <c r="G21" s="76" t="s">
        <v>38</v>
      </c>
      <c r="H21" s="111">
        <v>23.18</v>
      </c>
      <c r="I21" s="29">
        <v>1274.9000000000001</v>
      </c>
      <c r="J21" s="152" t="s">
        <v>607</v>
      </c>
      <c r="K21" s="85" t="s">
        <v>606</v>
      </c>
      <c r="L21" s="3"/>
      <c r="M21" s="18"/>
      <c r="N21" s="3"/>
      <c r="O21" s="3"/>
      <c r="P21" s="3"/>
      <c r="Q21" s="8"/>
      <c r="R21" s="3"/>
      <c r="S21" s="3"/>
      <c r="T21" s="8"/>
      <c r="U21" s="3"/>
      <c r="V21" s="3"/>
      <c r="W21" s="49" t="s">
        <v>75</v>
      </c>
      <c r="X21" s="3"/>
    </row>
    <row r="24" spans="1:24">
      <c r="A24" s="3"/>
      <c r="B24" s="7"/>
      <c r="C24" s="3"/>
      <c r="D24" s="3"/>
      <c r="E24" s="3"/>
      <c r="F24" s="3"/>
      <c r="G24" s="3"/>
      <c r="H24" s="3"/>
      <c r="I24" s="3"/>
      <c r="J24" s="148"/>
      <c r="K24" s="3"/>
      <c r="L24" s="3"/>
      <c r="M24" s="18"/>
      <c r="N24" s="3"/>
      <c r="O24" s="3"/>
      <c r="P24" s="3"/>
      <c r="Q24" s="8"/>
      <c r="R24" s="3"/>
      <c r="S24" s="3"/>
      <c r="T24" s="3"/>
      <c r="U24" s="3"/>
      <c r="V24" s="3"/>
      <c r="W24" s="49" t="s">
        <v>75</v>
      </c>
      <c r="X24" s="3"/>
    </row>
    <row r="25" spans="1:24">
      <c r="A25" s="55"/>
      <c r="B25" s="55"/>
      <c r="C25" s="55"/>
      <c r="D25" s="55"/>
      <c r="E25" s="55"/>
      <c r="F25" s="55"/>
      <c r="G25" s="55"/>
      <c r="H25" s="55"/>
      <c r="I25" s="55"/>
      <c r="J25" s="147"/>
      <c r="K25" s="55"/>
      <c r="L25" s="55"/>
      <c r="M25" s="18"/>
      <c r="N25" s="3"/>
      <c r="O25" s="3"/>
      <c r="P25" s="3"/>
      <c r="Q25" s="8"/>
      <c r="R25" s="3"/>
      <c r="S25" s="3"/>
      <c r="T25" s="3"/>
      <c r="U25" s="3"/>
      <c r="V25" s="3"/>
      <c r="W25" s="49" t="s">
        <v>75</v>
      </c>
      <c r="X25" s="3"/>
    </row>
    <row r="26" spans="1:24">
      <c r="A26" s="55"/>
      <c r="B26" s="55"/>
      <c r="C26" s="141" t="s">
        <v>39</v>
      </c>
      <c r="D26" s="145" t="s">
        <v>422</v>
      </c>
      <c r="E26" s="141"/>
      <c r="F26" s="141" t="s">
        <v>22</v>
      </c>
      <c r="G26" s="55"/>
      <c r="H26" s="180">
        <v>1710</v>
      </c>
      <c r="I26" s="55"/>
      <c r="J26" s="147"/>
      <c r="K26" s="55"/>
      <c r="L26" s="55"/>
      <c r="M26" s="18"/>
      <c r="N26" s="3"/>
      <c r="O26" s="3"/>
      <c r="P26" s="3"/>
      <c r="Q26" s="8"/>
      <c r="R26" s="3"/>
      <c r="S26" s="3"/>
      <c r="T26" s="3"/>
      <c r="U26" s="3"/>
      <c r="V26" s="3"/>
      <c r="W26" s="49" t="s">
        <v>75</v>
      </c>
      <c r="X26" s="3"/>
    </row>
    <row r="27" spans="1:24">
      <c r="A27" s="50"/>
      <c r="B27" s="50"/>
      <c r="C27" s="50"/>
      <c r="D27" s="51"/>
      <c r="E27" s="55"/>
      <c r="F27" s="50"/>
      <c r="G27" s="50"/>
      <c r="H27" s="50"/>
      <c r="I27" s="142"/>
      <c r="J27" s="146"/>
      <c r="K27" s="50"/>
      <c r="L27" s="50"/>
      <c r="M27" s="5"/>
      <c r="Q27" s="4"/>
      <c r="W27" s="49" t="s">
        <v>75</v>
      </c>
    </row>
    <row r="28" spans="1:24">
      <c r="A28" s="55"/>
      <c r="B28" s="55"/>
      <c r="C28" s="141" t="s">
        <v>40</v>
      </c>
      <c r="D28" s="162">
        <v>42374</v>
      </c>
      <c r="E28" s="55"/>
      <c r="F28" s="143" t="s">
        <v>602</v>
      </c>
      <c r="G28" s="143"/>
      <c r="H28" s="55"/>
      <c r="I28" s="55"/>
      <c r="J28" s="147"/>
      <c r="K28" s="55"/>
      <c r="L28" s="55"/>
      <c r="M28" s="18"/>
      <c r="N28" s="3"/>
      <c r="O28" s="3"/>
      <c r="P28" s="3"/>
      <c r="Q28" s="8"/>
      <c r="R28" s="3"/>
      <c r="S28" s="3"/>
      <c r="T28" s="3"/>
      <c r="U28" s="3"/>
      <c r="V28" s="3"/>
      <c r="W28" s="49" t="s">
        <v>75</v>
      </c>
      <c r="X28" s="3"/>
    </row>
    <row r="29" spans="1:24">
      <c r="A29" s="55"/>
      <c r="B29" s="55"/>
      <c r="C29" s="55"/>
      <c r="D29" s="101"/>
      <c r="E29" s="101"/>
      <c r="F29" s="55"/>
      <c r="G29" s="55"/>
      <c r="H29" s="55"/>
      <c r="I29" s="55"/>
      <c r="J29" s="147"/>
      <c r="K29" s="55"/>
      <c r="L29" s="55"/>
      <c r="M29" s="18"/>
      <c r="N29" s="3"/>
      <c r="O29" s="3"/>
      <c r="P29" s="3"/>
      <c r="Q29" s="8"/>
      <c r="R29" s="3"/>
      <c r="S29" s="3"/>
      <c r="T29" s="3"/>
      <c r="U29" s="3"/>
      <c r="V29" s="3"/>
      <c r="W29" s="49" t="s">
        <v>75</v>
      </c>
      <c r="X29" s="3"/>
    </row>
    <row r="30" spans="1:24">
      <c r="A30" s="3"/>
      <c r="B30" s="3"/>
      <c r="C30" s="3"/>
      <c r="D30" s="3"/>
      <c r="E30" s="3"/>
      <c r="F30" s="3"/>
      <c r="G30" s="3"/>
      <c r="H30" s="3"/>
      <c r="I30" s="3"/>
      <c r="J30" s="148"/>
      <c r="K30" s="3"/>
      <c r="L30" s="3"/>
      <c r="M30" s="18"/>
      <c r="N30" s="3"/>
      <c r="O30" s="3"/>
      <c r="P30" s="3"/>
      <c r="Q30" s="8"/>
      <c r="R30" s="3"/>
      <c r="S30" s="3"/>
      <c r="T30" s="3"/>
      <c r="U30" s="3"/>
      <c r="V30" s="3"/>
      <c r="W30" s="49" t="s">
        <v>75</v>
      </c>
      <c r="X30" s="3"/>
    </row>
    <row r="31" spans="1:24">
      <c r="A31" s="8"/>
      <c r="B31" s="197" t="s">
        <v>37</v>
      </c>
      <c r="C31" s="197" t="s">
        <v>31</v>
      </c>
      <c r="D31" s="205" t="s">
        <v>23</v>
      </c>
      <c r="E31" s="206"/>
      <c r="F31" s="197" t="s">
        <v>30</v>
      </c>
      <c r="G31" s="15" t="s">
        <v>13</v>
      </c>
      <c r="H31" s="15" t="s">
        <v>24</v>
      </c>
      <c r="I31" s="15" t="s">
        <v>25</v>
      </c>
      <c r="J31" s="155" t="s">
        <v>100</v>
      </c>
      <c r="K31" s="8"/>
      <c r="L31" s="8"/>
      <c r="M31" s="131"/>
      <c r="N31" s="8"/>
      <c r="O31" s="8"/>
      <c r="P31" s="8"/>
      <c r="Q31" s="8"/>
      <c r="R31" s="8"/>
      <c r="S31" s="8"/>
      <c r="T31" s="3"/>
      <c r="U31" s="8"/>
      <c r="V31" s="8"/>
      <c r="W31" s="129" t="s">
        <v>75</v>
      </c>
      <c r="X31" s="8"/>
    </row>
    <row r="32" spans="1:24">
      <c r="A32" s="3"/>
      <c r="B32" s="198">
        <v>1</v>
      </c>
      <c r="C32" s="199">
        <v>11</v>
      </c>
      <c r="D32" s="200" t="s">
        <v>34</v>
      </c>
      <c r="E32" s="201"/>
      <c r="F32" s="202">
        <v>55</v>
      </c>
      <c r="G32" s="76" t="s">
        <v>38</v>
      </c>
      <c r="H32" s="111">
        <v>23.18</v>
      </c>
      <c r="I32" s="29">
        <v>1274.9000000000001</v>
      </c>
      <c r="J32" s="152" t="s">
        <v>605</v>
      </c>
      <c r="K32" s="85" t="s">
        <v>606</v>
      </c>
      <c r="L32" s="3"/>
      <c r="M32" s="18"/>
      <c r="N32" s="3"/>
      <c r="O32" s="3"/>
      <c r="P32" s="3"/>
      <c r="Q32" s="8"/>
      <c r="R32" s="3"/>
      <c r="S32" s="3"/>
      <c r="T32" s="8"/>
      <c r="U32" s="3"/>
      <c r="V32" s="3"/>
      <c r="W32" s="49" t="s">
        <v>75</v>
      </c>
      <c r="X32" s="3"/>
    </row>
  </sheetData>
  <mergeCells count="3">
    <mergeCell ref="D31:E31"/>
    <mergeCell ref="D20:E20"/>
    <mergeCell ref="D9:E9"/>
  </mergeCells>
  <conditionalFormatting sqref="K32">
    <cfRule type="cellIs" dxfId="34" priority="17" operator="equal">
      <formula>"Attention, matériel fermé"</formula>
    </cfRule>
  </conditionalFormatting>
  <conditionalFormatting sqref="C32">
    <cfRule type="cellIs" dxfId="33" priority="16" operator="lessThan">
      <formula>15</formula>
    </cfRule>
  </conditionalFormatting>
  <conditionalFormatting sqref="K21">
    <cfRule type="cellIs" dxfId="32" priority="11" operator="equal">
      <formula>"Attention, matériel fermé"</formula>
    </cfRule>
  </conditionalFormatting>
  <conditionalFormatting sqref="C21">
    <cfRule type="cellIs" dxfId="31" priority="10" operator="lessThan">
      <formula>15</formula>
    </cfRule>
  </conditionalFormatting>
  <conditionalFormatting sqref="K10">
    <cfRule type="cellIs" dxfId="30" priority="5" operator="equal">
      <formula>"Attention, matériel fermé"</formula>
    </cfRule>
  </conditionalFormatting>
  <conditionalFormatting sqref="C10">
    <cfRule type="cellIs" dxfId="29" priority="4" operator="lessThan">
      <formula>15</formula>
    </cfRule>
  </conditionalFormatting>
  <printOptions horizontalCentered="1"/>
  <pageMargins left="0.19685039370078741" right="0.31496062992125984" top="0.2" bottom="0.37" header="0.28999999999999998" footer="0.31"/>
  <pageSetup paperSize="9" scale="86" orientation="portrait" r:id="rId1"/>
  <colBreaks count="1" manualBreakCount="1">
    <brk id="1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7">
    <tabColor theme="1"/>
  </sheetPr>
  <dimension ref="A1:P127"/>
  <sheetViews>
    <sheetView topLeftCell="A58" workbookViewId="0">
      <selection activeCell="D48" sqref="D48"/>
    </sheetView>
  </sheetViews>
  <sheetFormatPr baseColWidth="10" defaultRowHeight="15"/>
  <cols>
    <col min="1" max="1" width="15.42578125" customWidth="1"/>
    <col min="3" max="3" width="11.85546875" bestFit="1" customWidth="1"/>
    <col min="4" max="4" width="11.85546875" customWidth="1"/>
  </cols>
  <sheetData>
    <row r="1" spans="1:16">
      <c r="A1" t="s">
        <v>234</v>
      </c>
      <c r="D1" s="159" t="s">
        <v>233</v>
      </c>
      <c r="J1" t="s">
        <v>230</v>
      </c>
    </row>
    <row r="2" spans="1:16">
      <c r="J2" s="157" t="s">
        <v>57</v>
      </c>
      <c r="K2" s="14"/>
      <c r="L2" s="14"/>
      <c r="M2" s="14"/>
      <c r="N2" s="14"/>
      <c r="O2" s="14"/>
      <c r="P2" s="14"/>
    </row>
    <row r="3" spans="1:16">
      <c r="B3" s="116" t="s">
        <v>210</v>
      </c>
      <c r="C3" s="3" t="s">
        <v>225</v>
      </c>
      <c r="D3" s="8" t="s">
        <v>211</v>
      </c>
      <c r="E3" s="115" t="s">
        <v>226</v>
      </c>
      <c r="F3" s="3" t="s">
        <v>227</v>
      </c>
      <c r="G3" s="68"/>
      <c r="J3" s="14" t="s">
        <v>180</v>
      </c>
      <c r="K3" s="14" t="s">
        <v>181</v>
      </c>
      <c r="L3" s="14"/>
      <c r="M3" s="14"/>
      <c r="N3" s="14"/>
      <c r="O3" s="14"/>
      <c r="P3" s="14"/>
    </row>
    <row r="4" spans="1:16">
      <c r="A4" s="2">
        <f>YEAR(SAISIE!D29)</f>
        <v>2016</v>
      </c>
      <c r="B4" s="112" t="s">
        <v>212</v>
      </c>
      <c r="C4" s="113">
        <f>DATE(A4,1,1)</f>
        <v>42370</v>
      </c>
      <c r="D4" s="8">
        <f>WEEKDAY(C4)</f>
        <v>6</v>
      </c>
      <c r="E4" s="115">
        <f>IF(OR(D4=1,D4=7),0,1)</f>
        <v>1</v>
      </c>
      <c r="F4" s="67" t="str">
        <f t="shared" ref="F4:F16" si="0">IF(MONTH(C4)=$C$4,E4,"")</f>
        <v/>
      </c>
      <c r="G4" s="68"/>
      <c r="J4" s="23" t="s">
        <v>63</v>
      </c>
      <c r="K4" s="23" t="s">
        <v>182</v>
      </c>
      <c r="L4" s="14"/>
      <c r="P4" s="14"/>
    </row>
    <row r="5" spans="1:16">
      <c r="B5" s="112" t="s">
        <v>213</v>
      </c>
      <c r="C5" s="113">
        <f>FLOOR(DAY(MINUTE(A4/38)/2+56)&amp;"/5/"&amp;A4,7)-34</f>
        <v>42456</v>
      </c>
      <c r="D5" s="8">
        <f t="shared" ref="D5:D14" si="1">WEEKDAY(C5)</f>
        <v>1</v>
      </c>
      <c r="E5" s="115">
        <f>IF(OR(D5=1,D5=7),0,1)</f>
        <v>0</v>
      </c>
      <c r="F5" s="67" t="str">
        <f t="shared" si="0"/>
        <v/>
      </c>
      <c r="G5" s="68"/>
      <c r="J5" s="23" t="s">
        <v>8</v>
      </c>
      <c r="K5" s="23" t="s">
        <v>183</v>
      </c>
      <c r="L5" s="14"/>
      <c r="P5" s="14"/>
    </row>
    <row r="6" spans="1:16">
      <c r="B6" s="112" t="s">
        <v>214</v>
      </c>
      <c r="C6" s="113">
        <f>C5+1</f>
        <v>42457</v>
      </c>
      <c r="D6" s="8">
        <f t="shared" si="1"/>
        <v>2</v>
      </c>
      <c r="E6" s="115">
        <f t="shared" ref="E6:E14" si="2">IF(OR(D6=1,D6=7),0,1)</f>
        <v>1</v>
      </c>
      <c r="F6" s="67" t="str">
        <f t="shared" si="0"/>
        <v/>
      </c>
      <c r="G6" s="68"/>
      <c r="J6" s="23" t="s">
        <v>59</v>
      </c>
      <c r="K6" s="23" t="s">
        <v>184</v>
      </c>
      <c r="L6" s="14"/>
      <c r="P6" s="14"/>
    </row>
    <row r="7" spans="1:16">
      <c r="B7" s="112" t="s">
        <v>215</v>
      </c>
      <c r="C7" s="113">
        <f>DATE(A4,5,1)</f>
        <v>42491</v>
      </c>
      <c r="D7" s="4">
        <f t="shared" si="1"/>
        <v>1</v>
      </c>
      <c r="E7" s="117">
        <f t="shared" si="2"/>
        <v>0</v>
      </c>
      <c r="F7" s="114" t="str">
        <f t="shared" si="0"/>
        <v/>
      </c>
      <c r="G7" s="68"/>
      <c r="J7" s="23" t="s">
        <v>66</v>
      </c>
      <c r="K7" s="23" t="s">
        <v>185</v>
      </c>
      <c r="L7" s="14"/>
      <c r="M7" s="14"/>
      <c r="N7" s="14"/>
      <c r="O7" s="14"/>
      <c r="P7" s="14"/>
    </row>
    <row r="8" spans="1:16">
      <c r="B8" s="112" t="s">
        <v>216</v>
      </c>
      <c r="C8" s="113">
        <f>DATE(A4,5,8)</f>
        <v>42498</v>
      </c>
      <c r="D8" s="4">
        <f t="shared" si="1"/>
        <v>1</v>
      </c>
      <c r="E8" s="117">
        <f t="shared" si="2"/>
        <v>0</v>
      </c>
      <c r="F8" s="114" t="str">
        <f t="shared" si="0"/>
        <v/>
      </c>
      <c r="G8" s="68"/>
      <c r="J8" s="23" t="s">
        <v>61</v>
      </c>
      <c r="K8" s="23" t="s">
        <v>186</v>
      </c>
      <c r="L8" s="14"/>
      <c r="M8" s="14"/>
      <c r="N8" s="14"/>
      <c r="O8" s="14"/>
      <c r="P8" s="14"/>
    </row>
    <row r="9" spans="1:16">
      <c r="B9" s="112" t="s">
        <v>217</v>
      </c>
      <c r="C9" s="113">
        <f>C5+39</f>
        <v>42495</v>
      </c>
      <c r="D9" s="4">
        <f t="shared" si="1"/>
        <v>5</v>
      </c>
      <c r="E9" s="117">
        <f t="shared" si="2"/>
        <v>1</v>
      </c>
      <c r="F9" s="114" t="str">
        <f t="shared" si="0"/>
        <v/>
      </c>
      <c r="G9" s="68"/>
      <c r="J9" s="23" t="s">
        <v>5</v>
      </c>
      <c r="K9" s="23" t="s">
        <v>187</v>
      </c>
      <c r="L9" s="14"/>
      <c r="M9" s="14"/>
      <c r="N9" s="14"/>
      <c r="O9" s="14"/>
      <c r="P9" s="14"/>
    </row>
    <row r="10" spans="1:16">
      <c r="B10" s="112" t="s">
        <v>218</v>
      </c>
      <c r="C10" s="113">
        <f>C5+49</f>
        <v>42505</v>
      </c>
      <c r="D10" s="4">
        <f t="shared" si="1"/>
        <v>1</v>
      </c>
      <c r="E10" s="117">
        <f t="shared" si="2"/>
        <v>0</v>
      </c>
      <c r="F10" s="114" t="str">
        <f t="shared" si="0"/>
        <v/>
      </c>
      <c r="G10" s="68"/>
      <c r="J10" s="23" t="s">
        <v>60</v>
      </c>
      <c r="K10" s="23" t="s">
        <v>188</v>
      </c>
      <c r="L10" s="14"/>
      <c r="M10" s="14"/>
      <c r="N10" s="14"/>
      <c r="O10" s="14"/>
      <c r="P10" s="14"/>
    </row>
    <row r="11" spans="1:16">
      <c r="B11" s="112" t="s">
        <v>219</v>
      </c>
      <c r="C11" s="113">
        <f>C5+50</f>
        <v>42506</v>
      </c>
      <c r="D11" s="4">
        <f t="shared" si="1"/>
        <v>2</v>
      </c>
      <c r="E11" s="117">
        <f t="shared" si="2"/>
        <v>1</v>
      </c>
      <c r="F11" s="114" t="str">
        <f t="shared" si="0"/>
        <v/>
      </c>
      <c r="G11" s="67"/>
      <c r="J11" s="23" t="s">
        <v>65</v>
      </c>
      <c r="K11" s="23" t="s">
        <v>189</v>
      </c>
      <c r="L11" s="14"/>
      <c r="M11" s="14"/>
      <c r="N11" s="14"/>
      <c r="O11" s="14"/>
      <c r="P11" s="14"/>
    </row>
    <row r="12" spans="1:16">
      <c r="B12" s="112" t="s">
        <v>220</v>
      </c>
      <c r="C12" s="113">
        <f>DATE(A4,7,14)</f>
        <v>42565</v>
      </c>
      <c r="D12" s="8">
        <f t="shared" si="1"/>
        <v>5</v>
      </c>
      <c r="E12" s="115">
        <f t="shared" si="2"/>
        <v>1</v>
      </c>
      <c r="F12" s="67" t="str">
        <f t="shared" si="0"/>
        <v/>
      </c>
      <c r="G12" s="68"/>
      <c r="J12" s="23" t="s">
        <v>4</v>
      </c>
      <c r="K12" s="23" t="s">
        <v>190</v>
      </c>
      <c r="L12" s="14"/>
      <c r="M12" s="14"/>
      <c r="N12" s="14"/>
      <c r="O12" s="14"/>
      <c r="P12" s="14"/>
    </row>
    <row r="13" spans="1:16">
      <c r="B13" s="112" t="s">
        <v>221</v>
      </c>
      <c r="C13" s="113">
        <f>DATE(A4,8,15)</f>
        <v>42597</v>
      </c>
      <c r="D13" s="8">
        <f t="shared" si="1"/>
        <v>2</v>
      </c>
      <c r="E13" s="115">
        <f t="shared" si="2"/>
        <v>1</v>
      </c>
      <c r="F13" s="67" t="str">
        <f t="shared" si="0"/>
        <v/>
      </c>
      <c r="G13" s="68"/>
      <c r="J13" s="23" t="s">
        <v>58</v>
      </c>
      <c r="K13" s="23" t="s">
        <v>191</v>
      </c>
      <c r="L13" s="14"/>
      <c r="M13" s="14"/>
      <c r="N13" s="14"/>
      <c r="O13" s="14"/>
      <c r="P13" s="14"/>
    </row>
    <row r="14" spans="1:16">
      <c r="B14" s="112" t="s">
        <v>222</v>
      </c>
      <c r="C14" s="113">
        <f>DATE(A4,11,1)</f>
        <v>42675</v>
      </c>
      <c r="D14" s="8">
        <f t="shared" si="1"/>
        <v>3</v>
      </c>
      <c r="E14" s="115">
        <f t="shared" si="2"/>
        <v>1</v>
      </c>
      <c r="F14" s="67" t="str">
        <f t="shared" si="0"/>
        <v/>
      </c>
      <c r="G14" s="68"/>
      <c r="J14" s="23" t="s">
        <v>73</v>
      </c>
      <c r="K14" s="23" t="s">
        <v>192</v>
      </c>
      <c r="L14" s="14"/>
      <c r="M14" s="14"/>
      <c r="N14" s="14"/>
      <c r="O14" s="14"/>
      <c r="P14" s="14"/>
    </row>
    <row r="15" spans="1:16">
      <c r="B15" s="112" t="s">
        <v>223</v>
      </c>
      <c r="C15" s="113">
        <f>DATE(A4,11,11)</f>
        <v>42685</v>
      </c>
      <c r="D15" s="8">
        <f>WEEKDAY(C15)</f>
        <v>6</v>
      </c>
      <c r="E15" s="115">
        <f>IF(OR(D15=1,D15=7),0,1)</f>
        <v>1</v>
      </c>
      <c r="F15" s="67" t="str">
        <f t="shared" si="0"/>
        <v/>
      </c>
      <c r="G15" s="68"/>
      <c r="J15" s="23" t="s">
        <v>7</v>
      </c>
      <c r="K15" s="23" t="s">
        <v>193</v>
      </c>
      <c r="L15" s="14"/>
      <c r="M15" s="14"/>
      <c r="N15" s="14"/>
      <c r="O15" s="14"/>
      <c r="P15" s="14"/>
    </row>
    <row r="16" spans="1:16">
      <c r="B16" s="112" t="s">
        <v>224</v>
      </c>
      <c r="C16" s="113">
        <f>DATE(A4,12,24)</f>
        <v>42728</v>
      </c>
      <c r="D16" s="8">
        <f>WEEKDAY(C16)</f>
        <v>7</v>
      </c>
      <c r="E16" s="115">
        <f>IF(OR(D16=1,D16=7),0,1)</f>
        <v>0</v>
      </c>
      <c r="F16" s="67" t="str">
        <f t="shared" si="0"/>
        <v/>
      </c>
      <c r="G16" s="68"/>
      <c r="J16" s="23" t="s">
        <v>1</v>
      </c>
      <c r="K16" s="23" t="s">
        <v>194</v>
      </c>
      <c r="L16" s="14"/>
      <c r="M16" s="14"/>
      <c r="N16" s="14"/>
      <c r="O16" s="14"/>
      <c r="P16" s="14"/>
    </row>
    <row r="17" spans="1:16" s="22" customFormat="1">
      <c r="A17" s="120"/>
      <c r="B17" s="121"/>
      <c r="C17" s="121"/>
      <c r="D17" s="122" t="s">
        <v>228</v>
      </c>
      <c r="E17" s="123">
        <f>SUM(E4:E16)</f>
        <v>8</v>
      </c>
      <c r="F17" s="126" t="s">
        <v>229</v>
      </c>
      <c r="G17" s="119"/>
      <c r="J17" s="23" t="s">
        <v>64</v>
      </c>
      <c r="K17" s="23" t="s">
        <v>195</v>
      </c>
      <c r="L17" s="14"/>
      <c r="M17" s="14"/>
      <c r="N17" s="14"/>
      <c r="O17" s="14"/>
      <c r="P17" s="14"/>
    </row>
    <row r="18" spans="1:16">
      <c r="J18" s="23" t="s">
        <v>62</v>
      </c>
      <c r="K18" s="23" t="s">
        <v>196</v>
      </c>
      <c r="L18" s="14"/>
      <c r="M18" s="14"/>
      <c r="N18" s="14"/>
      <c r="O18" s="14"/>
      <c r="P18" s="14"/>
    </row>
    <row r="19" spans="1:16">
      <c r="J19" s="23" t="s">
        <v>72</v>
      </c>
      <c r="K19" s="23" t="s">
        <v>197</v>
      </c>
      <c r="L19" s="14"/>
      <c r="M19" s="14"/>
      <c r="N19" s="14"/>
      <c r="O19" s="14"/>
      <c r="P19" s="14"/>
    </row>
    <row r="20" spans="1:16">
      <c r="J20" s="23" t="s">
        <v>71</v>
      </c>
      <c r="K20" s="23" t="s">
        <v>198</v>
      </c>
      <c r="L20" s="14"/>
      <c r="M20" s="14"/>
      <c r="N20" s="14"/>
      <c r="O20" s="14"/>
      <c r="P20" s="14"/>
    </row>
    <row r="21" spans="1:16">
      <c r="J21" s="23" t="s">
        <v>74</v>
      </c>
      <c r="K21" s="23" t="s">
        <v>199</v>
      </c>
      <c r="L21" s="14"/>
      <c r="M21" s="14"/>
      <c r="N21" s="14"/>
      <c r="O21" s="14"/>
      <c r="P21" s="14"/>
    </row>
    <row r="22" spans="1:16">
      <c r="J22" s="23" t="s">
        <v>67</v>
      </c>
      <c r="K22" s="23" t="s">
        <v>68</v>
      </c>
      <c r="L22" s="14"/>
    </row>
    <row r="23" spans="1:16">
      <c r="J23" s="23" t="s">
        <v>69</v>
      </c>
      <c r="K23" s="23" t="s">
        <v>70</v>
      </c>
      <c r="L23" s="14"/>
    </row>
    <row r="24" spans="1:16">
      <c r="J24" s="23" t="s">
        <v>2</v>
      </c>
      <c r="K24" s="23" t="s">
        <v>6</v>
      </c>
      <c r="L24" s="14"/>
    </row>
    <row r="29" spans="1:16">
      <c r="A29" t="s">
        <v>237</v>
      </c>
    </row>
    <row r="30" spans="1:16">
      <c r="A30" s="8" t="s">
        <v>238</v>
      </c>
      <c r="B30" s="8" t="s">
        <v>239</v>
      </c>
      <c r="C30" s="160" t="s">
        <v>35</v>
      </c>
      <c r="D30" s="8" t="s">
        <v>240</v>
      </c>
      <c r="F30" t="s">
        <v>280</v>
      </c>
    </row>
    <row r="31" spans="1:16">
      <c r="A31" s="125">
        <v>1</v>
      </c>
      <c r="B31" s="8">
        <v>0.5</v>
      </c>
      <c r="C31" s="8" t="s">
        <v>44</v>
      </c>
      <c r="D31" s="8"/>
      <c r="F31" t="s">
        <v>241</v>
      </c>
    </row>
    <row r="32" spans="1:16">
      <c r="A32" s="125">
        <v>2</v>
      </c>
      <c r="B32" s="8">
        <v>0.56000000000000005</v>
      </c>
      <c r="C32" s="8" t="s">
        <v>44</v>
      </c>
      <c r="D32" s="8"/>
      <c r="F32" t="s">
        <v>242</v>
      </c>
    </row>
    <row r="33" spans="1:9">
      <c r="A33" s="125">
        <v>3</v>
      </c>
      <c r="B33" s="8">
        <v>0.56000000000000005</v>
      </c>
      <c r="C33" s="8" t="s">
        <v>44</v>
      </c>
      <c r="D33" s="8"/>
      <c r="F33" t="s">
        <v>243</v>
      </c>
    </row>
    <row r="34" spans="1:9">
      <c r="A34" s="125">
        <v>4</v>
      </c>
      <c r="B34" s="8">
        <v>0.56999999999999995</v>
      </c>
      <c r="C34" s="8" t="s">
        <v>44</v>
      </c>
      <c r="D34" s="8"/>
      <c r="F34" t="s">
        <v>244</v>
      </c>
    </row>
    <row r="35" spans="1:9">
      <c r="A35" s="125">
        <v>5</v>
      </c>
      <c r="B35" s="8">
        <v>0.63</v>
      </c>
      <c r="C35" s="8" t="s">
        <v>44</v>
      </c>
      <c r="D35" s="8"/>
      <c r="F35" t="s">
        <v>245</v>
      </c>
    </row>
    <row r="36" spans="1:9">
      <c r="A36" s="125">
        <v>6</v>
      </c>
      <c r="B36" s="8">
        <v>50</v>
      </c>
      <c r="C36" s="8" t="s">
        <v>38</v>
      </c>
      <c r="D36" s="8"/>
      <c r="F36" s="168" t="s">
        <v>246</v>
      </c>
    </row>
    <row r="37" spans="1:9" s="14" customFormat="1">
      <c r="A37" s="125">
        <v>7</v>
      </c>
      <c r="B37" s="183" t="s">
        <v>465</v>
      </c>
      <c r="C37" s="8"/>
      <c r="D37" s="8"/>
      <c r="F37" s="168" t="s">
        <v>466</v>
      </c>
    </row>
    <row r="38" spans="1:9" s="14" customFormat="1">
      <c r="A38" s="125">
        <v>8</v>
      </c>
      <c r="B38" s="183" t="s">
        <v>465</v>
      </c>
      <c r="C38" s="8"/>
      <c r="D38" s="8"/>
      <c r="F38" s="168" t="s">
        <v>467</v>
      </c>
    </row>
    <row r="39" spans="1:9" s="14" customFormat="1">
      <c r="A39" s="125">
        <v>9</v>
      </c>
      <c r="B39" s="183" t="s">
        <v>465</v>
      </c>
      <c r="C39" s="8"/>
      <c r="D39" s="8"/>
      <c r="F39" s="168" t="s">
        <v>468</v>
      </c>
    </row>
    <row r="40" spans="1:9" s="14" customFormat="1">
      <c r="A40" s="125">
        <v>10</v>
      </c>
      <c r="B40" s="8">
        <v>60</v>
      </c>
      <c r="C40" s="8" t="s">
        <v>38</v>
      </c>
      <c r="D40" s="8"/>
      <c r="F40" s="165" t="s">
        <v>247</v>
      </c>
    </row>
    <row r="41" spans="1:9" s="14" customFormat="1">
      <c r="A41" s="125">
        <v>11</v>
      </c>
      <c r="B41" s="183" t="s">
        <v>465</v>
      </c>
      <c r="C41" s="8"/>
      <c r="D41" s="8"/>
      <c r="F41" s="165" t="s">
        <v>469</v>
      </c>
    </row>
    <row r="42" spans="1:9" s="14" customFormat="1">
      <c r="A42" s="125">
        <v>12</v>
      </c>
      <c r="B42" s="8">
        <v>60</v>
      </c>
      <c r="C42" s="8" t="s">
        <v>38</v>
      </c>
      <c r="D42" s="8"/>
      <c r="F42" s="166" t="s">
        <v>248</v>
      </c>
    </row>
    <row r="43" spans="1:9" s="14" customFormat="1">
      <c r="A43" s="125">
        <v>13</v>
      </c>
      <c r="B43" s="183" t="s">
        <v>465</v>
      </c>
      <c r="C43" s="8"/>
      <c r="D43" s="8"/>
      <c r="F43" s="166" t="s">
        <v>470</v>
      </c>
    </row>
    <row r="44" spans="1:9" s="14" customFormat="1">
      <c r="A44" s="125">
        <v>14</v>
      </c>
      <c r="B44" s="8">
        <v>60</v>
      </c>
      <c r="C44" s="8" t="s">
        <v>38</v>
      </c>
      <c r="D44" s="8"/>
      <c r="F44" s="165" t="s">
        <v>249</v>
      </c>
    </row>
    <row r="45" spans="1:9" s="14" customFormat="1">
      <c r="A45" s="125">
        <v>15</v>
      </c>
      <c r="B45" s="183" t="s">
        <v>465</v>
      </c>
      <c r="C45" s="8"/>
      <c r="D45" s="8"/>
      <c r="F45" s="165" t="s">
        <v>471</v>
      </c>
    </row>
    <row r="46" spans="1:9" s="14" customFormat="1">
      <c r="A46" s="125">
        <v>16</v>
      </c>
      <c r="B46" s="8">
        <v>60</v>
      </c>
      <c r="C46" s="8" t="s">
        <v>38</v>
      </c>
      <c r="D46" s="8"/>
      <c r="F46" s="166" t="s">
        <v>250</v>
      </c>
    </row>
    <row r="47" spans="1:9" s="14" customFormat="1">
      <c r="A47" s="125">
        <v>17</v>
      </c>
      <c r="B47" s="8">
        <v>60</v>
      </c>
      <c r="C47" s="8" t="s">
        <v>38</v>
      </c>
      <c r="D47" s="8"/>
      <c r="F47" s="165" t="s">
        <v>251</v>
      </c>
    </row>
    <row r="48" spans="1:9" s="14" customFormat="1">
      <c r="A48" s="125">
        <v>18</v>
      </c>
      <c r="B48" s="8">
        <v>20</v>
      </c>
      <c r="C48" s="8" t="s">
        <v>38</v>
      </c>
      <c r="D48" s="8" t="s">
        <v>253</v>
      </c>
      <c r="F48" s="166" t="s">
        <v>252</v>
      </c>
      <c r="I48" s="167"/>
    </row>
    <row r="49" spans="1:6" s="14" customFormat="1">
      <c r="A49" s="125">
        <v>19</v>
      </c>
      <c r="B49" s="8">
        <v>10</v>
      </c>
      <c r="C49" s="8" t="s">
        <v>38</v>
      </c>
      <c r="D49" s="8"/>
      <c r="F49" s="165" t="s">
        <v>254</v>
      </c>
    </row>
    <row r="50" spans="1:6" s="14" customFormat="1">
      <c r="A50" s="125">
        <v>20</v>
      </c>
      <c r="B50" s="183" t="s">
        <v>465</v>
      </c>
      <c r="C50" s="8"/>
      <c r="D50" s="8"/>
      <c r="F50" s="165" t="s">
        <v>472</v>
      </c>
    </row>
    <row r="51" spans="1:6" s="14" customFormat="1">
      <c r="A51" s="125">
        <v>21</v>
      </c>
      <c r="B51" s="183" t="s">
        <v>465</v>
      </c>
      <c r="C51" s="8"/>
      <c r="D51" s="8"/>
      <c r="F51" s="165" t="s">
        <v>473</v>
      </c>
    </row>
    <row r="52" spans="1:6" s="14" customFormat="1">
      <c r="A52" s="125">
        <v>22</v>
      </c>
      <c r="B52" s="183" t="s">
        <v>465</v>
      </c>
      <c r="C52" s="8"/>
      <c r="D52" s="8"/>
      <c r="F52" s="165" t="s">
        <v>474</v>
      </c>
    </row>
    <row r="53" spans="1:6" s="14" customFormat="1">
      <c r="A53" s="125">
        <v>23</v>
      </c>
      <c r="B53" s="183" t="s">
        <v>465</v>
      </c>
      <c r="C53" s="8"/>
      <c r="D53" s="8"/>
      <c r="F53" s="165" t="s">
        <v>475</v>
      </c>
    </row>
    <row r="54" spans="1:6" s="14" customFormat="1">
      <c r="A54" s="125">
        <v>24</v>
      </c>
      <c r="B54" s="8">
        <v>20</v>
      </c>
      <c r="C54" s="8" t="s">
        <v>38</v>
      </c>
      <c r="D54" s="8"/>
      <c r="F54" s="166" t="s">
        <v>255</v>
      </c>
    </row>
    <row r="55" spans="1:6" s="14" customFormat="1">
      <c r="A55" s="125">
        <v>25</v>
      </c>
      <c r="B55" s="183" t="s">
        <v>465</v>
      </c>
      <c r="C55" s="8"/>
      <c r="D55" s="8"/>
      <c r="F55" s="166" t="s">
        <v>476</v>
      </c>
    </row>
    <row r="56" spans="1:6" s="14" customFormat="1">
      <c r="A56" s="125">
        <v>26</v>
      </c>
      <c r="B56" s="8">
        <v>10</v>
      </c>
      <c r="C56" s="8" t="s">
        <v>38</v>
      </c>
      <c r="D56" s="8" t="s">
        <v>257</v>
      </c>
      <c r="F56" s="165" t="s">
        <v>256</v>
      </c>
    </row>
    <row r="57" spans="1:6" s="14" customFormat="1">
      <c r="A57" s="125">
        <v>27</v>
      </c>
      <c r="B57" s="183" t="s">
        <v>465</v>
      </c>
      <c r="C57" s="8"/>
      <c r="D57" s="8"/>
      <c r="F57" s="165" t="s">
        <v>477</v>
      </c>
    </row>
    <row r="58" spans="1:6" s="14" customFormat="1">
      <c r="A58" s="125">
        <v>28</v>
      </c>
      <c r="B58" s="8">
        <v>10</v>
      </c>
      <c r="C58" s="8" t="s">
        <v>38</v>
      </c>
      <c r="D58" s="8"/>
      <c r="F58" s="166" t="s">
        <v>258</v>
      </c>
    </row>
    <row r="59" spans="1:6" s="14" customFormat="1">
      <c r="A59" s="125">
        <v>29</v>
      </c>
      <c r="B59" s="183" t="s">
        <v>465</v>
      </c>
      <c r="C59" s="8"/>
      <c r="D59" s="8"/>
      <c r="F59" s="166" t="s">
        <v>478</v>
      </c>
    </row>
    <row r="60" spans="1:6" s="14" customFormat="1">
      <c r="A60" s="125">
        <v>30</v>
      </c>
      <c r="B60" s="183" t="s">
        <v>465</v>
      </c>
      <c r="C60" s="8"/>
      <c r="D60" s="8"/>
      <c r="F60" s="166" t="s">
        <v>479</v>
      </c>
    </row>
    <row r="61" spans="1:6" s="14" customFormat="1">
      <c r="A61" s="125">
        <v>31</v>
      </c>
      <c r="B61" s="183" t="s">
        <v>465</v>
      </c>
      <c r="C61" s="8"/>
      <c r="D61" s="8"/>
      <c r="F61" s="166" t="s">
        <v>480</v>
      </c>
    </row>
    <row r="62" spans="1:6" s="14" customFormat="1">
      <c r="A62" s="125">
        <v>32</v>
      </c>
      <c r="B62" s="8">
        <v>30</v>
      </c>
      <c r="C62" s="8" t="s">
        <v>38</v>
      </c>
      <c r="D62" s="8"/>
      <c r="F62" s="165" t="s">
        <v>259</v>
      </c>
    </row>
    <row r="63" spans="1:6" s="14" customFormat="1">
      <c r="A63" s="125">
        <v>33</v>
      </c>
      <c r="B63" s="183" t="s">
        <v>465</v>
      </c>
      <c r="C63" s="8"/>
      <c r="D63" s="8"/>
      <c r="F63" s="165" t="s">
        <v>481</v>
      </c>
    </row>
    <row r="64" spans="1:6" s="14" customFormat="1">
      <c r="A64" s="125">
        <v>34</v>
      </c>
      <c r="B64" s="183" t="s">
        <v>465</v>
      </c>
      <c r="C64" s="8"/>
      <c r="D64" s="8"/>
      <c r="F64" s="165" t="s">
        <v>482</v>
      </c>
    </row>
    <row r="65" spans="1:6" s="14" customFormat="1">
      <c r="A65" s="125">
        <v>35</v>
      </c>
      <c r="B65" s="183" t="s">
        <v>465</v>
      </c>
      <c r="C65" s="8"/>
      <c r="D65" s="8"/>
      <c r="F65" s="165" t="s">
        <v>483</v>
      </c>
    </row>
    <row r="66" spans="1:6" s="14" customFormat="1">
      <c r="A66" s="125">
        <v>36</v>
      </c>
      <c r="B66" s="183" t="s">
        <v>465</v>
      </c>
      <c r="C66" s="8"/>
      <c r="D66" s="8"/>
      <c r="F66" s="165" t="s">
        <v>484</v>
      </c>
    </row>
    <row r="67" spans="1:6" s="14" customFormat="1">
      <c r="A67" s="125">
        <v>37</v>
      </c>
      <c r="B67" s="183" t="s">
        <v>465</v>
      </c>
      <c r="C67" s="8"/>
      <c r="D67" s="8"/>
      <c r="F67" s="165" t="s">
        <v>485</v>
      </c>
    </row>
    <row r="68" spans="1:6" s="14" customFormat="1">
      <c r="A68" s="125">
        <v>38</v>
      </c>
      <c r="B68" s="8">
        <v>5</v>
      </c>
      <c r="C68" s="8" t="s">
        <v>38</v>
      </c>
      <c r="D68" s="8" t="s">
        <v>261</v>
      </c>
      <c r="F68" s="166" t="s">
        <v>260</v>
      </c>
    </row>
    <row r="69" spans="1:6" s="14" customFormat="1">
      <c r="A69" s="125">
        <v>39</v>
      </c>
      <c r="B69" s="8">
        <v>3</v>
      </c>
      <c r="C69" s="8" t="s">
        <v>38</v>
      </c>
      <c r="D69" s="8"/>
      <c r="F69" s="165" t="s">
        <v>262</v>
      </c>
    </row>
    <row r="70" spans="1:6" s="14" customFormat="1">
      <c r="A70" s="125">
        <v>40</v>
      </c>
      <c r="B70" s="183" t="s">
        <v>465</v>
      </c>
      <c r="C70" s="8"/>
      <c r="D70" s="8"/>
      <c r="F70" s="165" t="s">
        <v>486</v>
      </c>
    </row>
    <row r="71" spans="1:6" s="14" customFormat="1">
      <c r="A71" s="125">
        <v>41</v>
      </c>
      <c r="B71" s="183" t="s">
        <v>465</v>
      </c>
      <c r="C71" s="8"/>
      <c r="D71" s="8"/>
      <c r="F71" s="165" t="s">
        <v>487</v>
      </c>
    </row>
    <row r="72" spans="1:6" s="14" customFormat="1">
      <c r="A72" s="125">
        <v>42</v>
      </c>
      <c r="B72" s="183" t="s">
        <v>465</v>
      </c>
      <c r="C72" s="8"/>
      <c r="D72" s="8"/>
      <c r="F72" s="165" t="s">
        <v>488</v>
      </c>
    </row>
    <row r="73" spans="1:6" s="14" customFormat="1">
      <c r="A73" s="125">
        <v>43</v>
      </c>
      <c r="B73" s="183" t="s">
        <v>465</v>
      </c>
      <c r="C73" s="8"/>
      <c r="D73" s="8"/>
      <c r="F73" s="165" t="s">
        <v>489</v>
      </c>
    </row>
    <row r="74" spans="1:6" s="14" customFormat="1">
      <c r="A74" s="125">
        <v>44</v>
      </c>
      <c r="B74" s="8">
        <v>10</v>
      </c>
      <c r="C74" s="8" t="s">
        <v>38</v>
      </c>
      <c r="D74" s="8"/>
      <c r="F74" s="166" t="s">
        <v>263</v>
      </c>
    </row>
    <row r="75" spans="1:6" s="14" customFormat="1">
      <c r="A75" s="125">
        <v>45</v>
      </c>
      <c r="B75" s="183" t="s">
        <v>465</v>
      </c>
      <c r="C75" s="8"/>
      <c r="D75" s="8"/>
      <c r="F75" s="166" t="s">
        <v>490</v>
      </c>
    </row>
    <row r="76" spans="1:6" s="14" customFormat="1">
      <c r="A76" s="125">
        <v>46</v>
      </c>
      <c r="B76" s="183" t="s">
        <v>465</v>
      </c>
      <c r="C76" s="8"/>
      <c r="D76" s="8"/>
      <c r="F76" s="166" t="s">
        <v>491</v>
      </c>
    </row>
    <row r="77" spans="1:6" s="14" customFormat="1">
      <c r="A77" s="125">
        <v>47</v>
      </c>
      <c r="B77" s="183" t="s">
        <v>465</v>
      </c>
      <c r="C77" s="8"/>
      <c r="D77" s="8"/>
      <c r="F77" s="166" t="s">
        <v>492</v>
      </c>
    </row>
    <row r="78" spans="1:6" s="14" customFormat="1">
      <c r="A78" s="125">
        <v>48</v>
      </c>
      <c r="B78" s="8">
        <v>10</v>
      </c>
      <c r="C78" s="8" t="s">
        <v>38</v>
      </c>
      <c r="D78" s="8"/>
      <c r="F78" s="165" t="s">
        <v>264</v>
      </c>
    </row>
    <row r="79" spans="1:6" s="14" customFormat="1">
      <c r="A79" s="125">
        <v>49</v>
      </c>
      <c r="B79" s="8">
        <v>60</v>
      </c>
      <c r="C79" s="8" t="s">
        <v>38</v>
      </c>
      <c r="D79" s="8"/>
      <c r="F79" s="165" t="s">
        <v>464</v>
      </c>
    </row>
    <row r="80" spans="1:6" s="14" customFormat="1">
      <c r="A80" s="125">
        <v>50</v>
      </c>
      <c r="B80" s="183" t="s">
        <v>465</v>
      </c>
      <c r="C80" s="8"/>
      <c r="D80" s="8"/>
      <c r="F80" s="165" t="s">
        <v>493</v>
      </c>
    </row>
    <row r="81" spans="1:6" s="14" customFormat="1">
      <c r="A81" s="125">
        <v>51</v>
      </c>
      <c r="B81" s="183" t="s">
        <v>465</v>
      </c>
      <c r="C81" s="8"/>
      <c r="D81" s="8"/>
      <c r="F81" s="165" t="s">
        <v>494</v>
      </c>
    </row>
    <row r="82" spans="1:6" s="14" customFormat="1">
      <c r="A82" s="125">
        <v>52</v>
      </c>
      <c r="B82" s="183" t="s">
        <v>465</v>
      </c>
      <c r="C82" s="8"/>
      <c r="D82" s="8"/>
      <c r="F82" s="165" t="s">
        <v>495</v>
      </c>
    </row>
    <row r="83" spans="1:6" s="14" customFormat="1">
      <c r="A83" s="125">
        <v>53</v>
      </c>
      <c r="B83" s="183" t="s">
        <v>465</v>
      </c>
      <c r="C83" s="8"/>
      <c r="D83" s="8"/>
      <c r="F83" s="165" t="s">
        <v>496</v>
      </c>
    </row>
    <row r="84" spans="1:6" s="14" customFormat="1">
      <c r="A84" s="125">
        <v>54</v>
      </c>
      <c r="B84" s="183" t="s">
        <v>465</v>
      </c>
      <c r="C84" s="8"/>
      <c r="D84" s="8"/>
      <c r="F84" s="165" t="s">
        <v>497</v>
      </c>
    </row>
    <row r="85" spans="1:6" s="14" customFormat="1">
      <c r="A85" s="125">
        <v>55</v>
      </c>
      <c r="B85" s="8">
        <v>5</v>
      </c>
      <c r="C85" s="8" t="s">
        <v>38</v>
      </c>
      <c r="D85" s="8"/>
      <c r="F85" s="166" t="s">
        <v>265</v>
      </c>
    </row>
    <row r="86" spans="1:6" s="14" customFormat="1">
      <c r="A86" s="125">
        <v>56</v>
      </c>
      <c r="B86" s="183" t="s">
        <v>465</v>
      </c>
      <c r="C86" s="8"/>
      <c r="D86" s="8"/>
      <c r="F86" s="166" t="s">
        <v>498</v>
      </c>
    </row>
    <row r="87" spans="1:6" s="14" customFormat="1">
      <c r="A87" s="125">
        <v>57</v>
      </c>
      <c r="B87" s="183" t="s">
        <v>465</v>
      </c>
      <c r="C87" s="8"/>
      <c r="D87" s="8"/>
      <c r="F87" s="166" t="s">
        <v>499</v>
      </c>
    </row>
    <row r="88" spans="1:6" s="14" customFormat="1">
      <c r="A88" s="125">
        <v>58</v>
      </c>
      <c r="B88" s="183" t="s">
        <v>465</v>
      </c>
      <c r="C88" s="8"/>
      <c r="D88" s="8"/>
      <c r="F88" s="166" t="s">
        <v>500</v>
      </c>
    </row>
    <row r="89" spans="1:6" s="14" customFormat="1">
      <c r="A89" s="125">
        <v>59</v>
      </c>
      <c r="B89" s="183" t="s">
        <v>465</v>
      </c>
      <c r="C89" s="8"/>
      <c r="D89" s="8"/>
      <c r="F89" s="166" t="s">
        <v>501</v>
      </c>
    </row>
    <row r="90" spans="1:6" s="14" customFormat="1">
      <c r="A90" s="125">
        <v>60</v>
      </c>
      <c r="B90" s="183" t="s">
        <v>465</v>
      </c>
      <c r="C90" s="8"/>
      <c r="D90" s="8"/>
      <c r="F90" s="166" t="s">
        <v>502</v>
      </c>
    </row>
    <row r="91" spans="1:6" s="14" customFormat="1">
      <c r="A91" s="125">
        <v>61</v>
      </c>
      <c r="B91" s="183" t="s">
        <v>465</v>
      </c>
      <c r="C91" s="8"/>
      <c r="D91" s="8"/>
      <c r="F91" s="166" t="s">
        <v>503</v>
      </c>
    </row>
    <row r="92" spans="1:6" s="14" customFormat="1">
      <c r="A92" s="125">
        <v>62</v>
      </c>
      <c r="B92" s="8">
        <v>2</v>
      </c>
      <c r="C92" s="8" t="s">
        <v>38</v>
      </c>
      <c r="D92" s="8"/>
      <c r="F92" s="165" t="s">
        <v>266</v>
      </c>
    </row>
    <row r="93" spans="1:6" s="14" customFormat="1">
      <c r="A93" s="125">
        <v>63</v>
      </c>
      <c r="B93" s="183" t="s">
        <v>465</v>
      </c>
      <c r="C93" s="8"/>
      <c r="D93" s="8"/>
      <c r="F93" s="165" t="s">
        <v>504</v>
      </c>
    </row>
    <row r="94" spans="1:6" s="14" customFormat="1">
      <c r="A94" s="125">
        <v>64</v>
      </c>
      <c r="B94" s="8">
        <v>3</v>
      </c>
      <c r="C94" s="8" t="s">
        <v>38</v>
      </c>
      <c r="D94" s="8"/>
      <c r="F94" s="166" t="s">
        <v>267</v>
      </c>
    </row>
    <row r="95" spans="1:6" s="14" customFormat="1">
      <c r="A95" s="125">
        <v>65</v>
      </c>
      <c r="B95" s="183" t="s">
        <v>465</v>
      </c>
      <c r="C95" s="8"/>
      <c r="D95" s="8"/>
      <c r="F95" s="166" t="s">
        <v>505</v>
      </c>
    </row>
    <row r="96" spans="1:6" s="14" customFormat="1">
      <c r="A96" s="125">
        <v>66</v>
      </c>
      <c r="B96" s="183" t="s">
        <v>465</v>
      </c>
      <c r="C96" s="8"/>
      <c r="D96" s="8"/>
      <c r="F96" s="166" t="s">
        <v>506</v>
      </c>
    </row>
    <row r="97" spans="1:6" s="14" customFormat="1">
      <c r="A97" s="125">
        <v>67</v>
      </c>
      <c r="B97" s="8">
        <v>3</v>
      </c>
      <c r="C97" s="8" t="s">
        <v>38</v>
      </c>
      <c r="D97" s="8"/>
      <c r="F97" s="165" t="s">
        <v>268</v>
      </c>
    </row>
    <row r="98" spans="1:6" s="14" customFormat="1">
      <c r="A98" s="125">
        <v>68</v>
      </c>
      <c r="B98" s="8">
        <v>3</v>
      </c>
      <c r="C98" s="8" t="s">
        <v>38</v>
      </c>
      <c r="D98" s="8"/>
      <c r="F98" s="166" t="s">
        <v>269</v>
      </c>
    </row>
    <row r="99" spans="1:6" s="14" customFormat="1">
      <c r="A99" s="125">
        <v>69</v>
      </c>
      <c r="B99" s="8">
        <v>2</v>
      </c>
      <c r="C99" s="8" t="s">
        <v>38</v>
      </c>
      <c r="D99" s="8"/>
      <c r="F99" s="165" t="s">
        <v>270</v>
      </c>
    </row>
    <row r="100" spans="1:6" s="14" customFormat="1">
      <c r="A100" s="125">
        <v>70</v>
      </c>
      <c r="B100" s="8">
        <v>5</v>
      </c>
      <c r="C100" s="8" t="s">
        <v>38</v>
      </c>
      <c r="D100" s="8"/>
      <c r="F100" s="166" t="s">
        <v>271</v>
      </c>
    </row>
    <row r="101" spans="1:6" s="14" customFormat="1">
      <c r="A101" s="125">
        <v>71</v>
      </c>
      <c r="B101" s="183" t="s">
        <v>465</v>
      </c>
      <c r="C101" s="8"/>
      <c r="D101" s="8"/>
      <c r="F101" s="166" t="s">
        <v>507</v>
      </c>
    </row>
    <row r="102" spans="1:6" s="14" customFormat="1">
      <c r="A102" s="125">
        <v>72</v>
      </c>
      <c r="B102" s="183" t="s">
        <v>465</v>
      </c>
      <c r="C102" s="8"/>
      <c r="D102" s="8"/>
      <c r="F102" s="166" t="s">
        <v>508</v>
      </c>
    </row>
    <row r="103" spans="1:6" s="14" customFormat="1">
      <c r="A103" s="125">
        <v>73</v>
      </c>
      <c r="B103" s="8">
        <v>70</v>
      </c>
      <c r="C103" s="8" t="s">
        <v>38</v>
      </c>
      <c r="D103" s="8"/>
      <c r="F103" s="165" t="s">
        <v>272</v>
      </c>
    </row>
    <row r="104" spans="1:6" s="14" customFormat="1">
      <c r="A104" s="125">
        <v>74</v>
      </c>
      <c r="B104" s="8">
        <v>20</v>
      </c>
      <c r="C104" s="8" t="s">
        <v>38</v>
      </c>
      <c r="D104" s="8"/>
      <c r="F104" s="166" t="s">
        <v>273</v>
      </c>
    </row>
    <row r="105" spans="1:6" s="14" customFormat="1">
      <c r="A105" s="125">
        <v>75</v>
      </c>
      <c r="B105" s="183" t="s">
        <v>465</v>
      </c>
      <c r="C105" s="8"/>
      <c r="D105" s="8"/>
      <c r="F105" s="166" t="s">
        <v>509</v>
      </c>
    </row>
    <row r="106" spans="1:6" s="14" customFormat="1">
      <c r="A106" s="125">
        <v>76</v>
      </c>
      <c r="B106" s="8">
        <v>2</v>
      </c>
      <c r="C106" s="8" t="s">
        <v>38</v>
      </c>
      <c r="D106" s="8"/>
      <c r="F106" s="165" t="s">
        <v>274</v>
      </c>
    </row>
    <row r="107" spans="1:6" s="14" customFormat="1">
      <c r="A107" s="125">
        <v>77</v>
      </c>
      <c r="B107" s="8">
        <v>2</v>
      </c>
      <c r="C107" s="8" t="s">
        <v>38</v>
      </c>
      <c r="D107" s="8"/>
      <c r="F107" s="166" t="s">
        <v>275</v>
      </c>
    </row>
    <row r="108" spans="1:6" s="14" customFormat="1">
      <c r="A108" s="125">
        <v>78</v>
      </c>
      <c r="B108" s="183" t="s">
        <v>465</v>
      </c>
      <c r="C108" s="8"/>
      <c r="D108" s="8"/>
      <c r="F108" s="166" t="s">
        <v>510</v>
      </c>
    </row>
    <row r="109" spans="1:6" s="14" customFormat="1">
      <c r="A109" s="125">
        <v>79</v>
      </c>
      <c r="B109" s="183" t="s">
        <v>465</v>
      </c>
      <c r="C109" s="8"/>
      <c r="D109" s="8"/>
      <c r="F109" s="166" t="s">
        <v>511</v>
      </c>
    </row>
    <row r="110" spans="1:6" s="14" customFormat="1">
      <c r="A110" s="125">
        <v>80</v>
      </c>
      <c r="B110" s="183" t="s">
        <v>465</v>
      </c>
      <c r="C110" s="8"/>
      <c r="D110" s="8"/>
      <c r="F110" s="166" t="s">
        <v>512</v>
      </c>
    </row>
    <row r="111" spans="1:6" s="14" customFormat="1">
      <c r="A111" s="125">
        <v>81</v>
      </c>
      <c r="B111" s="8">
        <v>30</v>
      </c>
      <c r="C111" s="8" t="s">
        <v>38</v>
      </c>
      <c r="D111" s="8"/>
      <c r="F111" s="165" t="s">
        <v>276</v>
      </c>
    </row>
    <row r="112" spans="1:6" s="14" customFormat="1">
      <c r="A112" s="125">
        <v>82</v>
      </c>
      <c r="B112" s="8">
        <v>20</v>
      </c>
      <c r="C112" s="8" t="s">
        <v>38</v>
      </c>
      <c r="D112" s="8"/>
      <c r="F112" s="166" t="s">
        <v>277</v>
      </c>
    </row>
    <row r="113" spans="1:6" s="14" customFormat="1">
      <c r="A113" s="125">
        <v>83</v>
      </c>
      <c r="B113" s="183" t="s">
        <v>465</v>
      </c>
      <c r="C113" s="8"/>
      <c r="D113" s="8"/>
      <c r="F113" s="166" t="s">
        <v>513</v>
      </c>
    </row>
    <row r="114" spans="1:6" s="14" customFormat="1">
      <c r="A114" s="125">
        <v>84</v>
      </c>
      <c r="B114" s="183" t="s">
        <v>465</v>
      </c>
      <c r="C114" s="8"/>
      <c r="D114" s="8"/>
      <c r="F114" s="166" t="s">
        <v>514</v>
      </c>
    </row>
    <row r="115" spans="1:6" s="14" customFormat="1">
      <c r="A115" s="125">
        <v>85</v>
      </c>
      <c r="B115" s="183" t="s">
        <v>465</v>
      </c>
      <c r="C115" s="8"/>
      <c r="D115" s="8"/>
      <c r="F115" s="166" t="s">
        <v>515</v>
      </c>
    </row>
    <row r="116" spans="1:6" s="14" customFormat="1">
      <c r="A116" s="125">
        <v>86</v>
      </c>
      <c r="B116" s="183" t="s">
        <v>465</v>
      </c>
      <c r="C116" s="8"/>
      <c r="D116" s="8"/>
      <c r="F116" s="166" t="s">
        <v>516</v>
      </c>
    </row>
    <row r="117" spans="1:6" s="14" customFormat="1">
      <c r="A117" s="125">
        <v>87</v>
      </c>
      <c r="B117" s="183" t="s">
        <v>465</v>
      </c>
      <c r="C117" s="8"/>
      <c r="D117" s="8"/>
      <c r="F117" s="166" t="s">
        <v>517</v>
      </c>
    </row>
    <row r="118" spans="1:6" s="14" customFormat="1">
      <c r="A118" s="125">
        <v>88</v>
      </c>
      <c r="B118" s="183" t="s">
        <v>465</v>
      </c>
      <c r="C118" s="8"/>
      <c r="D118" s="8"/>
      <c r="F118" s="166" t="s">
        <v>518</v>
      </c>
    </row>
    <row r="119" spans="1:6" s="14" customFormat="1">
      <c r="A119" s="125">
        <v>89</v>
      </c>
      <c r="B119" s="8">
        <v>5</v>
      </c>
      <c r="C119" s="8" t="s">
        <v>38</v>
      </c>
      <c r="D119" s="8"/>
      <c r="F119" s="165" t="s">
        <v>278</v>
      </c>
    </row>
    <row r="120" spans="1:6" s="14" customFormat="1">
      <c r="A120" s="125">
        <v>18724</v>
      </c>
      <c r="B120" s="8">
        <v>10</v>
      </c>
      <c r="C120" s="8" t="s">
        <v>38</v>
      </c>
      <c r="D120" s="8"/>
    </row>
    <row r="121" spans="1:6" s="14" customFormat="1">
      <c r="A121" s="125">
        <v>18900</v>
      </c>
      <c r="B121" s="8">
        <v>30</v>
      </c>
      <c r="C121" s="8" t="s">
        <v>38</v>
      </c>
      <c r="D121" s="8"/>
    </row>
    <row r="122" spans="1:6" s="14" customFormat="1">
      <c r="A122" s="125">
        <v>18903</v>
      </c>
      <c r="B122" s="8">
        <v>30</v>
      </c>
      <c r="C122" s="8" t="s">
        <v>38</v>
      </c>
      <c r="D122" s="8"/>
    </row>
    <row r="123" spans="1:6" s="14" customFormat="1">
      <c r="A123" s="125">
        <v>18905</v>
      </c>
      <c r="B123" s="8">
        <v>30</v>
      </c>
      <c r="C123" s="8" t="s">
        <v>38</v>
      </c>
      <c r="D123" s="8"/>
    </row>
    <row r="124" spans="1:6" s="14" customFormat="1">
      <c r="A124" s="125">
        <v>26036</v>
      </c>
      <c r="B124" s="8">
        <v>20</v>
      </c>
      <c r="C124" s="8" t="s">
        <v>38</v>
      </c>
      <c r="D124" s="8"/>
    </row>
    <row r="125" spans="1:6" s="14" customFormat="1">
      <c r="A125" s="125">
        <v>38030</v>
      </c>
      <c r="B125" s="8">
        <v>3</v>
      </c>
      <c r="C125" s="8" t="s">
        <v>38</v>
      </c>
      <c r="D125" s="8"/>
    </row>
    <row r="126" spans="1:6" s="14" customFormat="1">
      <c r="A126" s="125">
        <v>38032</v>
      </c>
      <c r="B126" s="8">
        <v>3</v>
      </c>
      <c r="C126" s="8" t="s">
        <v>38</v>
      </c>
      <c r="D126" s="8"/>
    </row>
    <row r="127" spans="1:6" s="14" customFormat="1">
      <c r="A127" s="125">
        <v>38037</v>
      </c>
      <c r="B127" s="8">
        <v>3</v>
      </c>
      <c r="C127" s="8" t="s">
        <v>38</v>
      </c>
      <c r="D127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67</vt:i4>
      </vt:variant>
    </vt:vector>
  </HeadingPairs>
  <TitlesOfParts>
    <vt:vector size="76" baseType="lpstr">
      <vt:lpstr>Chantier</vt:lpstr>
      <vt:lpstr>Tâches</vt:lpstr>
      <vt:lpstr>Personnel</vt:lpstr>
      <vt:lpstr>MatL</vt:lpstr>
      <vt:lpstr>MatX</vt:lpstr>
      <vt:lpstr>BD</vt:lpstr>
      <vt:lpstr>SAISIE</vt:lpstr>
      <vt:lpstr>Impression</vt:lpstr>
      <vt:lpstr>Annexe</vt:lpstr>
      <vt:lpstr>Annexe_Tarif_Code</vt:lpstr>
      <vt:lpstr>Annexe_tarif_cout</vt:lpstr>
      <vt:lpstr>Annexe_Tarif_unité</vt:lpstr>
      <vt:lpstr>BD_Année</vt:lpstr>
      <vt:lpstr>BD_Centre1</vt:lpstr>
      <vt:lpstr>BD_Centre2</vt:lpstr>
      <vt:lpstr>BD_Chantier</vt:lpstr>
      <vt:lpstr>BD_Code</vt:lpstr>
      <vt:lpstr>BD_Coût_total</vt:lpstr>
      <vt:lpstr>BD_CoûtU</vt:lpstr>
      <vt:lpstr>BD_Date</vt:lpstr>
      <vt:lpstr>BD_etpannuel</vt:lpstr>
      <vt:lpstr>BD_Libellé</vt:lpstr>
      <vt:lpstr>BD_Mois</vt:lpstr>
      <vt:lpstr>BD_num</vt:lpstr>
      <vt:lpstr>BD_Qté</vt:lpstr>
      <vt:lpstr>BD_Tâches</vt:lpstr>
      <vt:lpstr>BD_TâchesLib</vt:lpstr>
      <vt:lpstr>BD_Type</vt:lpstr>
      <vt:lpstr>BD_Unité</vt:lpstr>
      <vt:lpstr>BD_UT</vt:lpstr>
      <vt:lpstr>Chantier_Centre1</vt:lpstr>
      <vt:lpstr>Chantier_Centre2</vt:lpstr>
      <vt:lpstr>Chantier_Code</vt:lpstr>
      <vt:lpstr>Chantier_Lib</vt:lpstr>
      <vt:lpstr>Chantier_UT</vt:lpstr>
      <vt:lpstr>Impression!Code_MatL</vt:lpstr>
      <vt:lpstr>Impression!Code_MatX</vt:lpstr>
      <vt:lpstr>Impression!Code_Personnel</vt:lpstr>
      <vt:lpstr>Impression!Coût_MatL</vt:lpstr>
      <vt:lpstr>Impression!CoûtH_Personnel</vt:lpstr>
      <vt:lpstr>Impression!CoûtJ_Personnel</vt:lpstr>
      <vt:lpstr>BD!Impression_des_titres</vt:lpstr>
      <vt:lpstr>Chantier!Impression_des_titres</vt:lpstr>
      <vt:lpstr>MatL!Impression_des_titres</vt:lpstr>
      <vt:lpstr>Tâches!Impression_des_titres</vt:lpstr>
      <vt:lpstr>Impression!Lib_MatL</vt:lpstr>
      <vt:lpstr>Impression!Lib_MatX</vt:lpstr>
      <vt:lpstr>Impression!Lib_Personnel</vt:lpstr>
      <vt:lpstr>ll</vt:lpstr>
      <vt:lpstr>MatL_Code</vt:lpstr>
      <vt:lpstr>MatL_Coût</vt:lpstr>
      <vt:lpstr>MatL_fermé</vt:lpstr>
      <vt:lpstr>MatL_Lib</vt:lpstr>
      <vt:lpstr>MatL_Type</vt:lpstr>
      <vt:lpstr>MatL_Unite</vt:lpstr>
      <vt:lpstr>MatX_Code</vt:lpstr>
      <vt:lpstr>MatX_Lib</vt:lpstr>
      <vt:lpstr>MatX_Prix</vt:lpstr>
      <vt:lpstr>MatX_Unite</vt:lpstr>
      <vt:lpstr>Personnel_Code</vt:lpstr>
      <vt:lpstr>Personnel_CoûtH</vt:lpstr>
      <vt:lpstr>Personnel_CoûtJ</vt:lpstr>
      <vt:lpstr>Personnel_Lib</vt:lpstr>
      <vt:lpstr>Impression!Prix_MatX</vt:lpstr>
      <vt:lpstr>Tâches_Code</vt:lpstr>
      <vt:lpstr>Tâches_CodeETLib</vt:lpstr>
      <vt:lpstr>Tâches_Lib</vt:lpstr>
      <vt:lpstr>Impression!Unite_MatL</vt:lpstr>
      <vt:lpstr>Impression!Unite_MatX</vt:lpstr>
      <vt:lpstr>BD!Zone_d_impression</vt:lpstr>
      <vt:lpstr>Chantier!Zone_d_impression</vt:lpstr>
      <vt:lpstr>MatL!Zone_d_impression</vt:lpstr>
      <vt:lpstr>MatX!Zone_d_impression</vt:lpstr>
      <vt:lpstr>Personnel!Zone_d_impression</vt:lpstr>
      <vt:lpstr>SAISIE!Zone_d_impression</vt:lpstr>
      <vt:lpstr>Tâches!Zone_d_impression</vt:lpstr>
    </vt:vector>
  </TitlesOfParts>
  <Company>Conseil général des Vosges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LOMBARD Laetitia</dc:creator>
  <cp:lastModifiedBy>LouReeD</cp:lastModifiedBy>
  <cp:lastPrinted>2016-03-24T14:39:37Z</cp:lastPrinted>
  <dcterms:created xsi:type="dcterms:W3CDTF">2014-10-06T06:27:01Z</dcterms:created>
  <dcterms:modified xsi:type="dcterms:W3CDTF">2016-04-13T19:58:29Z</dcterms:modified>
</cp:coreProperties>
</file>