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Default Extension="doc" ContentType="application/msword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9675" yWindow="240" windowWidth="14235" windowHeight="12480" tabRatio="804" activeTab="3"/>
  </bookViews>
  <sheets>
    <sheet name="TCD_Compte" sheetId="29" r:id="rId1"/>
    <sheet name="TCD_Catégorie" sheetId="28" r:id="rId2"/>
    <sheet name="Crédit_Débit" sheetId="7" r:id="rId3"/>
    <sheet name="BD" sheetId="17" r:id="rId4"/>
    <sheet name="Système" sheetId="25" r:id="rId5"/>
    <sheet name="Mensualisation" sheetId="26" r:id="rId6"/>
    <sheet name="Budjet" sheetId="27" r:id="rId7"/>
    <sheet name="Gestion dépense" sheetId="31" r:id="rId8"/>
    <sheet name="Conso essence" sheetId="32" r:id="rId9"/>
  </sheets>
  <functionGroups/>
  <definedNames>
    <definedName name="_xlnm._FilterDatabase" localSheetId="2" hidden="1">Crédit_Débit!$A$2:$I$14</definedName>
    <definedName name="Choix1">OFFSET(BD!$B$2,,,COUNTA(BD!$B:$B)-1)</definedName>
    <definedName name="Choix2">BD!$B$2:$XFD$2</definedName>
    <definedName name="compte">OFFSET(Système!$A$1,1,,COUNTA(Système!$A:$A)-1)</definedName>
    <definedName name="Compte_princ">Système!$G$1</definedName>
    <definedName name="comptes_transfert">OFFSET(BD!$C$2,,,,COUNTIF(BD!1048574:1048574,"&gt;&lt;")-2)</definedName>
    <definedName name="Date">Système!$G$4</definedName>
    <definedName name="Débit">OFFSET(Crédit_Débit!$I$3,,,COUNTA(Crédit_Débit!$I:$I))</definedName>
    <definedName name="Libellés_principaux">OFFSET(Crédit_Débit!$E$3,,,COUNTA(Crédit_Débit!$E:$E)-1)</definedName>
    <definedName name="Libellés_secondaires">OFFSET(Crédit_Débit!$F$3,,,COUNTA(Crédit_Débit!$F:$F)-1)</definedName>
    <definedName name="NumCheque">OFFSET(Système!$B$1,1,,COUNTA(Système!$B:$B)-1)</definedName>
    <definedName name="suivi_chèque">Système!$G$2</definedName>
    <definedName name="Type_op">OFFSET(Système!$E$1,1,,COUNTA(Système!$E:$E)-1)</definedName>
  </definedNames>
  <calcPr calcId="125725"/>
  <pivotCaches>
    <pivotCache cacheId="0" r:id="rId10"/>
  </pivotCaches>
</workbook>
</file>

<file path=xl/calcChain.xml><?xml version="1.0" encoding="utf-8"?>
<calcChain xmlns="http://schemas.openxmlformats.org/spreadsheetml/2006/main">
  <c r="J14" i="7"/>
  <c r="K14"/>
  <c r="K11"/>
  <c r="J11"/>
  <c r="J13"/>
  <c r="K13"/>
  <c r="J12"/>
  <c r="G2" i="32" l="1"/>
  <c r="G3"/>
  <c r="S4" i="27"/>
  <c r="T4"/>
  <c r="U4"/>
  <c r="V4"/>
  <c r="W4"/>
  <c r="X4"/>
  <c r="Y4"/>
  <c r="Z4"/>
  <c r="AA4"/>
  <c r="AB4"/>
  <c r="AC4"/>
  <c r="R4"/>
  <c r="E4"/>
  <c r="N2" i="17"/>
  <c r="R2" i="27"/>
  <c r="Z2"/>
  <c r="H2" i="17"/>
  <c r="G2"/>
  <c r="AC2" i="27"/>
  <c r="AB2"/>
  <c r="Y2"/>
  <c r="O2" i="17"/>
  <c r="W2" i="27"/>
  <c r="J2" i="17"/>
  <c r="D2"/>
  <c r="X2" i="27"/>
  <c r="AA2"/>
  <c r="V2"/>
  <c r="T2"/>
  <c r="L2" i="17"/>
  <c r="K2"/>
  <c r="M2"/>
  <c r="U2" i="27"/>
  <c r="I2" i="17"/>
  <c r="S2" i="27"/>
  <c r="F2" i="17"/>
  <c r="E2"/>
  <c r="C2"/>
  <c r="L12" i="7" l="1"/>
  <c r="L14"/>
  <c r="L11"/>
  <c r="L13"/>
  <c r="R17" i="3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G4" i="25" l="1"/>
  <c r="A1" i="7" s="1"/>
  <c r="J3" l="1"/>
  <c r="K3"/>
  <c r="J4"/>
  <c r="K4"/>
  <c r="J5"/>
  <c r="K5"/>
  <c r="J6"/>
  <c r="K6"/>
  <c r="J7"/>
  <c r="K7"/>
  <c r="J8"/>
  <c r="K8"/>
  <c r="J9"/>
  <c r="K9"/>
  <c r="J10"/>
  <c r="K10"/>
  <c r="L4" l="1"/>
  <c r="L8"/>
  <c r="L5"/>
  <c r="L9"/>
  <c r="L7"/>
  <c r="L6"/>
  <c r="L10"/>
  <c r="L3"/>
</calcChain>
</file>

<file path=xl/sharedStrings.xml><?xml version="1.0" encoding="utf-8"?>
<sst xmlns="http://schemas.openxmlformats.org/spreadsheetml/2006/main" count="366" uniqueCount="185">
  <si>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</si>
  <si>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</si>
  <si>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</si>
  <si>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</si>
  <si>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</si>
  <si>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</si>
  <si>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</si>
  <si>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</si>
  <si>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</si>
  <si>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</si>
  <si>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</si>
  <si>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</si>
  <si>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</si>
  <si>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</si>
  <si>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</si>
  <si>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</si>
  <si>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</si>
  <si>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</si>
  <si>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</si>
  <si>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</si>
  <si>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</si>
  <si>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</si>
  <si>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</si>
  <si>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</si>
  <si>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</si>
  <si>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</si>
  <si>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</si>
  <si>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</si>
  <si>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</si>
  <si>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</si>
  <si>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</si>
  <si>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</si>
  <si>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</si>
  <si>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</si>
  <si>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</si>
  <si>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</si>
  <si>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</si>
  <si>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</si>
  <si>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</si>
  <si>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</si>
  <si>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</si>
  <si>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</si>
  <si>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</si>
  <si>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</si>
  <si>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</si>
  <si>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</si>
  <si>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</si>
  <si>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</si>
  <si>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</si>
  <si>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</si>
  <si>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</si>
  <si>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</si>
  <si>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</si>
  <si>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</si>
  <si>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</si>
  <si>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</si>
  <si>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</si>
  <si>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</si>
  <si>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</si>
  <si>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</si>
  <si>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</si>
  <si>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</si>
  <si>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</si>
  <si>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</si>
  <si>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</si>
  <si>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</si>
  <si>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</si>
  <si>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</si>
  <si>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</si>
  <si>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</si>
  <si>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</si>
  <si>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</si>
  <si>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</si>
  <si>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</si>
  <si>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</si>
  <si>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</si>
  <si>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</si>
  <si>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</si>
  <si>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</si>
  <si>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</si>
  <si>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</si>
  <si>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</si>
  <si>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</si>
  <si>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</si>
  <si>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</si>
  <si>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</si>
  <si>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</si>
  <si>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</si>
  <si>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</si>
  <si>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</si>
  <si>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</si>
  <si>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</si>
  <si>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</si>
  <si>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</si>
  <si>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</si>
  <si>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</si>
  <si>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</si>
  <si>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</si>
  <si>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</si>
  <si>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</si>
  <si>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</si>
  <si>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</si>
  <si>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</si>
  <si>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</si>
  <si>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</si>
  <si>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</si>
  <si>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</si>
  <si>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</si>
  <si>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</si>
  <si>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</si>
  <si>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</si>
  <si>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</si>
  <si>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</si>
  <si>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</si>
  <si>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</si>
  <si>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</si>
  <si>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</si>
  <si>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</si>
  <si>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</si>
  <si>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</si>
  <si>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</si>
  <si>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Somme de Solde Courant</t>
  </si>
  <si>
    <t>Crédit/Débit</t>
  </si>
  <si>
    <t>P</t>
  </si>
  <si>
    <t>Années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</si>
  <si>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</si>
  <si>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</si>
  <si>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</si>
  <si>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</si>
  <si>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</si>
  <si>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</si>
  <si>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</si>
  <si>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Solde Banque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</si>
  <si>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</si>
  <si>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</si>
  <si>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</si>
  <si>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</si>
  <si>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</si>
  <si>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</si>
  <si>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</si>
  <si>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</si>
  <si>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</si>
  <si>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</si>
  <si>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</si>
  <si>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</si>
  <si>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</si>
  <si>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</si>
  <si>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</si>
  <si>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</si>
  <si>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</si>
  <si>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</si>
  <si>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</si>
  <si>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</si>
  <si>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</si>
  <si>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</si>
  <si>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</si>
  <si>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</si>
  <si>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</si>
  <si>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</si>
  <si>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</si>
  <si>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</si>
  <si>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</si>
  <si>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</si>
  <si>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</si>
  <si>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</si>
  <si>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</si>
  <si>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</si>
  <si>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</si>
  <si>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</si>
  <si>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</si>
  <si>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</si>
  <si>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</si>
  <si>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</si>
  <si>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</si>
  <si>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E-Leclerc</t>
  </si>
  <si>
    <t>Inter</t>
  </si>
  <si>
    <t>Litre/100Km</t>
  </si>
  <si>
    <t>800 km</t>
  </si>
  <si>
    <t>750 km</t>
  </si>
  <si>
    <t>Oui</t>
  </si>
  <si>
    <t>LouReeD</t>
  </si>
  <si>
    <t>0</t>
  </si>
  <si>
    <t>2</t>
  </si>
  <si>
    <t>Chèque n°2</t>
  </si>
  <si>
    <t>lrd</t>
  </si>
</sst>
</file>

<file path=xl/styles.xml><?xml version="1.0" encoding="utf-8"?>
<styleSheet xmlns="http://schemas.openxmlformats.org/spreadsheetml/2006/main">
  <numFmts count="7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  <numFmt numFmtId="168" formatCode="#,##0.000\ &quot;€&quot;"/>
    <numFmt numFmtId="169" formatCode="[=0]&quot;&quot;;General"/>
  </numFmts>
  <fonts count="19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sz val="10"/>
      <name val="Wingdings 2"/>
    </font>
  </fonts>
  <fills count="1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4D79B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51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165" fontId="6" fillId="0" borderId="1" xfId="0" applyNumberFormat="1" applyFont="1" applyFill="1" applyBorder="1" applyAlignment="1">
      <alignment vertical="center"/>
    </xf>
    <xf numFmtId="165" fontId="6" fillId="0" borderId="5" xfId="0" applyNumberFormat="1" applyFont="1" applyFill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0" borderId="8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9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2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/>
    </xf>
    <xf numFmtId="0" fontId="11" fillId="13" borderId="14" xfId="0" applyFont="1" applyFill="1" applyBorder="1"/>
    <xf numFmtId="0" fontId="11" fillId="13" borderId="17" xfId="0" applyFont="1" applyFill="1" applyBorder="1"/>
    <xf numFmtId="0" fontId="11" fillId="14" borderId="21" xfId="0" applyFont="1" applyFill="1" applyBorder="1" applyAlignment="1">
      <alignment horizontal="center" vertical="center" wrapText="1"/>
    </xf>
    <xf numFmtId="0" fontId="11" fillId="15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1" fillId="16" borderId="25" xfId="0" applyFont="1" applyFill="1" applyBorder="1" applyAlignment="1">
      <alignment horizontal="center" vertical="center" wrapText="1"/>
    </xf>
    <xf numFmtId="0" fontId="11" fillId="16" borderId="27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16" fontId="14" fillId="0" borderId="33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" fontId="14" fillId="0" borderId="3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7" fillId="0" borderId="40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0" xfId="0" applyNumberFormat="1" applyFont="1" applyAlignment="1">
      <alignment vertical="top"/>
    </xf>
    <xf numFmtId="0" fontId="4" fillId="0" borderId="3" xfId="0" applyFont="1" applyFill="1" applyBorder="1" applyAlignment="1">
      <alignment vertical="top" wrapText="1"/>
    </xf>
    <xf numFmtId="164" fontId="4" fillId="0" borderId="0" xfId="0" applyNumberFormat="1" applyFont="1"/>
    <xf numFmtId="164" fontId="0" fillId="0" borderId="0" xfId="0" applyNumberFormat="1"/>
    <xf numFmtId="165" fontId="4" fillId="0" borderId="0" xfId="0" applyNumberFormat="1" applyFont="1"/>
    <xf numFmtId="168" fontId="4" fillId="0" borderId="0" xfId="0" applyNumberFormat="1" applyFont="1"/>
    <xf numFmtId="168" fontId="0" fillId="0" borderId="0" xfId="0" applyNumberFormat="1"/>
    <xf numFmtId="164" fontId="4" fillId="0" borderId="0" xfId="0" applyNumberFormat="1" applyFont="1" applyBorder="1"/>
    <xf numFmtId="165" fontId="4" fillId="0" borderId="0" xfId="0" applyNumberFormat="1" applyFont="1" applyBorder="1"/>
    <xf numFmtId="168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/>
    <xf numFmtId="49" fontId="3" fillId="0" borderId="0" xfId="0" applyNumberFormat="1" applyFont="1" applyFill="1" applyAlignment="1">
      <alignment horizontal="center" vertical="center" wrapText="1"/>
    </xf>
    <xf numFmtId="169" fontId="3" fillId="0" borderId="0" xfId="0" applyNumberFormat="1" applyFont="1" applyFill="1" applyAlignment="1">
      <alignment horizontal="center" vertical="center" wrapText="1"/>
    </xf>
    <xf numFmtId="8" fontId="18" fillId="0" borderId="0" xfId="0" applyNumberFormat="1" applyFont="1" applyBorder="1" applyAlignment="1">
      <alignment horizontal="center" vertical="center" wrapText="1"/>
    </xf>
    <xf numFmtId="0" fontId="0" fillId="18" borderId="0" xfId="0" applyFont="1" applyFill="1" applyBorder="1" applyAlignment="1">
      <alignment vertical="top" wrapText="1"/>
    </xf>
    <xf numFmtId="0" fontId="0" fillId="17" borderId="0" xfId="0" applyFill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 wrapText="1"/>
    </xf>
    <xf numFmtId="0" fontId="0" fillId="12" borderId="7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13" borderId="13" xfId="0" applyFont="1" applyFill="1" applyBorder="1" applyAlignment="1">
      <alignment horizontal="center" vertical="center"/>
    </xf>
    <xf numFmtId="0" fontId="10" fillId="13" borderId="14" xfId="0" applyFont="1" applyFill="1" applyBorder="1" applyAlignment="1">
      <alignment horizontal="center" vertical="center"/>
    </xf>
    <xf numFmtId="0" fontId="10" fillId="13" borderId="1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09"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relativeIndent="255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0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114300</xdr:rowOff>
    </xdr:from>
    <xdr:to>
      <xdr:col>0</xdr:col>
      <xdr:colOff>1628775</xdr:colOff>
      <xdr:row>1</xdr:row>
      <xdr:rowOff>409575</xdr:rowOff>
    </xdr:to>
    <xdr:sp macro="[0]!mensuel" textlink="">
      <xdr:nvSpPr>
        <xdr:cNvPr id="2" name="ZoneTexte 1"/>
        <xdr:cNvSpPr txBox="1"/>
      </xdr:nvSpPr>
      <xdr:spPr>
        <a:xfrm>
          <a:off x="571500" y="114300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ivier" refreshedDate="42304.944280787036" createdVersion="3" refreshedVersion="3" minRefreshableVersion="3" recordCount="13">
  <cacheSource type="worksheet">
    <worksheetSource ref="A2:M1048576" sheet="Crédit_Débit"/>
  </cacheSource>
  <cacheFields count="14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10-25T00:00:00" maxDate="2016-01-01T00:00:00" count="4">
        <d v="2015-12-31T00:00:00"/>
        <d v="2015-10-25T00:00:00"/>
        <d v="2015-12-25T00:00:00"/>
        <m/>
      </sharedItems>
      <fieldGroup par="13" base="1">
        <rangePr groupBy="months" startDate="2015-10-25T00:00:00" endDate="2016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9">
        <m/>
        <s v="Transfert"/>
        <s v="Cadeaux"/>
        <s v="Loisirs" u="1"/>
        <s v="Habitation" u="1"/>
        <s v="Courses" u="1"/>
        <s v="Assurance" u="1"/>
        <s v="Banque" u="1"/>
        <s v="Emploi" u="1"/>
      </sharedItems>
    </cacheField>
    <cacheField name="Libellés secondaires" numFmtId="0">
      <sharedItems containsBlank="1" count="23">
        <m/>
        <s v="XXX - Compte Courant"/>
        <s v="YYY - Compte Courant"/>
        <s v="Anniversaire Famille"/>
        <s v="Alimentation, boisson" u="1"/>
        <s v="Equipement maison" u="1"/>
        <s v="Hygiène, soin" u="1"/>
        <s v="Bricolage" u="1"/>
        <s v="Film en DVD" u="1"/>
        <s v="Carte bancaire" u="1"/>
        <s v="Alimentation" u="1"/>
        <s v="XYX - Compte Joint" u="1"/>
        <s v="EDF" u="1"/>
        <s v="YYY - Monnaie" u="1"/>
        <s v="XXX - Livret Compte courant" u="1"/>
        <s v="Assurance" u="1"/>
        <s v="XXX - Monnaie" u="1"/>
        <s v="Téléphone mobile" u="1"/>
        <s v="YYY - Livret Epargne" u="1"/>
        <s v="Salaire" u="1"/>
        <s v="Assurance vie" u="1"/>
        <s v="Assurance juridique" u="1"/>
        <s v="Sport" u="1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-50" maxValue="2000"/>
    </cacheField>
    <cacheField name="Débit" numFmtId="165">
      <sharedItems containsString="0" containsBlank="1" containsNumber="1" containsInteger="1" minValue="50" maxValue="50"/>
    </cacheField>
    <cacheField name="Solde Courant" numFmtId="165">
      <sharedItems containsString="0" containsBlank="1" containsNumber="1" containsInteger="1" minValue="-50" maxValue="2000"/>
    </cacheField>
    <cacheField name="Crédit/Débit" numFmtId="0">
      <sharedItems containsBlank="1" count="3">
        <s v="Crédit"/>
        <s v="Débit"/>
        <m/>
      </sharedItems>
    </cacheField>
    <cacheField name="Solde Cumulé" numFmtId="0">
      <sharedItems containsString="0" containsBlank="1" containsNumber="1" containsInteger="1" minValue="0" maxValue="2000"/>
    </cacheField>
    <cacheField name="Note" numFmtId="0">
      <sharedItems containsNonDate="0" containsString="0" containsBlank="1"/>
    </cacheField>
    <cacheField name="Années" numFmtId="0" databaseField="0">
      <fieldGroup base="1">
        <rangePr groupBy="years" startDate="2015-10-25T00:00:00" endDate="2016-01-01T00:00:00"/>
        <groupItems count="3">
          <s v="&lt;25/10/2015"/>
          <s v="2015"/>
          <s v="&gt;01/01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m/>
    <m/>
    <x v="0"/>
    <x v="0"/>
    <x v="0"/>
    <n v="100"/>
    <m/>
    <n v="100"/>
    <x v="0"/>
    <n v="100"/>
    <m/>
  </r>
  <r>
    <x v="1"/>
    <x v="0"/>
    <m/>
    <m/>
    <x v="0"/>
    <x v="0"/>
    <x v="0"/>
    <n v="100"/>
    <m/>
    <n v="100"/>
    <x v="0"/>
    <n v="100"/>
    <m/>
  </r>
  <r>
    <x v="2"/>
    <x v="0"/>
    <m/>
    <m/>
    <x v="0"/>
    <x v="0"/>
    <x v="0"/>
    <n v="100"/>
    <m/>
    <n v="100"/>
    <x v="0"/>
    <n v="100"/>
    <m/>
  </r>
  <r>
    <x v="3"/>
    <x v="0"/>
    <m/>
    <m/>
    <x v="0"/>
    <x v="0"/>
    <x v="0"/>
    <n v="100"/>
    <m/>
    <n v="100"/>
    <x v="0"/>
    <n v="100"/>
    <m/>
  </r>
  <r>
    <x v="4"/>
    <x v="0"/>
    <m/>
    <m/>
    <x v="0"/>
    <x v="0"/>
    <x v="0"/>
    <n v="100"/>
    <m/>
    <n v="100"/>
    <x v="0"/>
    <n v="100"/>
    <m/>
  </r>
  <r>
    <x v="5"/>
    <x v="0"/>
    <m/>
    <m/>
    <x v="0"/>
    <x v="0"/>
    <x v="0"/>
    <n v="100"/>
    <m/>
    <n v="100"/>
    <x v="0"/>
    <n v="100"/>
    <m/>
  </r>
  <r>
    <x v="6"/>
    <x v="0"/>
    <m/>
    <m/>
    <x v="0"/>
    <x v="0"/>
    <x v="0"/>
    <n v="100"/>
    <m/>
    <n v="100"/>
    <x v="0"/>
    <n v="100"/>
    <m/>
  </r>
  <r>
    <x v="7"/>
    <x v="0"/>
    <m/>
    <m/>
    <x v="0"/>
    <x v="0"/>
    <x v="0"/>
    <n v="100"/>
    <m/>
    <n v="100"/>
    <x v="0"/>
    <n v="100"/>
    <m/>
  </r>
  <r>
    <x v="0"/>
    <x v="1"/>
    <s v="Virement"/>
    <s v="LouReeD"/>
    <x v="1"/>
    <x v="1"/>
    <x v="0"/>
    <m/>
    <n v="50"/>
    <n v="50"/>
    <x v="1"/>
    <n v="0"/>
    <m/>
  </r>
  <r>
    <x v="3"/>
    <x v="1"/>
    <s v="Versement"/>
    <s v="LouReeD"/>
    <x v="1"/>
    <x v="2"/>
    <x v="0"/>
    <n v="-50"/>
    <m/>
    <n v="-50"/>
    <x v="0"/>
    <n v="0"/>
    <m/>
  </r>
  <r>
    <x v="3"/>
    <x v="1"/>
    <s v="Chèque"/>
    <s v="Chèque n°2"/>
    <x v="2"/>
    <x v="3"/>
    <x v="0"/>
    <m/>
    <n v="50"/>
    <n v="50"/>
    <x v="1"/>
    <n v="0"/>
    <m/>
  </r>
  <r>
    <x v="0"/>
    <x v="2"/>
    <s v="Versement"/>
    <s v="lrd"/>
    <x v="2"/>
    <x v="0"/>
    <x v="0"/>
    <n v="2000"/>
    <m/>
    <n v="2000"/>
    <x v="0"/>
    <n v="2000"/>
    <m/>
  </r>
  <r>
    <x v="8"/>
    <x v="3"/>
    <m/>
    <m/>
    <x v="0"/>
    <x v="0"/>
    <x v="1"/>
    <m/>
    <m/>
    <m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C12" firstHeaderRow="1" firstDataRow="3" firstDataCol="1"/>
  <pivotFields count="14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compact="0" showAll="0" defaultSubtotal="0"/>
    <pivotField axis="axisCol" compact="0" showAll="0" defaultSubtotal="0">
      <items count="3">
        <item x="1"/>
        <item x="0"/>
        <item x="2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3"/>
    <field x="6"/>
  </colFields>
  <colItems count="2">
    <i>
      <x/>
      <x/>
    </i>
    <i t="grand">
      <x/>
    </i>
  </colItems>
  <dataFields count="1">
    <dataField name="Somme de Solde Courant" fld="9" baseField="0" baseItem="0"/>
  </dataFields>
  <formats count="1">
    <format dxfId="108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E6" firstHeaderRow="1" firstDataRow="3" firstDataCol="3" rowPageCount="1" colPageCount="1"/>
  <pivotFields count="14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0">
        <item m="1" x="6"/>
        <item m="1" x="5"/>
        <item m="1" x="8"/>
        <item m="1" x="4"/>
        <item m="1" x="3"/>
        <item h="1" x="1"/>
        <item h="1" x="0"/>
        <item h="1" m="1" x="7"/>
        <item h="1" x="2"/>
        <item t="default"/>
      </items>
    </pivotField>
    <pivotField axis="axisRow" compact="0" showAll="0">
      <items count="24">
        <item m="1" x="10"/>
        <item m="1" x="4"/>
        <item m="1" x="20"/>
        <item m="1" x="7"/>
        <item m="1" x="12"/>
        <item m="1" x="5"/>
        <item m="1" x="6"/>
        <item m="1" x="19"/>
        <item m="1" x="17"/>
        <item x="2"/>
        <item m="1" x="18"/>
        <item x="0"/>
        <item m="1" x="22"/>
        <item m="1" x="14"/>
        <item m="1" x="11"/>
        <item m="1" x="9"/>
        <item m="1" x="15"/>
        <item x="1"/>
        <item m="1" x="13"/>
        <item m="1" x="16"/>
        <item m="1" x="8"/>
        <item m="1" x="21"/>
        <item x="3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4">
        <item x="0"/>
        <item x="1"/>
        <item x="2"/>
        <item t="default"/>
      </items>
    </pivotField>
    <pivotField compact="0" showAll="0" defaultSubtotal="0"/>
    <pivotField compact="0" showAll="0" defaultSubtotal="0"/>
    <pivotField axis="axisCol" compact="0" showAll="0" defaultSubtotal="0">
      <items count="3">
        <item x="1"/>
        <item x="0"/>
        <item x="2"/>
      </items>
    </pivotField>
  </pivotFields>
  <rowFields count="3">
    <field x="4"/>
    <field x="5"/>
    <field x="10"/>
  </rowFields>
  <rowItems count="1">
    <i t="grand">
      <x/>
    </i>
  </rowItems>
  <colFields count="2">
    <field x="13"/>
    <field x="1"/>
  </colFields>
  <colItems count="1"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M14" totalsRowShown="0" headerRowDxfId="105" dataDxfId="104">
  <autoFilter ref="A2:M14"/>
  <sortState ref="A2:Q1336">
    <sortCondition ref="B1316"/>
  </sortState>
  <tableColumns count="13">
    <tableColumn id="1" name="Compte" dataDxfId="103" totalsRowDxfId="102"/>
    <tableColumn id="3" name="Date" dataDxfId="101" totalsRowDxfId="100"/>
    <tableColumn id="8" name="Type d'opération" dataDxfId="99" totalsRowDxfId="98"/>
    <tableColumn id="4" name="Tiers" dataDxfId="97" totalsRowDxfId="96"/>
    <tableColumn id="5" name="Libellés principaux" dataDxfId="95" totalsRowDxfId="94"/>
    <tableColumn id="9" name="Libellés secondaires" dataDxfId="93" totalsRowDxfId="92"/>
    <tableColumn id="10" name="Solde Réel / Solde banque" dataDxfId="91" totalsRowDxfId="90"/>
    <tableColumn id="2" name="Crédit" dataDxfId="89" totalsRowDxfId="88"/>
    <tableColumn id="6" name="Débit" dataDxfId="87" totalsRowDxfId="86"/>
    <tableColumn id="12" name="Solde Courant" dataDxfId="85" totalsRowDxfId="84">
      <calculatedColumnFormula>Tableau1[[#This Row],[Crédit]]+Tableau1[[#This Row],[Débit]]</calculatedColumnFormula>
    </tableColumn>
    <tableColumn id="11" name="Crédit/Débit" dataDxfId="83" totalsRowDxfId="82">
      <calculatedColumnFormula>IF(Tableau1[[#This Row],[Crédit]]&lt;&gt;"","Crédit",IF(Tableau1[[#This Row],[Débit]]&lt;&gt;"","Débit",""))</calculatedColumnFormula>
    </tableColumn>
    <tableColumn id="13" name="Solde Cumulé" dataDxfId="81" totalsRowDxfId="80"/>
    <tableColumn id="7" name="Note" dataDxfId="79" totalsRowDxfId="7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70" dataDxfId="68" headerRowBorderDxfId="69" tableBorderDxfId="67" totalsRowBorderDxfId="66">
  <autoFilter ref="A1:S8"/>
  <tableColumns count="19">
    <tableColumn id="1" name="Compte"/>
    <tableColumn id="2" name="Date" dataDxfId="65"/>
    <tableColumn id="3" name="Type d'opération" dataDxfId="64"/>
    <tableColumn id="4" name="Tiers" dataDxfId="63"/>
    <tableColumn id="5" name="Libellés principaux" dataDxfId="62"/>
    <tableColumn id="6" name="Libellés secondaires" dataDxfId="61"/>
    <tableColumn id="9" name="Opération" dataDxfId="60"/>
    <tableColumn id="7" name="Janvier" dataDxfId="59"/>
    <tableColumn id="8" name="Février" dataDxfId="58"/>
    <tableColumn id="10" name="Mars" dataDxfId="57"/>
    <tableColumn id="11" name="Avril" dataDxfId="56"/>
    <tableColumn id="12" name="Mai" dataDxfId="55"/>
    <tableColumn id="13" name="Juin" dataDxfId="54"/>
    <tableColumn id="14" name="Juillet" dataDxfId="53"/>
    <tableColumn id="15" name="Août" dataDxfId="52"/>
    <tableColumn id="16" name="Septembre" dataDxfId="51"/>
    <tableColumn id="17" name="Octobre" dataDxfId="50"/>
    <tableColumn id="18" name="Novembre" dataDxfId="49"/>
    <tableColumn id="19" name="Décembre" dataDxfId="48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C4" totalsRowShown="0" headerRowDxfId="46" dataDxfId="44" headerRowBorderDxfId="45" tableBorderDxfId="43">
  <autoFilter ref="A3:AC4"/>
  <tableColumns count="29">
    <tableColumn id="1" name="Compte" dataDxfId="42"/>
    <tableColumn id="2" name="Tiers" dataDxfId="41"/>
    <tableColumn id="3" name="Libellés principaux" dataDxfId="40"/>
    <tableColumn id="4" name="Libellés secondaires" dataDxfId="39"/>
    <tableColumn id="29" name="Total budgété">
      <calculatedColumnFormula>SUM(Tableau3[[#This Row],[Janvier]:[Décembre]])</calculatedColumnFormula>
    </tableColumn>
    <tableColumn id="5" name="Janvier" dataDxfId="38"/>
    <tableColumn id="6" name="Février" dataDxfId="37"/>
    <tableColumn id="7" name="Mars" dataDxfId="36"/>
    <tableColumn id="8" name="Avril" dataDxfId="35"/>
    <tableColumn id="9" name="Mai" dataDxfId="34"/>
    <tableColumn id="10" name="Juin" dataDxfId="33"/>
    <tableColumn id="11" name="Juillet" dataDxfId="32"/>
    <tableColumn id="12" name="Août" dataDxfId="31"/>
    <tableColumn id="13" name="Septembre" dataDxfId="30"/>
    <tableColumn id="14" name="Octobre" dataDxfId="29"/>
    <tableColumn id="15" name="Novembre" dataDxfId="28"/>
    <tableColumn id="16" name="Décembre" dataDxfId="27"/>
    <tableColumn id="17" name="Janvier1" dataDxfId="26">
      <calculatedColumnFormula>F4-SUMPRODUCT((Libellés_principaux=$C4)*(Libellés_secondaires=$D4)*(Débit))</calculatedColumnFormula>
    </tableColumn>
    <tableColumn id="18" name="Février2" dataDxfId="25">
      <calculatedColumnFormula>G4-SUMPRODUCT((Libellés_principaux=$C4)*(Libellés_secondaires=$D4)*(Débit))</calculatedColumnFormula>
    </tableColumn>
    <tableColumn id="19" name="Mars3" dataDxfId="24">
      <calculatedColumnFormula>H4-SUMPRODUCT((Libellés_principaux=$C4)*(Libellés_secondaires=$D4)*(Débit))</calculatedColumnFormula>
    </tableColumn>
    <tableColumn id="20" name="Avril4" dataDxfId="23">
      <calculatedColumnFormula>I4-SUMPRODUCT((Libellés_principaux=$C4)*(Libellés_secondaires=$D4)*(Débit))</calculatedColumnFormula>
    </tableColumn>
    <tableColumn id="21" name="Mai5" dataDxfId="22">
      <calculatedColumnFormula>J4-SUMPRODUCT((Libellés_principaux=$C4)*(Libellés_secondaires=$D4)*(Débit))</calculatedColumnFormula>
    </tableColumn>
    <tableColumn id="22" name="Juin6" dataDxfId="21">
      <calculatedColumnFormula>K4-SUMPRODUCT((Libellés_principaux=$C4)*(Libellés_secondaires=$D4)*(Débit))</calculatedColumnFormula>
    </tableColumn>
    <tableColumn id="23" name="Juillet7" dataDxfId="20">
      <calculatedColumnFormula>L4-SUMPRODUCT((Libellés_principaux=$C4)*(Libellés_secondaires=$D4)*(Débit))</calculatedColumnFormula>
    </tableColumn>
    <tableColumn id="24" name="Août8" dataDxfId="19">
      <calculatedColumnFormula>M4-SUMPRODUCT((Libellés_principaux=$C4)*(Libellés_secondaires=$D4)*(Débit))</calculatedColumnFormula>
    </tableColumn>
    <tableColumn id="25" name="Septembre9" dataDxfId="18">
      <calculatedColumnFormula>N4-SUMPRODUCT((Libellés_principaux=$C4)*(Libellés_secondaires=$D4)*(Débit))</calculatedColumnFormula>
    </tableColumn>
    <tableColumn id="26" name="Octobre10" dataDxfId="17">
      <calculatedColumnFormula>O4-SUMPRODUCT((Libellés_principaux=$C4)*(Libellés_secondaires=$D4)*(Débit))</calculatedColumnFormula>
    </tableColumn>
    <tableColumn id="27" name="Novembre11" dataDxfId="16">
      <calculatedColumnFormula>P4-SUMPRODUCT((Libellés_principaux=$C4)*(Libellés_secondaires=$D4)*(Débit))</calculatedColumnFormula>
    </tableColumn>
    <tableColumn id="28" name="Décembre12" dataDxfId="15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3" totalsRowShown="0" headerRowDxfId="14" dataDxfId="13">
  <autoFilter ref="A1:G3"/>
  <tableColumns count="7">
    <tableColumn id="1" name="Date" dataDxfId="12"/>
    <tableColumn id="2" name="Tiers" dataDxfId="11"/>
    <tableColumn id="3" name="Débit" dataDxfId="10"/>
    <tableColumn id="4" name="Distance parcourue" dataDxfId="9"/>
    <tableColumn id="5" name="Litre" dataDxfId="8"/>
    <tableColumn id="6" name="Tarif du litre" dataDxfId="7"/>
    <tableColumn id="7" name="Litre/100Km" dataDxfId="6">
      <calculatedColumnFormula>Tableau4[[#This Row],[Distance parcourue]]/100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Document_Microsoft_Office_Word_97_-_20031.doc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Document_Microsoft_Office_Word_97_-_20032.doc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2"/>
  <sheetViews>
    <sheetView workbookViewId="0">
      <selection activeCell="K17" sqref="K17"/>
    </sheetView>
  </sheetViews>
  <sheetFormatPr baseColWidth="10" defaultRowHeight="12.75"/>
  <cols>
    <col min="1" max="1" width="25" bestFit="1" customWidth="1"/>
    <col min="2" max="2" width="13.85546875" bestFit="1" customWidth="1"/>
    <col min="3" max="3" width="14.85546875" customWidth="1"/>
    <col min="4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3">
      <c r="A1" s="3" t="s">
        <v>121</v>
      </c>
      <c r="B1" s="3" t="s">
        <v>124</v>
      </c>
      <c r="C1" s="3" t="s">
        <v>126</v>
      </c>
    </row>
    <row r="2" spans="1:3">
      <c r="B2" t="s">
        <v>130</v>
      </c>
      <c r="C2" t="s">
        <v>131</v>
      </c>
    </row>
    <row r="3" spans="1:3">
      <c r="A3" s="3" t="s">
        <v>2</v>
      </c>
      <c r="B3" t="s">
        <v>132</v>
      </c>
    </row>
    <row r="4" spans="1:3">
      <c r="A4" t="s">
        <v>14</v>
      </c>
      <c r="B4" s="38">
        <v>2150</v>
      </c>
      <c r="C4" s="61">
        <v>2150</v>
      </c>
    </row>
    <row r="5" spans="1:3">
      <c r="A5" t="s">
        <v>76</v>
      </c>
      <c r="B5" s="38">
        <v>100</v>
      </c>
      <c r="C5" s="61">
        <v>100</v>
      </c>
    </row>
    <row r="6" spans="1:3">
      <c r="A6" t="s">
        <v>101</v>
      </c>
      <c r="B6" s="38">
        <v>100</v>
      </c>
      <c r="C6" s="61">
        <v>100</v>
      </c>
    </row>
    <row r="7" spans="1:3">
      <c r="A7" t="s">
        <v>13</v>
      </c>
      <c r="B7" s="38">
        <v>100</v>
      </c>
      <c r="C7" s="61">
        <v>100</v>
      </c>
    </row>
    <row r="8" spans="1:3">
      <c r="A8" t="s">
        <v>15</v>
      </c>
      <c r="B8" s="38">
        <v>100</v>
      </c>
      <c r="C8" s="61">
        <v>100</v>
      </c>
    </row>
    <row r="9" spans="1:3">
      <c r="A9" t="s">
        <v>16</v>
      </c>
      <c r="B9" s="38">
        <v>100</v>
      </c>
      <c r="C9" s="61">
        <v>100</v>
      </c>
    </row>
    <row r="10" spans="1:3">
      <c r="A10" t="s">
        <v>100</v>
      </c>
      <c r="B10" s="38">
        <v>100</v>
      </c>
      <c r="C10" s="61">
        <v>100</v>
      </c>
    </row>
    <row r="11" spans="1:3">
      <c r="A11" t="s">
        <v>17</v>
      </c>
      <c r="B11" s="38">
        <v>100</v>
      </c>
      <c r="C11" s="61">
        <v>100</v>
      </c>
    </row>
    <row r="12" spans="1:3">
      <c r="A12" t="s">
        <v>131</v>
      </c>
      <c r="B12" s="38">
        <v>2850</v>
      </c>
      <c r="C12" s="38">
        <v>2850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E6"/>
  <sheetViews>
    <sheetView workbookViewId="0">
      <selection activeCell="G11" sqref="G11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4" width="13.140625" bestFit="1" customWidth="1"/>
    <col min="5" max="5" width="7.42578125" customWidth="1"/>
    <col min="6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5">
      <c r="A1" s="3" t="s">
        <v>2</v>
      </c>
      <c r="B1" t="s">
        <v>118</v>
      </c>
    </row>
    <row r="3" spans="1:5">
      <c r="A3" s="3" t="s">
        <v>121</v>
      </c>
      <c r="D3" s="3" t="s">
        <v>124</v>
      </c>
      <c r="E3" s="3" t="s">
        <v>0</v>
      </c>
    </row>
    <row r="4" spans="1:5">
      <c r="D4" t="s">
        <v>8</v>
      </c>
    </row>
    <row r="5" spans="1:5">
      <c r="A5" s="3" t="s">
        <v>18</v>
      </c>
      <c r="B5" s="3" t="s">
        <v>19</v>
      </c>
      <c r="C5" s="3" t="s">
        <v>122</v>
      </c>
    </row>
    <row r="6" spans="1:5">
      <c r="A6" t="s">
        <v>8</v>
      </c>
      <c r="D6" s="3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M14"/>
  <sheetViews>
    <sheetView workbookViewId="0">
      <pane ySplit="2" topLeftCell="A3" activePane="bottomLeft" state="frozen"/>
      <selection pane="bottomLeft" activeCell="A15" sqref="A15"/>
    </sheetView>
  </sheetViews>
  <sheetFormatPr baseColWidth="10" defaultColWidth="11.42578125" defaultRowHeight="12.75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60" customWidth="1"/>
    <col min="8" max="8" width="11.42578125" style="44"/>
    <col min="9" max="10" width="14.140625" style="41" customWidth="1"/>
    <col min="12" max="12" width="11.42578125" style="107"/>
    <col min="13" max="13" width="11.7109375" style="1" customWidth="1"/>
    <col min="14" max="16384" width="11.42578125" style="1"/>
  </cols>
  <sheetData>
    <row r="1" spans="1:13" ht="25.5" customHeight="1">
      <c r="A1" s="124" t="str">
        <f ca="1">"Nous sommes le "&amp;PROPER(TEXT(Système!G4,"jjjj jj mmmm aaaa"))&amp;", la mensualisation est Inscrite/non inscrite. Sur le compte "&amp;Compte_princ&amp;", le solde au dernier relevé bancaire est de XXX€,
le solde budgété à la fin "&amp;TEXT(Système!G4,"mmmm")&amp;" est de YYY€ € et le numéro du dernier chèque enregistré est le ZZZ"</f>
        <v>Nous sommes le Vendredi 30 Octobre 2015, la mensualisation est Inscrite/non inscrite. Sur le compte XYX - Compte Joint, le solde au dernier relevé bancaire est de XXX€,
le solde budgété à la fin octobre est de YYY€ € et le numéro du dernier chèque enregistré est le ZZZ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</row>
    <row r="2" spans="1:13" s="24" customFormat="1" ht="39.75" customHeight="1">
      <c r="A2" s="24" t="s">
        <v>2</v>
      </c>
      <c r="B2" s="25" t="s">
        <v>0</v>
      </c>
      <c r="C2" s="25" t="s">
        <v>92</v>
      </c>
      <c r="D2" s="24" t="s">
        <v>1</v>
      </c>
      <c r="E2" s="24" t="s">
        <v>18</v>
      </c>
      <c r="F2" s="24" t="s">
        <v>19</v>
      </c>
      <c r="G2" s="24" t="s">
        <v>125</v>
      </c>
      <c r="H2" s="24" t="s">
        <v>11</v>
      </c>
      <c r="I2" s="24" t="s">
        <v>12</v>
      </c>
      <c r="J2" s="24" t="s">
        <v>119</v>
      </c>
      <c r="K2" s="24" t="s">
        <v>122</v>
      </c>
      <c r="L2" s="24" t="s">
        <v>169</v>
      </c>
      <c r="M2" s="24" t="s">
        <v>10</v>
      </c>
    </row>
    <row r="3" spans="1:13">
      <c r="A3" s="1" t="s">
        <v>14</v>
      </c>
      <c r="B3" s="56">
        <v>42369</v>
      </c>
      <c r="F3" s="22"/>
      <c r="G3" s="60" t="s">
        <v>123</v>
      </c>
      <c r="H3" s="41">
        <v>100</v>
      </c>
      <c r="I3" s="45"/>
      <c r="J3" s="45">
        <f>Tableau1[[#This Row],[Crédit]]+Tableau1[[#This Row],[Débit]]</f>
        <v>100</v>
      </c>
      <c r="K3" s="57" t="str">
        <f>IF(Tableau1[[#This Row],[Crédit]]&lt;&gt;"","Crédit",IF(Tableau1[[#This Row],[Débit]]&lt;&gt;"","Débit",""))</f>
        <v>Crédit</v>
      </c>
      <c r="L3" s="108">
        <f t="shared" ref="L3:L14" ca="1" si="0">IF(H3-SUMPRODUCT((Choix1=$E3)*(Choix2=F3)*(I3))&lt;0,0,H3-SUMPRODUCT((Choix1=$E3)*(Choix2=F3)*(I3)))</f>
        <v>100</v>
      </c>
      <c r="M3" s="4"/>
    </row>
    <row r="4" spans="1:13">
      <c r="A4" s="1" t="s">
        <v>76</v>
      </c>
      <c r="B4" s="56">
        <v>42369</v>
      </c>
      <c r="F4" s="22"/>
      <c r="G4" s="60" t="s">
        <v>123</v>
      </c>
      <c r="H4" s="41">
        <v>100</v>
      </c>
      <c r="I4" s="45"/>
      <c r="J4" s="45">
        <f>Tableau1[[#This Row],[Crédit]]+Tableau1[[#This Row],[Débit]]</f>
        <v>100</v>
      </c>
      <c r="K4" s="57" t="str">
        <f>IF(Tableau1[[#This Row],[Crédit]]&lt;&gt;"","Crédit",IF(Tableau1[[#This Row],[Débit]]&lt;&gt;"","Débit",""))</f>
        <v>Crédit</v>
      </c>
      <c r="L4" s="108">
        <f t="shared" ca="1" si="0"/>
        <v>100</v>
      </c>
      <c r="M4" s="4"/>
    </row>
    <row r="5" spans="1:13">
      <c r="A5" s="1" t="s">
        <v>101</v>
      </c>
      <c r="B5" s="56">
        <v>42369</v>
      </c>
      <c r="D5" s="17"/>
      <c r="F5" s="22"/>
      <c r="G5" s="60" t="s">
        <v>123</v>
      </c>
      <c r="H5" s="42">
        <v>100</v>
      </c>
      <c r="I5" s="46"/>
      <c r="J5" s="46">
        <f>Tableau1[[#This Row],[Crédit]]+Tableau1[[#This Row],[Débit]]</f>
        <v>100</v>
      </c>
      <c r="K5" s="57" t="str">
        <f>IF(Tableau1[[#This Row],[Crédit]]&lt;&gt;"","Crédit",IF(Tableau1[[#This Row],[Débit]]&lt;&gt;"","Débit",""))</f>
        <v>Crédit</v>
      </c>
      <c r="L5" s="108">
        <f t="shared" ca="1" si="0"/>
        <v>100</v>
      </c>
      <c r="M5" s="4"/>
    </row>
    <row r="6" spans="1:13">
      <c r="A6" s="1" t="s">
        <v>13</v>
      </c>
      <c r="B6" s="56">
        <v>42369</v>
      </c>
      <c r="F6" s="22"/>
      <c r="G6" s="60" t="s">
        <v>123</v>
      </c>
      <c r="H6" s="41">
        <v>100</v>
      </c>
      <c r="I6" s="45"/>
      <c r="J6" s="45">
        <f>Tableau1[[#This Row],[Crédit]]+Tableau1[[#This Row],[Débit]]</f>
        <v>100</v>
      </c>
      <c r="K6" s="57" t="str">
        <f>IF(Tableau1[[#This Row],[Crédit]]&lt;&gt;"","Crédit",IF(Tableau1[[#This Row],[Débit]]&lt;&gt;"","Débit",""))</f>
        <v>Crédit</v>
      </c>
      <c r="L6" s="108">
        <f t="shared" ca="1" si="0"/>
        <v>100</v>
      </c>
      <c r="M6" s="4"/>
    </row>
    <row r="7" spans="1:13">
      <c r="A7" s="1" t="s">
        <v>15</v>
      </c>
      <c r="B7" s="56">
        <v>42369</v>
      </c>
      <c r="F7" s="22"/>
      <c r="G7" s="60" t="s">
        <v>123</v>
      </c>
      <c r="H7" s="41">
        <v>100</v>
      </c>
      <c r="J7" s="41">
        <f>Tableau1[[#This Row],[Crédit]]+Tableau1[[#This Row],[Débit]]</f>
        <v>100</v>
      </c>
      <c r="K7" s="58" t="str">
        <f>IF(Tableau1[[#This Row],[Crédit]]&lt;&gt;"","Crédit",IF(Tableau1[[#This Row],[Débit]]&lt;&gt;"","Débit",""))</f>
        <v>Crédit</v>
      </c>
      <c r="L7" s="108">
        <f t="shared" ca="1" si="0"/>
        <v>100</v>
      </c>
      <c r="M7" s="4"/>
    </row>
    <row r="8" spans="1:13">
      <c r="A8" s="1" t="s">
        <v>16</v>
      </c>
      <c r="B8" s="56">
        <v>42369</v>
      </c>
      <c r="F8" s="22"/>
      <c r="G8" s="60" t="s">
        <v>123</v>
      </c>
      <c r="H8" s="41">
        <v>100</v>
      </c>
      <c r="J8" s="41">
        <f>Tableau1[[#This Row],[Crédit]]+Tableau1[[#This Row],[Débit]]</f>
        <v>100</v>
      </c>
      <c r="K8" s="58" t="str">
        <f>IF(Tableau1[[#This Row],[Crédit]]&lt;&gt;"","Crédit",IF(Tableau1[[#This Row],[Débit]]&lt;&gt;"","Débit",""))</f>
        <v>Crédit</v>
      </c>
      <c r="L8" s="108">
        <f t="shared" ca="1" si="0"/>
        <v>100</v>
      </c>
      <c r="M8" s="4"/>
    </row>
    <row r="9" spans="1:13">
      <c r="A9" s="1" t="s">
        <v>100</v>
      </c>
      <c r="B9" s="56">
        <v>42369</v>
      </c>
      <c r="D9" s="17"/>
      <c r="F9" s="22"/>
      <c r="G9" s="60" t="s">
        <v>123</v>
      </c>
      <c r="H9" s="42">
        <v>100</v>
      </c>
      <c r="I9" s="42"/>
      <c r="J9" s="42">
        <f>Tableau1[[#This Row],[Crédit]]+Tableau1[[#This Row],[Débit]]</f>
        <v>100</v>
      </c>
      <c r="K9" s="58" t="str">
        <f>IF(Tableau1[[#This Row],[Crédit]]&lt;&gt;"","Crédit",IF(Tableau1[[#This Row],[Débit]]&lt;&gt;"","Débit",""))</f>
        <v>Crédit</v>
      </c>
      <c r="L9" s="108">
        <f t="shared" ca="1" si="0"/>
        <v>100</v>
      </c>
      <c r="M9" s="4"/>
    </row>
    <row r="10" spans="1:13">
      <c r="A10" s="1" t="s">
        <v>17</v>
      </c>
      <c r="B10" s="56">
        <v>42369</v>
      </c>
      <c r="F10" s="22"/>
      <c r="G10" s="60" t="s">
        <v>123</v>
      </c>
      <c r="H10" s="41">
        <v>100</v>
      </c>
      <c r="J10" s="41">
        <f>Tableau1[[#This Row],[Crédit]]+Tableau1[[#This Row],[Débit]]</f>
        <v>100</v>
      </c>
      <c r="K10" s="58" t="str">
        <f>IF(Tableau1[[#This Row],[Crédit]]&lt;&gt;"","Crédit",IF(Tableau1[[#This Row],[Débit]]&lt;&gt;"","Débit",""))</f>
        <v>Crédit</v>
      </c>
      <c r="L10" s="108">
        <f t="shared" ca="1" si="0"/>
        <v>100</v>
      </c>
      <c r="M10" s="4"/>
    </row>
    <row r="11" spans="1:13">
      <c r="A11" s="5" t="s">
        <v>14</v>
      </c>
      <c r="B11" s="23">
        <v>42302</v>
      </c>
      <c r="C11" s="23" t="s">
        <v>95</v>
      </c>
      <c r="D11" s="5" t="s">
        <v>180</v>
      </c>
      <c r="E11" s="123" t="s">
        <v>106</v>
      </c>
      <c r="F11" s="26" t="s">
        <v>13</v>
      </c>
      <c r="G11" s="122" t="s">
        <v>123</v>
      </c>
      <c r="H11" s="43"/>
      <c r="I11" s="43">
        <v>50</v>
      </c>
      <c r="J11" s="43">
        <f>Tableau1[[#This Row],[Crédit]]+Tableau1[[#This Row],[Débit]]</f>
        <v>50</v>
      </c>
      <c r="K11" s="59" t="str">
        <f>IF(Tableau1[[#This Row],[Crédit]]&lt;&gt;"","Crédit",IF(Tableau1[[#This Row],[Débit]]&lt;&gt;"","Débit",""))</f>
        <v>Débit</v>
      </c>
      <c r="L11" s="108">
        <f t="shared" ca="1" si="0"/>
        <v>0</v>
      </c>
      <c r="M11" s="4"/>
    </row>
    <row r="12" spans="1:13">
      <c r="A12" s="5" t="s">
        <v>13</v>
      </c>
      <c r="B12" s="23">
        <v>42302</v>
      </c>
      <c r="C12" s="23" t="s">
        <v>94</v>
      </c>
      <c r="D12" s="5" t="s">
        <v>180</v>
      </c>
      <c r="E12" s="123" t="s">
        <v>106</v>
      </c>
      <c r="F12" s="26" t="s">
        <v>14</v>
      </c>
      <c r="G12" s="122" t="s">
        <v>123</v>
      </c>
      <c r="H12" s="43">
        <v>-50</v>
      </c>
      <c r="I12" s="43"/>
      <c r="J12" s="43">
        <f>Tableau1[[#This Row],[Crédit]]+Tableau1[[#This Row],[Débit]]</f>
        <v>-50</v>
      </c>
      <c r="K12" s="59" t="s">
        <v>11</v>
      </c>
      <c r="L12" s="108">
        <f t="shared" ca="1" si="0"/>
        <v>0</v>
      </c>
      <c r="M12" s="27"/>
    </row>
    <row r="13" spans="1:13">
      <c r="A13" s="5" t="s">
        <v>13</v>
      </c>
      <c r="B13" s="23">
        <v>42302</v>
      </c>
      <c r="C13" s="23" t="s">
        <v>93</v>
      </c>
      <c r="D13" s="26" t="s">
        <v>183</v>
      </c>
      <c r="E13" s="26" t="s">
        <v>24</v>
      </c>
      <c r="F13" s="26" t="s">
        <v>27</v>
      </c>
      <c r="G13" s="122" t="s">
        <v>123</v>
      </c>
      <c r="H13" s="43"/>
      <c r="I13" s="43">
        <v>50</v>
      </c>
      <c r="J13" s="43">
        <f>Tableau1[[#This Row],[Crédit]]+Tableau1[[#This Row],[Débit]]</f>
        <v>50</v>
      </c>
      <c r="K13" s="59" t="str">
        <f>IF(Tableau1[[#This Row],[Crédit]]&lt;&gt;"","Crédit",IF(Tableau1[[#This Row],[Débit]]&lt;&gt;"","Débit",""))</f>
        <v>Débit</v>
      </c>
      <c r="L13" s="108">
        <f t="shared" ca="1" si="0"/>
        <v>0</v>
      </c>
      <c r="M13" s="27"/>
    </row>
    <row r="14" spans="1:13">
      <c r="A14" s="5" t="s">
        <v>14</v>
      </c>
      <c r="B14" s="23">
        <v>42363</v>
      </c>
      <c r="C14" s="23" t="s">
        <v>94</v>
      </c>
      <c r="D14" s="5" t="s">
        <v>184</v>
      </c>
      <c r="E14" s="26" t="s">
        <v>24</v>
      </c>
      <c r="F14" s="26"/>
      <c r="G14" s="122" t="s">
        <v>123</v>
      </c>
      <c r="H14" s="43">
        <v>2000</v>
      </c>
      <c r="I14" s="43"/>
      <c r="J14" s="43">
        <f>Tableau1[[#This Row],[Crédit]]+Tableau1[[#This Row],[Débit]]</f>
        <v>2000</v>
      </c>
      <c r="K14" s="59" t="str">
        <f>IF(Tableau1[[#This Row],[Crédit]]&lt;&gt;"","Crédit",IF(Tableau1[[#This Row],[Débit]]&lt;&gt;"","Débit",""))</f>
        <v>Crédit</v>
      </c>
      <c r="L14" s="108">
        <f t="shared" ca="1" si="0"/>
        <v>2000</v>
      </c>
      <c r="M14" s="27"/>
    </row>
  </sheetData>
  <sortState ref="A2:N771">
    <sortCondition ref="B1"/>
  </sortState>
  <dataConsolidate/>
  <mergeCells count="1">
    <mergeCell ref="A1:M1"/>
  </mergeCells>
  <conditionalFormatting sqref="A2:H14 M12:M1048576 I2:J1048576 A12:G1048576 A11:L11 K2:M14">
    <cfRule type="expression" dxfId="107" priority="51">
      <formula>AND(MONTH($B2)=MONTH(TODAY()),YEAR($B2)=YEAR(TODAY()))</formula>
    </cfRule>
  </conditionalFormatting>
  <conditionalFormatting sqref="I3:J1048576">
    <cfRule type="cellIs" dxfId="106" priority="45" operator="lessThan">
      <formula>0</formula>
    </cfRule>
  </conditionalFormatting>
  <dataValidations count="5">
    <dataValidation type="list" allowBlank="1" showInputMessage="1" showErrorMessage="1" sqref="E2:F2">
      <formula1>categ</formula1>
    </dataValidation>
    <dataValidation type="list" allowBlank="1" showInputMessage="1" showErrorMessage="1" sqref="A3:A1048576">
      <formula1>compte</formula1>
    </dataValidation>
    <dataValidation type="list" allowBlank="1" showInputMessage="1" showErrorMessage="1" sqref="C11:C1048576">
      <formula1>Type_op</formula1>
    </dataValidation>
    <dataValidation type="list" allowBlank="1" showInputMessage="1" showErrorMessage="1" sqref="E3:E1048576">
      <formula1>Choix1</formula1>
    </dataValidation>
    <dataValidation type="list" allowBlank="1" showInputMessage="1" showErrorMessage="1" sqref="F3:F1048576">
      <formula1>OFFSET(Choix2,MATCH(E3,Choix1,0)-1,1,,COUNTA(OFFSET(Choix2,MATCH(E3,Choix1,0)-1,0))-1)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X27"/>
  <sheetViews>
    <sheetView tabSelected="1" workbookViewId="0">
      <selection activeCell="G28" sqref="G28"/>
    </sheetView>
  </sheetViews>
  <sheetFormatPr baseColWidth="10" defaultRowHeight="12.75"/>
  <cols>
    <col min="1" max="1" width="20" style="10" customWidth="1"/>
    <col min="2" max="2" width="15.85546875" bestFit="1" customWidth="1"/>
    <col min="3" max="15" width="15.5703125" customWidth="1"/>
  </cols>
  <sheetData>
    <row r="1" spans="1:50">
      <c r="A1" s="8" t="s">
        <v>1</v>
      </c>
      <c r="B1" s="13" t="s">
        <v>18</v>
      </c>
      <c r="C1" s="15" t="s">
        <v>19</v>
      </c>
    </row>
    <row r="2" spans="1:50">
      <c r="A2" s="11" t="s">
        <v>78</v>
      </c>
      <c r="B2" s="28" t="s">
        <v>106</v>
      </c>
      <c r="C2" s="121" t="str">
        <f t="shared" ref="C2:O2" ca="1" si="0">INDIRECT("Système!A" &amp; COLUMN(C2)-1)</f>
        <v>YYY - Compte Courant</v>
      </c>
      <c r="D2" s="121" t="str">
        <f t="shared" ca="1" si="0"/>
        <v>YYY - Livret Epargne</v>
      </c>
      <c r="E2" s="121" t="str">
        <f t="shared" ca="1" si="0"/>
        <v>YYY - Monnaie</v>
      </c>
      <c r="F2" s="121" t="str">
        <f t="shared" ca="1" si="0"/>
        <v>XXX - Compte Courant</v>
      </c>
      <c r="G2" s="121" t="str">
        <f t="shared" ca="1" si="0"/>
        <v>XXX - Livret caisse d'Epargne</v>
      </c>
      <c r="H2" s="121" t="str">
        <f t="shared" ca="1" si="0"/>
        <v>XXX - Livret Compte courant</v>
      </c>
      <c r="I2" s="121" t="str">
        <f t="shared" ca="1" si="0"/>
        <v>XXX - Monnaie</v>
      </c>
      <c r="J2" s="121" t="str">
        <f t="shared" ca="1" si="0"/>
        <v>XYX - Compte Joint</v>
      </c>
      <c r="K2" s="121">
        <f t="shared" ca="1" si="0"/>
        <v>0</v>
      </c>
      <c r="L2" s="121">
        <f t="shared" ca="1" si="0"/>
        <v>0</v>
      </c>
      <c r="M2" s="121">
        <f t="shared" ca="1" si="0"/>
        <v>0</v>
      </c>
      <c r="N2" s="121">
        <f t="shared" ca="1" si="0"/>
        <v>0</v>
      </c>
      <c r="O2" s="121">
        <f t="shared" ca="1" si="0"/>
        <v>0</v>
      </c>
    </row>
    <row r="3" spans="1:50">
      <c r="A3" s="11" t="s">
        <v>79</v>
      </c>
      <c r="B3" s="14" t="s">
        <v>6</v>
      </c>
      <c r="C3" s="6" t="s">
        <v>20</v>
      </c>
      <c r="D3" s="6" t="s">
        <v>21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>
      <c r="A4" s="11" t="s">
        <v>80</v>
      </c>
      <c r="B4" s="6" t="s">
        <v>22</v>
      </c>
      <c r="C4" s="6" t="s">
        <v>23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50">
      <c r="A5" s="11" t="s">
        <v>81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>
      <c r="A6" s="11" t="s">
        <v>82</v>
      </c>
      <c r="B6" s="7" t="s">
        <v>29</v>
      </c>
      <c r="C6" s="7" t="s">
        <v>30</v>
      </c>
      <c r="D6" s="7" t="s">
        <v>31</v>
      </c>
      <c r="E6" s="7" t="s">
        <v>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>
      <c r="A7" s="11" t="s">
        <v>83</v>
      </c>
      <c r="B7" s="7" t="s">
        <v>33</v>
      </c>
      <c r="C7" s="7" t="s">
        <v>34</v>
      </c>
      <c r="D7" s="7" t="s">
        <v>35</v>
      </c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>
      <c r="A8" s="11" t="s">
        <v>84</v>
      </c>
      <c r="B8" s="7" t="s">
        <v>37</v>
      </c>
      <c r="C8" s="7" t="s">
        <v>38</v>
      </c>
      <c r="D8" s="7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6"/>
      <c r="Q8" s="7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>
      <c r="A9" s="11" t="s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6</v>
      </c>
      <c r="H9" s="7" t="s">
        <v>44</v>
      </c>
      <c r="I9" s="7" t="s">
        <v>45</v>
      </c>
      <c r="J9" s="7"/>
      <c r="K9" s="7"/>
      <c r="L9" s="7"/>
      <c r="M9" s="7"/>
      <c r="N9" s="7"/>
      <c r="O9" s="6"/>
      <c r="P9" s="6"/>
      <c r="Q9" s="7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>
      <c r="A10" s="11" t="s">
        <v>77</v>
      </c>
      <c r="B10" s="7" t="s">
        <v>9</v>
      </c>
      <c r="C10" s="7" t="s">
        <v>46</v>
      </c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>
      <c r="A11" s="11" t="s">
        <v>85</v>
      </c>
      <c r="B11" s="7" t="s">
        <v>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58</v>
      </c>
      <c r="H11" s="7" t="s">
        <v>53</v>
      </c>
      <c r="I11" s="7" t="s">
        <v>5</v>
      </c>
      <c r="J11" s="7" t="s">
        <v>54</v>
      </c>
      <c r="K11" s="7" t="s">
        <v>55</v>
      </c>
      <c r="L11" s="7" t="s">
        <v>56</v>
      </c>
      <c r="M11" s="7" t="s">
        <v>57</v>
      </c>
      <c r="N11" s="7" t="s">
        <v>52</v>
      </c>
      <c r="O11" s="7" t="s">
        <v>59</v>
      </c>
      <c r="P11" s="7"/>
      <c r="Q11" s="7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>
      <c r="A12" s="11" t="s">
        <v>86</v>
      </c>
      <c r="B12" s="7" t="s">
        <v>60</v>
      </c>
      <c r="C12" s="7" t="s">
        <v>61</v>
      </c>
      <c r="D12" s="7" t="s">
        <v>62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>
      <c r="A13" s="11" t="s">
        <v>87</v>
      </c>
      <c r="B13" s="7" t="s">
        <v>63</v>
      </c>
      <c r="C13" s="7" t="s">
        <v>64</v>
      </c>
      <c r="D13" s="7" t="s">
        <v>65</v>
      </c>
      <c r="E13" s="7" t="s">
        <v>66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>
      <c r="A14" s="11" t="s">
        <v>88</v>
      </c>
      <c r="B14" s="6" t="s">
        <v>67</v>
      </c>
      <c r="C14" s="6" t="s">
        <v>68</v>
      </c>
      <c r="D14" s="6" t="s">
        <v>69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s="6" customFormat="1" ht="11.25">
      <c r="A15" s="11" t="s">
        <v>89</v>
      </c>
      <c r="B15" s="7" t="s">
        <v>70</v>
      </c>
      <c r="C15" s="7" t="s">
        <v>68</v>
      </c>
      <c r="D15" s="7" t="s">
        <v>6</v>
      </c>
      <c r="E15" s="7" t="s">
        <v>71</v>
      </c>
      <c r="F15" s="7" t="s">
        <v>72</v>
      </c>
      <c r="G15" s="7" t="s">
        <v>69</v>
      </c>
      <c r="H15" s="7" t="s">
        <v>73</v>
      </c>
      <c r="I15" s="7" t="s">
        <v>74</v>
      </c>
      <c r="J15" s="7" t="s">
        <v>75</v>
      </c>
      <c r="K15" s="7"/>
      <c r="L15" s="7"/>
      <c r="M15" s="7"/>
      <c r="N15" s="7"/>
      <c r="O15" s="7"/>
      <c r="P15" s="7"/>
      <c r="Q15" s="7"/>
      <c r="R15" s="7"/>
    </row>
    <row r="16" spans="1:50" s="6" customFormat="1" ht="11.25">
      <c r="A16" s="11" t="s">
        <v>90</v>
      </c>
    </row>
    <row r="17" spans="1:6" s="6" customFormat="1" ht="11.25">
      <c r="A17" s="11" t="s">
        <v>105</v>
      </c>
    </row>
    <row r="18" spans="1:6" s="6" customFormat="1" ht="11.25">
      <c r="A18" s="11" t="s">
        <v>5</v>
      </c>
    </row>
    <row r="19" spans="1:6" s="6" customFormat="1" ht="11.25">
      <c r="A19" s="12" t="s">
        <v>91</v>
      </c>
    </row>
    <row r="20" spans="1:6" s="6" customFormat="1">
      <c r="C20"/>
      <c r="D20"/>
      <c r="E20"/>
      <c r="F20"/>
    </row>
    <row r="21" spans="1:6" s="6" customFormat="1">
      <c r="C21"/>
      <c r="D21"/>
      <c r="E21"/>
      <c r="F21"/>
    </row>
    <row r="22" spans="1:6" s="6" customFormat="1">
      <c r="C22"/>
      <c r="D22"/>
      <c r="E22"/>
      <c r="F22"/>
    </row>
    <row r="23" spans="1:6" s="6" customFormat="1" ht="11.25"/>
    <row r="24" spans="1:6" s="6" customFormat="1" ht="11.25"/>
    <row r="25" spans="1:6" s="6" customFormat="1" ht="11.25"/>
    <row r="26" spans="1:6" s="6" customFormat="1" ht="11.25"/>
    <row r="27" spans="1:6" s="6" customFormat="1" ht="11.25">
      <c r="A27" s="10"/>
    </row>
  </sheetData>
  <conditionalFormatting sqref="A2:A1048576">
    <cfRule type="expression" dxfId="2" priority="6">
      <formula>A2&lt;&gt;""</formula>
    </cfRule>
  </conditionalFormatting>
  <conditionalFormatting sqref="B2:B1048576">
    <cfRule type="expression" dxfId="1" priority="5">
      <formula>B2&lt;&gt;""</formula>
    </cfRule>
  </conditionalFormatting>
  <conditionalFormatting sqref="C2:Z40">
    <cfRule type="expression" dxfId="0" priority="4">
      <formula>AND(COUNTIF(C2,"&gt;&lt;")&gt;0)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25"/>
  <sheetViews>
    <sheetView workbookViewId="0">
      <selection activeCell="G1" sqref="G1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140625" bestFit="1" customWidth="1"/>
  </cols>
  <sheetData>
    <row r="1" spans="1:7">
      <c r="A1" s="62" t="s">
        <v>2</v>
      </c>
      <c r="B1" s="72" t="s">
        <v>149</v>
      </c>
      <c r="C1" s="125" t="s">
        <v>117</v>
      </c>
      <c r="D1" s="125"/>
      <c r="E1" s="63" t="s">
        <v>92</v>
      </c>
      <c r="F1" s="64" t="s">
        <v>133</v>
      </c>
      <c r="G1" s="64" t="s">
        <v>17</v>
      </c>
    </row>
    <row r="2" spans="1:7">
      <c r="A2" s="54" t="s">
        <v>14</v>
      </c>
      <c r="B2" s="120" t="s">
        <v>181</v>
      </c>
      <c r="C2" s="52" t="s">
        <v>103</v>
      </c>
      <c r="D2" s="53" t="s">
        <v>127</v>
      </c>
      <c r="E2" s="16" t="s">
        <v>151</v>
      </c>
      <c r="F2" s="126" t="s">
        <v>134</v>
      </c>
      <c r="G2" s="127" t="s">
        <v>179</v>
      </c>
    </row>
    <row r="3" spans="1:7">
      <c r="A3" s="54" t="s">
        <v>76</v>
      </c>
      <c r="B3" s="120" t="s">
        <v>148</v>
      </c>
      <c r="C3" s="52" t="s">
        <v>104</v>
      </c>
      <c r="D3" s="53" t="s">
        <v>127</v>
      </c>
      <c r="E3" s="16" t="s">
        <v>93</v>
      </c>
      <c r="F3" s="126"/>
      <c r="G3" s="128"/>
    </row>
    <row r="4" spans="1:7">
      <c r="A4" s="55" t="s">
        <v>101</v>
      </c>
      <c r="B4" s="120" t="s">
        <v>148</v>
      </c>
      <c r="C4" s="52" t="s">
        <v>107</v>
      </c>
      <c r="D4" s="53" t="s">
        <v>127</v>
      </c>
      <c r="E4" s="16" t="s">
        <v>94</v>
      </c>
      <c r="F4" s="75" t="s">
        <v>150</v>
      </c>
      <c r="G4" s="73">
        <f ca="1">TODAY()</f>
        <v>42307</v>
      </c>
    </row>
    <row r="5" spans="1:7">
      <c r="A5" s="54" t="s">
        <v>13</v>
      </c>
      <c r="B5" s="120" t="s">
        <v>182</v>
      </c>
      <c r="C5" s="52" t="s">
        <v>108</v>
      </c>
      <c r="D5" s="53" t="s">
        <v>127</v>
      </c>
      <c r="E5" s="16" t="s">
        <v>95</v>
      </c>
    </row>
    <row r="6" spans="1:7">
      <c r="A6" s="55" t="s">
        <v>15</v>
      </c>
      <c r="B6" s="120" t="s">
        <v>148</v>
      </c>
      <c r="C6" s="52" t="s">
        <v>109</v>
      </c>
      <c r="D6" s="53" t="s">
        <v>127</v>
      </c>
      <c r="E6" s="16" t="s">
        <v>96</v>
      </c>
    </row>
    <row r="7" spans="1:7">
      <c r="A7" s="54" t="s">
        <v>16</v>
      </c>
      <c r="B7" s="120" t="s">
        <v>148</v>
      </c>
      <c r="C7" s="52" t="s">
        <v>110</v>
      </c>
      <c r="D7" s="53" t="s">
        <v>127</v>
      </c>
      <c r="E7" s="16" t="s">
        <v>97</v>
      </c>
    </row>
    <row r="8" spans="1:7">
      <c r="A8" s="55" t="s">
        <v>100</v>
      </c>
      <c r="B8" s="120" t="s">
        <v>148</v>
      </c>
      <c r="C8" s="52" t="s">
        <v>111</v>
      </c>
      <c r="D8" s="53" t="s">
        <v>135</v>
      </c>
      <c r="E8" s="9" t="s">
        <v>98</v>
      </c>
      <c r="G8" s="106"/>
    </row>
    <row r="9" spans="1:7">
      <c r="A9" s="55" t="s">
        <v>17</v>
      </c>
      <c r="B9" s="120" t="s">
        <v>181</v>
      </c>
      <c r="C9" s="52" t="s">
        <v>112</v>
      </c>
      <c r="D9" s="53" t="s">
        <v>135</v>
      </c>
      <c r="E9" s="9" t="s">
        <v>99</v>
      </c>
    </row>
    <row r="10" spans="1:7">
      <c r="A10" s="6"/>
      <c r="B10" s="6"/>
      <c r="C10" s="52" t="s">
        <v>113</v>
      </c>
      <c r="D10" s="53" t="s">
        <v>135</v>
      </c>
      <c r="E10" s="6"/>
    </row>
    <row r="11" spans="1:7">
      <c r="A11" s="6"/>
      <c r="B11" s="6"/>
      <c r="C11" s="52" t="s">
        <v>114</v>
      </c>
      <c r="D11" s="53" t="s">
        <v>135</v>
      </c>
      <c r="E11" s="6"/>
    </row>
    <row r="12" spans="1:7">
      <c r="A12" s="6"/>
      <c r="B12" s="6"/>
      <c r="C12" s="52" t="s">
        <v>115</v>
      </c>
      <c r="D12" s="53" t="s">
        <v>135</v>
      </c>
      <c r="E12" s="5"/>
    </row>
    <row r="13" spans="1:7">
      <c r="A13" s="6"/>
      <c r="B13" s="6"/>
      <c r="C13" s="52" t="s">
        <v>116</v>
      </c>
      <c r="D13" s="53" t="s">
        <v>135</v>
      </c>
    </row>
    <row r="14" spans="1:7">
      <c r="A14" s="6"/>
      <c r="B14" s="6"/>
      <c r="E14" s="6"/>
    </row>
    <row r="15" spans="1:7">
      <c r="A15" s="6"/>
      <c r="B15" s="6"/>
      <c r="E15" s="6"/>
    </row>
    <row r="16" spans="1:7">
      <c r="A16" s="6"/>
      <c r="B16" s="6"/>
      <c r="E16" s="6"/>
    </row>
    <row r="17" spans="1:5">
      <c r="A17" s="6"/>
      <c r="B17" s="6"/>
      <c r="E17" s="6"/>
    </row>
    <row r="18" spans="1:5">
      <c r="A18" s="6"/>
      <c r="B18" s="6"/>
      <c r="E18" s="6"/>
    </row>
    <row r="19" spans="1:5">
      <c r="A19" s="6"/>
      <c r="B19" s="6"/>
      <c r="E19" s="6"/>
    </row>
    <row r="20" spans="1:5">
      <c r="A20" s="6"/>
      <c r="B20" s="6"/>
      <c r="E20" s="6"/>
    </row>
    <row r="21" spans="1:5">
      <c r="E21" s="6"/>
    </row>
    <row r="22" spans="1:5">
      <c r="E22" s="6"/>
    </row>
    <row r="23" spans="1:5">
      <c r="E23" s="6"/>
    </row>
    <row r="24" spans="1:5">
      <c r="E24" s="6"/>
    </row>
    <row r="25" spans="1:5">
      <c r="E25" s="6"/>
    </row>
  </sheetData>
  <mergeCells count="3">
    <mergeCell ref="C1:D1"/>
    <mergeCell ref="F2:F3"/>
    <mergeCell ref="G2:G3"/>
  </mergeCells>
  <conditionalFormatting sqref="E2:E1048576 A2:B1048576">
    <cfRule type="expression" dxfId="77" priority="8">
      <formula>A2&lt;&gt;""</formula>
    </cfRule>
  </conditionalFormatting>
  <conditionalFormatting sqref="E2:E1048576">
    <cfRule type="expression" dxfId="76" priority="7">
      <formula>E2&lt;&gt;""</formula>
    </cfRule>
  </conditionalFormatting>
  <conditionalFormatting sqref="A2:B8 B3:B9">
    <cfRule type="expression" dxfId="75" priority="5">
      <formula>AND(MONTH($C2)=MONTH(TODAY()),YEAR($C2)=YEAR(TODAY()))</formula>
    </cfRule>
  </conditionalFormatting>
  <conditionalFormatting sqref="A9:B9">
    <cfRule type="expression" dxfId="74" priority="3">
      <formula>AND(MONTH($C9)=MONTH(TODAY()),YEAR($C9)=YEAR(TODAY()))</formula>
    </cfRule>
  </conditionalFormatting>
  <conditionalFormatting sqref="D2:D13">
    <cfRule type="cellIs" dxfId="73" priority="1" operator="equal">
      <formula>"Non Inscrite"</formula>
    </cfRule>
    <cfRule type="cellIs" dxfId="72" priority="2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legacyDrawing r:id="rId2"/>
  <oleObjects>
    <oleObject progId="Word.Document.8" dvAspect="DVASPECT_ICON" shapeId="3076" r:id="rId3"/>
    <oleObject progId="Word.Document.8" dvAspect="DVASPECT_ICON" shapeId="3079" r:id="rId4"/>
  </oleObjec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S8"/>
  <sheetViews>
    <sheetView zoomScale="85" zoomScaleNormal="85" workbookViewId="0">
      <selection activeCell="H9" sqref="H9"/>
    </sheetView>
  </sheetViews>
  <sheetFormatPr baseColWidth="10" defaultRowHeight="12.75"/>
  <cols>
    <col min="1" max="1" width="20.140625" bestFit="1" customWidth="1"/>
    <col min="2" max="2" width="7.42578125" style="40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customWidth="1"/>
    <col min="7" max="7" width="14.140625" customWidth="1"/>
    <col min="8" max="19" width="11.42578125" style="44"/>
  </cols>
  <sheetData>
    <row r="1" spans="1:19" ht="25.5">
      <c r="A1" s="34" t="s">
        <v>2</v>
      </c>
      <c r="B1" s="35" t="s">
        <v>0</v>
      </c>
      <c r="C1" s="35" t="s">
        <v>92</v>
      </c>
      <c r="D1" s="34" t="s">
        <v>1</v>
      </c>
      <c r="E1" s="34" t="s">
        <v>18</v>
      </c>
      <c r="F1" s="34" t="s">
        <v>19</v>
      </c>
      <c r="G1" s="34" t="s">
        <v>102</v>
      </c>
      <c r="H1" s="18" t="s">
        <v>103</v>
      </c>
      <c r="I1" s="29" t="s">
        <v>104</v>
      </c>
      <c r="J1" s="37" t="s">
        <v>107</v>
      </c>
      <c r="K1" s="37" t="s">
        <v>108</v>
      </c>
      <c r="L1" s="37" t="s">
        <v>109</v>
      </c>
      <c r="M1" s="37" t="s">
        <v>110</v>
      </c>
      <c r="N1" s="37" t="s">
        <v>111</v>
      </c>
      <c r="O1" s="37" t="s">
        <v>112</v>
      </c>
      <c r="P1" s="37" t="s">
        <v>113</v>
      </c>
      <c r="Q1" s="37" t="s">
        <v>114</v>
      </c>
      <c r="R1" s="37" t="s">
        <v>115</v>
      </c>
      <c r="S1" s="37" t="s">
        <v>116</v>
      </c>
    </row>
    <row r="2" spans="1:19">
      <c r="A2" s="19" t="s">
        <v>14</v>
      </c>
      <c r="B2" s="39">
        <v>1</v>
      </c>
      <c r="C2" s="20" t="s">
        <v>96</v>
      </c>
      <c r="D2" s="21" t="s">
        <v>128</v>
      </c>
      <c r="E2" s="21" t="s">
        <v>106</v>
      </c>
      <c r="F2" s="22" t="s">
        <v>17</v>
      </c>
      <c r="G2" s="21" t="s">
        <v>12</v>
      </c>
      <c r="H2" s="48">
        <v>-110</v>
      </c>
      <c r="I2" s="48">
        <v>-120</v>
      </c>
      <c r="J2" s="48">
        <v>-130</v>
      </c>
      <c r="K2" s="48">
        <v>-140</v>
      </c>
      <c r="L2" s="48">
        <v>-150</v>
      </c>
      <c r="M2" s="48">
        <v>-160</v>
      </c>
      <c r="N2" s="48">
        <v>-170</v>
      </c>
      <c r="O2" s="48">
        <v>-180</v>
      </c>
      <c r="P2" s="48">
        <v>-190</v>
      </c>
      <c r="Q2" s="48">
        <v>-200</v>
      </c>
      <c r="R2" s="47"/>
      <c r="S2" s="47"/>
    </row>
    <row r="3" spans="1:19">
      <c r="A3" s="19" t="s">
        <v>13</v>
      </c>
      <c r="B3" s="39">
        <v>1</v>
      </c>
      <c r="C3" s="20" t="s">
        <v>96</v>
      </c>
      <c r="D3" s="21" t="s">
        <v>128</v>
      </c>
      <c r="E3" s="21" t="s">
        <v>106</v>
      </c>
      <c r="F3" s="21" t="s">
        <v>17</v>
      </c>
      <c r="G3" s="32" t="s">
        <v>12</v>
      </c>
      <c r="H3" s="48">
        <v>-111</v>
      </c>
      <c r="I3" s="49">
        <v>-121</v>
      </c>
      <c r="J3" s="74">
        <v>-131</v>
      </c>
      <c r="K3" s="74">
        <v>-141</v>
      </c>
      <c r="L3" s="74">
        <v>-151</v>
      </c>
      <c r="M3" s="74">
        <v>-161</v>
      </c>
      <c r="N3" s="74">
        <v>-171</v>
      </c>
      <c r="O3" s="74">
        <v>-181</v>
      </c>
      <c r="P3" s="74">
        <v>-191</v>
      </c>
      <c r="Q3" s="74">
        <v>-201</v>
      </c>
      <c r="R3" s="47"/>
      <c r="S3" s="47"/>
    </row>
    <row r="4" spans="1:19">
      <c r="A4" s="19" t="s">
        <v>14</v>
      </c>
      <c r="B4" s="39">
        <v>2</v>
      </c>
      <c r="C4" s="20" t="s">
        <v>95</v>
      </c>
      <c r="D4" s="21" t="s">
        <v>87</v>
      </c>
      <c r="E4" s="21" t="s">
        <v>22</v>
      </c>
      <c r="F4" s="22" t="s">
        <v>23</v>
      </c>
      <c r="G4" s="21" t="s">
        <v>12</v>
      </c>
      <c r="H4" s="48">
        <v>-210</v>
      </c>
      <c r="I4" s="48">
        <v>-220</v>
      </c>
      <c r="J4" s="48">
        <v>-230</v>
      </c>
      <c r="K4" s="48">
        <v>-240</v>
      </c>
      <c r="L4" s="48">
        <v>-250</v>
      </c>
      <c r="M4" s="48">
        <v>-260</v>
      </c>
      <c r="N4" s="48">
        <v>-270</v>
      </c>
      <c r="O4" s="48">
        <v>-280</v>
      </c>
      <c r="P4" s="48">
        <v>-290</v>
      </c>
      <c r="Q4" s="48">
        <v>-300</v>
      </c>
      <c r="R4" s="47"/>
      <c r="S4" s="47"/>
    </row>
    <row r="5" spans="1:19">
      <c r="A5" s="19" t="s">
        <v>14</v>
      </c>
      <c r="B5" s="39">
        <v>3</v>
      </c>
      <c r="C5" s="20" t="s">
        <v>94</v>
      </c>
      <c r="D5" s="21" t="s">
        <v>129</v>
      </c>
      <c r="E5" s="21" t="s">
        <v>22</v>
      </c>
      <c r="F5" s="22" t="s">
        <v>6</v>
      </c>
      <c r="G5" s="21" t="s">
        <v>11</v>
      </c>
      <c r="H5" s="48">
        <v>310</v>
      </c>
      <c r="I5" s="49">
        <v>320</v>
      </c>
      <c r="J5" s="48">
        <v>330</v>
      </c>
      <c r="K5" s="49">
        <v>340</v>
      </c>
      <c r="L5" s="48">
        <v>350</v>
      </c>
      <c r="M5" s="49">
        <v>360</v>
      </c>
      <c r="N5" s="48">
        <v>370</v>
      </c>
      <c r="O5" s="49">
        <v>380</v>
      </c>
      <c r="P5" s="48">
        <v>390</v>
      </c>
      <c r="Q5" s="49">
        <v>400</v>
      </c>
      <c r="R5" s="47"/>
      <c r="S5" s="47"/>
    </row>
    <row r="6" spans="1:19">
      <c r="A6" s="30" t="s">
        <v>14</v>
      </c>
      <c r="B6" s="39">
        <v>4</v>
      </c>
      <c r="C6" s="31" t="s">
        <v>95</v>
      </c>
      <c r="D6" s="32" t="s">
        <v>120</v>
      </c>
      <c r="E6" s="32" t="s">
        <v>37</v>
      </c>
      <c r="F6" s="22" t="s">
        <v>38</v>
      </c>
      <c r="G6" s="32" t="s">
        <v>11</v>
      </c>
      <c r="H6" s="50">
        <v>410</v>
      </c>
      <c r="I6" s="50">
        <v>420</v>
      </c>
      <c r="J6" s="50">
        <v>430</v>
      </c>
      <c r="K6" s="50">
        <v>440</v>
      </c>
      <c r="L6" s="50">
        <v>450</v>
      </c>
      <c r="M6" s="50">
        <v>460</v>
      </c>
      <c r="N6" s="50">
        <v>470</v>
      </c>
      <c r="O6" s="50">
        <v>480</v>
      </c>
      <c r="P6" s="50">
        <v>490</v>
      </c>
      <c r="Q6" s="50">
        <v>500</v>
      </c>
      <c r="R6" s="47"/>
      <c r="S6" s="47"/>
    </row>
    <row r="7" spans="1:19">
      <c r="A7" s="33" t="s">
        <v>17</v>
      </c>
      <c r="B7" s="39">
        <v>5</v>
      </c>
      <c r="C7" s="31" t="s">
        <v>96</v>
      </c>
      <c r="D7" s="32" t="s">
        <v>128</v>
      </c>
      <c r="E7" s="32" t="s">
        <v>39</v>
      </c>
      <c r="F7" s="22" t="s">
        <v>40</v>
      </c>
      <c r="G7" s="32" t="s">
        <v>12</v>
      </c>
      <c r="H7" s="50"/>
      <c r="I7" s="51"/>
      <c r="J7" s="47"/>
      <c r="K7" s="47"/>
      <c r="L7" s="47"/>
      <c r="M7" s="47"/>
      <c r="N7" s="47"/>
      <c r="O7" s="47">
        <v>-8888</v>
      </c>
      <c r="P7" s="47"/>
      <c r="Q7" s="47"/>
      <c r="R7" s="47"/>
      <c r="S7" s="47"/>
    </row>
    <row r="8" spans="1:19">
      <c r="A8" s="36" t="s">
        <v>14</v>
      </c>
      <c r="B8" s="39">
        <v>6</v>
      </c>
      <c r="C8" s="31" t="s">
        <v>96</v>
      </c>
      <c r="D8" s="32" t="s">
        <v>105</v>
      </c>
      <c r="E8" s="32" t="s">
        <v>33</v>
      </c>
      <c r="F8" s="32" t="s">
        <v>34</v>
      </c>
      <c r="G8" s="32" t="s">
        <v>12</v>
      </c>
      <c r="H8" s="50"/>
      <c r="I8" s="51"/>
      <c r="J8" s="47"/>
      <c r="K8" s="47"/>
      <c r="L8" s="47"/>
      <c r="M8" s="47"/>
      <c r="N8" s="47"/>
      <c r="O8" s="47">
        <v>-9999</v>
      </c>
      <c r="P8" s="47"/>
      <c r="Q8" s="47"/>
      <c r="R8" s="47"/>
      <c r="S8" s="47"/>
    </row>
  </sheetData>
  <conditionalFormatting sqref="A1:G1 F2:F8">
    <cfRule type="expression" dxfId="71" priority="2">
      <formula>AND(MONTH($B1)=MONTH(TODAY()),YEAR($B1)=YEAR(TODAY()))</formula>
    </cfRule>
  </conditionalFormatting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C4"/>
  <sheetViews>
    <sheetView workbookViewId="0">
      <selection activeCell="T2" sqref="T2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30"/>
      <c r="R1" s="69">
        <v>1</v>
      </c>
      <c r="S1" s="69">
        <v>2</v>
      </c>
      <c r="T1" s="69">
        <v>3</v>
      </c>
      <c r="U1" s="69">
        <v>4</v>
      </c>
      <c r="V1" s="69">
        <v>5</v>
      </c>
      <c r="W1" s="69">
        <v>6</v>
      </c>
      <c r="X1" s="69">
        <v>7</v>
      </c>
      <c r="Y1" s="69">
        <v>8</v>
      </c>
      <c r="Z1" s="69">
        <v>9</v>
      </c>
      <c r="AA1" s="69">
        <v>10</v>
      </c>
      <c r="AB1" s="69">
        <v>11</v>
      </c>
      <c r="AC1" s="69">
        <v>12</v>
      </c>
    </row>
    <row r="2" spans="1:29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2"/>
      <c r="R2" s="70" t="e">
        <f ca="1">SUM(INDIRECT("R4:R"&amp;COUNTA($C:$C)+3))</f>
        <v>#N/A</v>
      </c>
      <c r="S2" s="70" t="e">
        <f ca="1">SUM(INDIRECT("S4:S"&amp;COUNTA($C:$C)+3))</f>
        <v>#N/A</v>
      </c>
      <c r="T2" s="70" t="e">
        <f ca="1">SUM(INDIRECT("T4:T"&amp;COUNTA($C:$C)+3))</f>
        <v>#N/A</v>
      </c>
      <c r="U2" s="70" t="e">
        <f ca="1">SUM(INDIRECT("U4:U"&amp;COUNTA($C:$C)+3))</f>
        <v>#N/A</v>
      </c>
      <c r="V2" s="70" t="e">
        <f ca="1">SUM(INDIRECT("V4:V"&amp;COUNTA($C:$C)+3))</f>
        <v>#N/A</v>
      </c>
      <c r="W2" s="70" t="e">
        <f ca="1">SUM(INDIRECT("W4:W"&amp;COUNTA($C:$C)+3))</f>
        <v>#N/A</v>
      </c>
      <c r="X2" s="70" t="e">
        <f ca="1">SUM(INDIRECT("X4:X"&amp;COUNTA($C:$C)+3))</f>
        <v>#N/A</v>
      </c>
      <c r="Y2" s="70" t="e">
        <f ca="1">SUM(INDIRECT("Y4:Y"&amp;COUNTA($C:$C)+3))</f>
        <v>#N/A</v>
      </c>
      <c r="Z2" s="70" t="e">
        <f ca="1">SUM(INDIRECT("Z4:Z"&amp;COUNTA($C:$C)+3))</f>
        <v>#N/A</v>
      </c>
      <c r="AA2" s="70" t="e">
        <f ca="1">SUM(INDIRECT("AA4:AA"&amp;COUNTA($C:$C)+3))</f>
        <v>#N/A</v>
      </c>
      <c r="AB2" s="70" t="e">
        <f ca="1">SUM(INDIRECT("AB4:AB"&amp;COUNTA($C:$C)+3))</f>
        <v>#N/A</v>
      </c>
      <c r="AC2" s="70" t="e">
        <f ca="1">SUM(INDIRECT("AC4:AC"&amp;COUNTA($C:$C)+3))</f>
        <v>#N/A</v>
      </c>
    </row>
    <row r="3" spans="1:29" ht="25.5">
      <c r="A3" s="109" t="s">
        <v>2</v>
      </c>
      <c r="B3" s="65" t="s">
        <v>1</v>
      </c>
      <c r="C3" s="109" t="s">
        <v>18</v>
      </c>
      <c r="D3" s="65" t="s">
        <v>19</v>
      </c>
      <c r="E3" s="65" t="s">
        <v>170</v>
      </c>
      <c r="F3" s="66" t="s">
        <v>103</v>
      </c>
      <c r="G3" s="66" t="s">
        <v>104</v>
      </c>
      <c r="H3" s="67" t="s">
        <v>107</v>
      </c>
      <c r="I3" s="67" t="s">
        <v>108</v>
      </c>
      <c r="J3" s="67" t="s">
        <v>109</v>
      </c>
      <c r="K3" s="67" t="s">
        <v>110</v>
      </c>
      <c r="L3" s="67" t="s">
        <v>111</v>
      </c>
      <c r="M3" s="67" t="s">
        <v>112</v>
      </c>
      <c r="N3" s="67" t="s">
        <v>113</v>
      </c>
      <c r="O3" s="67" t="s">
        <v>114</v>
      </c>
      <c r="P3" s="67" t="s">
        <v>115</v>
      </c>
      <c r="Q3" s="67" t="s">
        <v>116</v>
      </c>
      <c r="R3" s="68" t="s">
        <v>137</v>
      </c>
      <c r="S3" s="68" t="s">
        <v>136</v>
      </c>
      <c r="T3" s="68" t="s">
        <v>138</v>
      </c>
      <c r="U3" s="68" t="s">
        <v>139</v>
      </c>
      <c r="V3" s="68" t="s">
        <v>140</v>
      </c>
      <c r="W3" s="68" t="s">
        <v>141</v>
      </c>
      <c r="X3" s="68" t="s">
        <v>142</v>
      </c>
      <c r="Y3" s="68" t="s">
        <v>143</v>
      </c>
      <c r="Z3" s="68" t="s">
        <v>144</v>
      </c>
      <c r="AA3" s="68" t="s">
        <v>145</v>
      </c>
      <c r="AB3" s="68" t="s">
        <v>146</v>
      </c>
      <c r="AC3" s="68" t="s">
        <v>147</v>
      </c>
    </row>
    <row r="4" spans="1:29"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71" t="e">
        <f t="shared" ref="R4:AC4" ca="1" si="0">F4-SUMPRODUCT((Libellés_principaux=$C4)*(Libellés_secondaires=$D4)*(Débit))</f>
        <v>#N/A</v>
      </c>
      <c r="S4" s="71" t="e">
        <f t="shared" ca="1" si="0"/>
        <v>#N/A</v>
      </c>
      <c r="T4" s="71" t="e">
        <f t="shared" ca="1" si="0"/>
        <v>#N/A</v>
      </c>
      <c r="U4" s="71" t="e">
        <f t="shared" ca="1" si="0"/>
        <v>#N/A</v>
      </c>
      <c r="V4" s="71" t="e">
        <f t="shared" ca="1" si="0"/>
        <v>#N/A</v>
      </c>
      <c r="W4" s="71" t="e">
        <f t="shared" ca="1" si="0"/>
        <v>#N/A</v>
      </c>
      <c r="X4" s="71" t="e">
        <f t="shared" ca="1" si="0"/>
        <v>#N/A</v>
      </c>
      <c r="Y4" s="71" t="e">
        <f t="shared" ca="1" si="0"/>
        <v>#N/A</v>
      </c>
      <c r="Z4" s="71" t="e">
        <f t="shared" ca="1" si="0"/>
        <v>#N/A</v>
      </c>
      <c r="AA4" s="71" t="e">
        <f t="shared" ca="1" si="0"/>
        <v>#N/A</v>
      </c>
      <c r="AB4" s="71" t="e">
        <f t="shared" ca="1" si="0"/>
        <v>#N/A</v>
      </c>
      <c r="AC4" s="71" t="e">
        <f t="shared" ca="1" si="0"/>
        <v>#N/A</v>
      </c>
    </row>
  </sheetData>
  <mergeCells count="1">
    <mergeCell ref="A1:Q2"/>
  </mergeCells>
  <conditionalFormatting sqref="A3:E3">
    <cfRule type="expression" dxfId="47" priority="3">
      <formula>AND(MONTH(#REF!)=MONTH(TODAY()),YEAR(#REF!)=YEAR(TODAY()))</formula>
    </cfRule>
  </conditionalFormatting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</row>
    <row r="2" spans="1:20" ht="21" thickBot="1">
      <c r="A2" s="133" t="s">
        <v>166</v>
      </c>
      <c r="B2" s="134"/>
      <c r="C2" s="134"/>
      <c r="D2" s="134"/>
      <c r="E2" s="134"/>
      <c r="F2" s="134"/>
      <c r="G2" s="134"/>
      <c r="H2" s="134"/>
      <c r="I2" s="135"/>
      <c r="J2" s="76" t="s">
        <v>168</v>
      </c>
      <c r="K2" s="77"/>
      <c r="L2" s="77"/>
      <c r="M2" s="77"/>
      <c r="N2" s="77"/>
      <c r="O2" s="77"/>
      <c r="P2" s="77"/>
      <c r="Q2" s="77"/>
      <c r="R2" s="77"/>
      <c r="S2" s="77"/>
      <c r="T2" s="78"/>
    </row>
    <row r="3" spans="1:20" ht="21" thickBot="1">
      <c r="A3" s="136" t="s">
        <v>167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8"/>
      <c r="S3" s="139" t="s">
        <v>152</v>
      </c>
      <c r="T3" s="140"/>
    </row>
    <row r="4" spans="1:20" ht="29.25" thickBot="1">
      <c r="A4" s="79" t="s">
        <v>153</v>
      </c>
      <c r="B4" s="141">
        <v>700</v>
      </c>
      <c r="C4" s="142"/>
      <c r="D4" s="79" t="s">
        <v>154</v>
      </c>
      <c r="E4" s="141">
        <v>200</v>
      </c>
      <c r="F4" s="142"/>
      <c r="G4" s="79" t="s">
        <v>3</v>
      </c>
      <c r="H4" s="141">
        <v>150</v>
      </c>
      <c r="I4" s="142"/>
      <c r="J4" s="79" t="s">
        <v>155</v>
      </c>
      <c r="K4" s="141">
        <v>120</v>
      </c>
      <c r="L4" s="142"/>
      <c r="M4" s="79" t="s">
        <v>156</v>
      </c>
      <c r="N4" s="141">
        <v>0</v>
      </c>
      <c r="O4" s="142"/>
      <c r="P4" s="79" t="s">
        <v>157</v>
      </c>
      <c r="Q4" s="141">
        <v>0</v>
      </c>
      <c r="R4" s="142"/>
      <c r="S4" s="80" t="s">
        <v>158</v>
      </c>
      <c r="T4" s="81">
        <f>SUM(T6:T16)</f>
        <v>0</v>
      </c>
    </row>
    <row r="5" spans="1:20" ht="29.25" thickBot="1">
      <c r="A5" s="82" t="s">
        <v>159</v>
      </c>
      <c r="B5" s="147">
        <f>B4-C17</f>
        <v>700</v>
      </c>
      <c r="C5" s="148"/>
      <c r="D5" s="83" t="s">
        <v>159</v>
      </c>
      <c r="E5" s="149">
        <f>E4-F17</f>
        <v>200</v>
      </c>
      <c r="F5" s="150"/>
      <c r="G5" s="83" t="s">
        <v>159</v>
      </c>
      <c r="H5" s="149">
        <f>H4-I17</f>
        <v>150</v>
      </c>
      <c r="I5" s="150"/>
      <c r="J5" s="83" t="s">
        <v>159</v>
      </c>
      <c r="K5" s="149">
        <f>K4-L17</f>
        <v>120</v>
      </c>
      <c r="L5" s="150"/>
      <c r="M5" s="83" t="s">
        <v>159</v>
      </c>
      <c r="N5" s="149">
        <f>N4-O17</f>
        <v>0</v>
      </c>
      <c r="O5" s="150"/>
      <c r="P5" s="83" t="s">
        <v>159</v>
      </c>
      <c r="Q5" s="149">
        <f>Q4-R17</f>
        <v>0</v>
      </c>
      <c r="R5" s="150"/>
      <c r="S5" s="84" t="s">
        <v>160</v>
      </c>
      <c r="T5" s="85" t="s">
        <v>161</v>
      </c>
    </row>
    <row r="6" spans="1:20" ht="18.75" thickBot="1">
      <c r="A6" s="84" t="s">
        <v>160</v>
      </c>
      <c r="B6" s="86" t="s">
        <v>162</v>
      </c>
      <c r="C6" s="85" t="s">
        <v>163</v>
      </c>
      <c r="D6" s="84" t="s">
        <v>160</v>
      </c>
      <c r="E6" s="86" t="s">
        <v>162</v>
      </c>
      <c r="F6" s="85" t="s">
        <v>163</v>
      </c>
      <c r="G6" s="84" t="s">
        <v>160</v>
      </c>
      <c r="H6" s="86" t="s">
        <v>162</v>
      </c>
      <c r="I6" s="85" t="s">
        <v>163</v>
      </c>
      <c r="J6" s="84" t="s">
        <v>160</v>
      </c>
      <c r="K6" s="86" t="s">
        <v>162</v>
      </c>
      <c r="L6" s="85" t="s">
        <v>163</v>
      </c>
      <c r="M6" s="84" t="s">
        <v>160</v>
      </c>
      <c r="N6" s="86" t="s">
        <v>162</v>
      </c>
      <c r="O6" s="85" t="s">
        <v>163</v>
      </c>
      <c r="P6" s="84" t="s">
        <v>160</v>
      </c>
      <c r="Q6" s="86" t="s">
        <v>162</v>
      </c>
      <c r="R6" s="85" t="s">
        <v>163</v>
      </c>
      <c r="S6" s="87"/>
      <c r="T6" s="88"/>
    </row>
    <row r="7" spans="1:20" ht="18">
      <c r="A7" s="89"/>
      <c r="B7" s="90"/>
      <c r="C7" s="88"/>
      <c r="D7" s="89"/>
      <c r="E7" s="90"/>
      <c r="F7" s="88"/>
      <c r="G7" s="89"/>
      <c r="H7" s="90"/>
      <c r="I7" s="88"/>
      <c r="J7" s="89"/>
      <c r="K7" s="90"/>
      <c r="L7" s="88"/>
      <c r="M7" s="89"/>
      <c r="N7" s="90"/>
      <c r="O7" s="88"/>
      <c r="P7" s="89"/>
      <c r="Q7" s="90"/>
      <c r="R7" s="88"/>
      <c r="S7" s="87"/>
      <c r="T7" s="88"/>
    </row>
    <row r="8" spans="1:20" ht="18">
      <c r="A8" s="91"/>
      <c r="B8" s="92"/>
      <c r="C8" s="93"/>
      <c r="D8" s="91"/>
      <c r="E8" s="92"/>
      <c r="F8" s="93"/>
      <c r="G8" s="91"/>
      <c r="H8" s="92"/>
      <c r="I8" s="93"/>
      <c r="J8" s="91"/>
      <c r="K8" s="92"/>
      <c r="L8" s="93"/>
      <c r="M8" s="91"/>
      <c r="N8" s="92"/>
      <c r="O8" s="93"/>
      <c r="P8" s="91"/>
      <c r="Q8" s="92"/>
      <c r="R8" s="93"/>
      <c r="S8" s="94"/>
      <c r="T8" s="93"/>
    </row>
    <row r="9" spans="1:20" ht="18">
      <c r="A9" s="91"/>
      <c r="B9" s="92"/>
      <c r="C9" s="93"/>
      <c r="D9" s="91"/>
      <c r="E9" s="92"/>
      <c r="F9" s="93"/>
      <c r="G9" s="91"/>
      <c r="H9" s="92"/>
      <c r="I9" s="93"/>
      <c r="J9" s="91"/>
      <c r="K9" s="92"/>
      <c r="L9" s="93"/>
      <c r="M9" s="91"/>
      <c r="N9" s="92"/>
      <c r="O9" s="93"/>
      <c r="P9" s="91"/>
      <c r="Q9" s="92"/>
      <c r="R9" s="93"/>
      <c r="S9" s="94"/>
      <c r="T9" s="93"/>
    </row>
    <row r="10" spans="1:20" ht="18">
      <c r="A10" s="91"/>
      <c r="B10" s="92"/>
      <c r="C10" s="93"/>
      <c r="D10" s="91"/>
      <c r="E10" s="92"/>
      <c r="F10" s="93"/>
      <c r="G10" s="91"/>
      <c r="H10" s="92"/>
      <c r="I10" s="93"/>
      <c r="J10" s="91"/>
      <c r="K10" s="92"/>
      <c r="L10" s="93"/>
      <c r="M10" s="91"/>
      <c r="N10" s="92"/>
      <c r="O10" s="93"/>
      <c r="P10" s="91"/>
      <c r="Q10" s="92"/>
      <c r="R10" s="93"/>
      <c r="S10" s="94"/>
      <c r="T10" s="93"/>
    </row>
    <row r="11" spans="1:20" ht="18">
      <c r="A11" s="91"/>
      <c r="B11" s="92"/>
      <c r="C11" s="93"/>
      <c r="D11" s="91"/>
      <c r="E11" s="92"/>
      <c r="F11" s="93"/>
      <c r="G11" s="91"/>
      <c r="H11" s="92"/>
      <c r="I11" s="93"/>
      <c r="J11" s="91"/>
      <c r="K11" s="92"/>
      <c r="L11" s="93"/>
      <c r="M11" s="91"/>
      <c r="N11" s="92"/>
      <c r="O11" s="93"/>
      <c r="P11" s="91"/>
      <c r="Q11" s="92"/>
      <c r="R11" s="93"/>
      <c r="S11" s="94"/>
      <c r="T11" s="93"/>
    </row>
    <row r="12" spans="1:20" ht="18">
      <c r="A12" s="91"/>
      <c r="B12" s="92"/>
      <c r="C12" s="93"/>
      <c r="D12" s="91"/>
      <c r="E12" s="92"/>
      <c r="F12" s="93"/>
      <c r="G12" s="91"/>
      <c r="H12" s="92"/>
      <c r="I12" s="93"/>
      <c r="J12" s="91"/>
      <c r="K12" s="92"/>
      <c r="L12" s="93"/>
      <c r="M12" s="91"/>
      <c r="N12" s="92"/>
      <c r="O12" s="93"/>
      <c r="P12" s="91"/>
      <c r="Q12" s="92"/>
      <c r="R12" s="93"/>
      <c r="S12" s="94"/>
      <c r="T12" s="93"/>
    </row>
    <row r="13" spans="1:20" ht="18">
      <c r="A13" s="94"/>
      <c r="B13" s="92"/>
      <c r="C13" s="93"/>
      <c r="D13" s="94"/>
      <c r="E13" s="92"/>
      <c r="F13" s="93"/>
      <c r="G13" s="94"/>
      <c r="H13" s="92"/>
      <c r="I13" s="93"/>
      <c r="J13" s="94"/>
      <c r="K13" s="92"/>
      <c r="L13" s="93"/>
      <c r="M13" s="94"/>
      <c r="N13" s="92"/>
      <c r="O13" s="93"/>
      <c r="P13" s="94"/>
      <c r="Q13" s="92"/>
      <c r="R13" s="93"/>
      <c r="S13" s="94"/>
      <c r="T13" s="93"/>
    </row>
    <row r="14" spans="1:20" ht="18">
      <c r="A14" s="94"/>
      <c r="B14" s="92"/>
      <c r="C14" s="93"/>
      <c r="D14" s="94"/>
      <c r="E14" s="92"/>
      <c r="F14" s="93"/>
      <c r="G14" s="94"/>
      <c r="H14" s="92"/>
      <c r="I14" s="93"/>
      <c r="J14" s="94"/>
      <c r="K14" s="92"/>
      <c r="L14" s="93"/>
      <c r="M14" s="94"/>
      <c r="N14" s="92"/>
      <c r="O14" s="93"/>
      <c r="P14" s="94"/>
      <c r="Q14" s="92"/>
      <c r="R14" s="93"/>
      <c r="S14" s="94"/>
      <c r="T14" s="93"/>
    </row>
    <row r="15" spans="1:20" ht="18">
      <c r="A15" s="94"/>
      <c r="B15" s="92"/>
      <c r="C15" s="93"/>
      <c r="D15" s="94"/>
      <c r="E15" s="92"/>
      <c r="F15" s="93"/>
      <c r="G15" s="94"/>
      <c r="H15" s="92"/>
      <c r="I15" s="93"/>
      <c r="J15" s="94"/>
      <c r="K15" s="92"/>
      <c r="L15" s="93"/>
      <c r="M15" s="94"/>
      <c r="N15" s="92"/>
      <c r="O15" s="93"/>
      <c r="P15" s="94"/>
      <c r="Q15" s="92"/>
      <c r="R15" s="93"/>
      <c r="S15" s="94"/>
      <c r="T15" s="93"/>
    </row>
    <row r="16" spans="1:20" ht="18.75" thickBot="1">
      <c r="A16" s="95"/>
      <c r="B16" s="96"/>
      <c r="C16" s="97"/>
      <c r="D16" s="95"/>
      <c r="E16" s="96"/>
      <c r="F16" s="97"/>
      <c r="G16" s="95"/>
      <c r="H16" s="96"/>
      <c r="I16" s="97"/>
      <c r="J16" s="95"/>
      <c r="K16" s="96"/>
      <c r="L16" s="97"/>
      <c r="M16" s="95"/>
      <c r="N16" s="96"/>
      <c r="O16" s="97"/>
      <c r="P16" s="95"/>
      <c r="Q16" s="96"/>
      <c r="R16" s="97"/>
      <c r="S16" s="98"/>
      <c r="T16" s="99"/>
    </row>
    <row r="17" spans="1:20" ht="29.25" thickBot="1">
      <c r="A17" s="100" t="str">
        <f>"Total "&amp;A4</f>
        <v>Total Achats divers</v>
      </c>
      <c r="B17" s="101">
        <f>SUM(B7:B16)</f>
        <v>0</v>
      </c>
      <c r="C17" s="102">
        <f t="array" ref="C17">SUMPRODUCT((IF(B7:B16=0,C7:C16,B7:B16))*1)</f>
        <v>0</v>
      </c>
      <c r="D17" s="100" t="str">
        <f t="shared" ref="D17" si="0">"Total "&amp;D4</f>
        <v>Total Habillement</v>
      </c>
      <c r="E17" s="101">
        <f>SUM(E7:E16)</f>
        <v>0</v>
      </c>
      <c r="F17" s="102">
        <f t="array" ref="F17">SUMPRODUCT((IF(E7:E16=0,F7:F16,E7:E16))*1)</f>
        <v>0</v>
      </c>
      <c r="G17" s="100" t="str">
        <f t="shared" ref="G17" si="1">"Total "&amp;G4</f>
        <v>Total Divers</v>
      </c>
      <c r="H17" s="101">
        <f>SUM(H7:H16)</f>
        <v>0</v>
      </c>
      <c r="I17" s="102">
        <f t="array" ref="I17">SUMPRODUCT((IF(H7:H16=0,I7:I16,H7:H16))*1)</f>
        <v>0</v>
      </c>
      <c r="J17" s="100" t="str">
        <f t="shared" ref="J17" si="2">"Total "&amp;J4</f>
        <v>Total Cantine</v>
      </c>
      <c r="K17" s="101">
        <f>SUM(K7:K16)</f>
        <v>0</v>
      </c>
      <c r="L17" s="102">
        <f t="array" ref="L17">SUMPRODUCT((IF(K7:K16=0,L7:L16,K7:K16))*1)</f>
        <v>0</v>
      </c>
      <c r="M17" s="100" t="str">
        <f t="shared" ref="M17" si="3">"Total "&amp;M4</f>
        <v>Total Extra</v>
      </c>
      <c r="N17" s="101">
        <f>SUM(N7:N16)</f>
        <v>0</v>
      </c>
      <c r="O17" s="102">
        <f t="array" ref="O17">SUMPRODUCT((IF(N7:N16=0,O7:O16,N7:N16))*1)</f>
        <v>0</v>
      </c>
      <c r="P17" s="100" t="str">
        <f t="shared" ref="P17" si="4">"Total "&amp;P4</f>
        <v>Total Autre</v>
      </c>
      <c r="Q17" s="101">
        <f>SUM(Q7:Q16)</f>
        <v>0</v>
      </c>
      <c r="R17" s="102">
        <f t="array" ref="R17">SUMPRODUCT((IF(Q7:Q16=0,R7:R16,Q7:Q16))*1)</f>
        <v>0</v>
      </c>
      <c r="S17" s="100" t="s">
        <v>164</v>
      </c>
      <c r="T17" s="103">
        <f>T4</f>
        <v>0</v>
      </c>
    </row>
    <row r="18" spans="1:20" ht="31.5">
      <c r="A18" s="104" t="s">
        <v>165</v>
      </c>
      <c r="B18" s="143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4"/>
    </row>
    <row r="19" spans="1:20" ht="16.5" thickBot="1">
      <c r="A19" s="105"/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6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3"/>
  <sheetViews>
    <sheetView workbookViewId="0">
      <selection activeCell="D4" sqref="D4"/>
    </sheetView>
  </sheetViews>
  <sheetFormatPr baseColWidth="10" defaultRowHeight="12.75"/>
  <cols>
    <col min="1" max="1" width="11.42578125" style="111"/>
    <col min="3" max="3" width="11.42578125" style="44"/>
    <col min="4" max="4" width="21" bestFit="1" customWidth="1"/>
    <col min="5" max="5" width="7.42578125" bestFit="1" customWidth="1"/>
    <col min="6" max="6" width="14.42578125" style="114" bestFit="1" customWidth="1"/>
  </cols>
  <sheetData>
    <row r="1" spans="1:7">
      <c r="A1" s="106" t="s">
        <v>0</v>
      </c>
      <c r="B1" s="106" t="s">
        <v>1</v>
      </c>
      <c r="C1" s="106" t="s">
        <v>12</v>
      </c>
      <c r="D1" s="106" t="s">
        <v>173</v>
      </c>
      <c r="E1" s="106" t="s">
        <v>171</v>
      </c>
      <c r="F1" s="106" t="s">
        <v>172</v>
      </c>
      <c r="G1" s="106" t="s">
        <v>176</v>
      </c>
    </row>
    <row r="2" spans="1:7">
      <c r="A2" s="110">
        <v>42370</v>
      </c>
      <c r="B2" s="106" t="s">
        <v>174</v>
      </c>
      <c r="C2" s="112">
        <v>60</v>
      </c>
      <c r="D2" s="106" t="s">
        <v>177</v>
      </c>
      <c r="E2" s="106">
        <v>50</v>
      </c>
      <c r="F2" s="113">
        <v>1.32</v>
      </c>
      <c r="G2" s="118" t="e">
        <f>Tableau4[[#This Row],[Distance parcourue]]/100</f>
        <v>#VALUE!</v>
      </c>
    </row>
    <row r="3" spans="1:7">
      <c r="A3" s="115">
        <v>42379</v>
      </c>
      <c r="B3" s="33" t="s">
        <v>175</v>
      </c>
      <c r="C3" s="116">
        <v>50</v>
      </c>
      <c r="D3" s="33" t="s">
        <v>178</v>
      </c>
      <c r="E3" s="33">
        <v>40</v>
      </c>
      <c r="F3" s="117">
        <v>1.35</v>
      </c>
      <c r="G3" s="119" t="e">
        <f>Tableau4[[#This Row],[Distance parcourue]]/100</f>
        <v>#VALUE!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TCD_Compte</vt:lpstr>
      <vt:lpstr>TCD_Catégorie</vt:lpstr>
      <vt:lpstr>Crédit_Débit</vt:lpstr>
      <vt:lpstr>BD</vt:lpstr>
      <vt:lpstr>Système</vt:lpstr>
      <vt:lpstr>Mensualisation</vt:lpstr>
      <vt:lpstr>Budjet</vt:lpstr>
      <vt:lpstr>Gestion dépense</vt:lpstr>
      <vt:lpstr>Conso essence</vt:lpstr>
      <vt:lpstr>Choix2</vt:lpstr>
      <vt:lpstr>Compte_princ</vt:lpstr>
      <vt:lpstr>Date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Olivier</cp:lastModifiedBy>
  <dcterms:created xsi:type="dcterms:W3CDTF">2004-03-07T20:52:29Z</dcterms:created>
  <dcterms:modified xsi:type="dcterms:W3CDTF">2015-10-30T10:03:23Z</dcterms:modified>
</cp:coreProperties>
</file>