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5E210F02-5D13-4E35-9F1E-32F01D97EDC7}" xr6:coauthVersionLast="47" xr6:coauthVersionMax="47" xr10:uidLastSave="{00000000-0000-0000-0000-000000000000}"/>
  <bookViews>
    <workbookView xWindow="-120" yWindow="-120" windowWidth="24240" windowHeight="13020" activeTab="1" xr2:uid="{828B8C7E-7496-43BA-864C-92AB192F94D7}"/>
  </bookViews>
  <sheets>
    <sheet name="Références et Stock" sheetId="1" r:id="rId1"/>
    <sheet name="Journal Entrées et Sorties" sheetId="2" r:id="rId2"/>
  </sheets>
  <definedNames>
    <definedName name="Référence">TabStock[Référence]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2" l="1"/>
  <c r="E3" i="2"/>
  <c r="E2" i="2"/>
  <c r="E4" i="2"/>
  <c r="G3" i="2"/>
  <c r="H3" i="2" s="1"/>
  <c r="G2" i="2"/>
  <c r="G4" i="2"/>
  <c r="H4" i="2" s="1"/>
  <c r="E2" i="1"/>
  <c r="E3" i="1"/>
  <c r="D3" i="1"/>
  <c r="C4" i="2"/>
  <c r="D2" i="1"/>
  <c r="C3" i="2"/>
  <c r="C2" i="2"/>
  <c r="F2" i="1" l="1"/>
  <c r="H2" i="1" s="1"/>
  <c r="F3" i="1"/>
  <c r="J3" i="1" s="1"/>
  <c r="K3" i="1" s="1"/>
  <c r="J2" i="1" l="1"/>
  <c r="K2" i="1" s="1"/>
  <c r="H3" i="1"/>
</calcChain>
</file>

<file path=xl/sharedStrings.xml><?xml version="1.0" encoding="utf-8"?>
<sst xmlns="http://schemas.openxmlformats.org/spreadsheetml/2006/main" count="28" uniqueCount="21">
  <si>
    <t>Référence</t>
  </si>
  <si>
    <t>Désignation</t>
  </si>
  <si>
    <t>Départ</t>
  </si>
  <si>
    <t>Stock</t>
  </si>
  <si>
    <t>Prix unitaire</t>
  </si>
  <si>
    <t>Valeur du stock</t>
  </si>
  <si>
    <t>Prix de vente</t>
  </si>
  <si>
    <t>Valeur de Vente</t>
  </si>
  <si>
    <t>M100001</t>
  </si>
  <si>
    <t>TVA</t>
  </si>
  <si>
    <t>Vente</t>
  </si>
  <si>
    <t>Observations</t>
  </si>
  <si>
    <t>Descriptif</t>
  </si>
  <si>
    <t>M100002</t>
  </si>
  <si>
    <t>Sortie</t>
  </si>
  <si>
    <t>Stock total</t>
  </si>
  <si>
    <t>Date 
opération</t>
  </si>
  <si>
    <t>Total Vente</t>
  </si>
  <si>
    <t>Total Achat</t>
  </si>
  <si>
    <t>Article 01</t>
  </si>
  <si>
    <t>Article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</si>
</sst>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9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852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24A07C-A823-4BBC-A133-A83A9B28E565}" name="TabStock" displayName="TabStock" ref="A1:L3" totalsRowShown="0" headerRowDxfId="18">
  <autoFilter ref="A1:L3" xr:uid="{FD24A07C-A823-4BBC-A133-A83A9B28E565}"/>
  <tableColumns count="12">
    <tableColumn id="1" xr3:uid="{97B7D51C-54BA-4209-86D9-D9D4155E1E57}" name="Référence"/>
    <tableColumn id="2" xr3:uid="{5405C6C8-7C43-42B7-BA84-9E4455066291}" name="Désignation"/>
    <tableColumn id="3" xr3:uid="{75F8FC79-5620-4727-AFE3-CA417315FF52}" name="Départ"/>
    <tableColumn id="4" xr3:uid="{B3FC58AB-1DCF-47DA-A4C6-E9F4483A4BC5}" name="Stock">
      <calculatedColumnFormula>SUMIFS(Journal[Stock],Journal[Référence],TabStock[[#This Row],[Référence]])</calculatedColumnFormula>
    </tableColumn>
    <tableColumn id="5" xr3:uid="{B696D2A7-AFD1-4EF3-86E8-A68358E9E944}" name="Sortie" dataDxfId="17">
      <calculatedColumnFormula>SUMIFS(Journal[Vente],Journal[Référence],TabStock[[#This Row],[Référence]])</calculatedColumnFormula>
    </tableColumn>
    <tableColumn id="6" xr3:uid="{26E8FA76-8279-440A-980E-D31DDAFB3F76}" name="Stock total" dataDxfId="16">
      <calculatedColumnFormula>TabStock[[#This Row],[Départ]]+TabStock[[#This Row],[Stock]]-TabStock[[#This Row],[Sortie]]</calculatedColumnFormula>
    </tableColumn>
    <tableColumn id="7" xr3:uid="{2ADE1696-F063-4C0B-9E9F-20A814C7A8BA}" name="Prix unitaire" dataDxfId="15"/>
    <tableColumn id="8" xr3:uid="{3C645D3B-ABC5-4CBE-8BE8-853BE5E45FC6}" name="Valeur du stock" dataDxfId="14">
      <calculatedColumnFormula>TabStock[[#This Row],[Stock total]]*TabStock[[#This Row],[Prix unitaire]]</calculatedColumnFormula>
    </tableColumn>
    <tableColumn id="9" xr3:uid="{7949EC97-F69A-4072-94ED-EBA53A71E093}" name="Prix de vente" dataDxfId="13"/>
    <tableColumn id="10" xr3:uid="{9A68DB86-D04C-40FC-A269-4EF727BC186B}" name="Valeur de Vente" dataDxfId="12">
      <calculatedColumnFormula>TabStock[[#This Row],[Stock total]]*TabStock[[#This Row],[Prix de vente]]</calculatedColumnFormula>
    </tableColumn>
    <tableColumn id="11" xr3:uid="{46626586-7580-4E28-AAE8-61E57EDED7EE}" name="TVA" dataDxfId="11">
      <calculatedColumnFormula>(TabStock[[#This Row],[Valeur de Vente]]/120%)*20%</calculatedColumnFormula>
    </tableColumn>
    <tableColumn id="12" xr3:uid="{94633D14-7D3E-491C-9786-AAFCF448148A}" name="Descriptif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C90826-711F-4E96-A933-8D7C78313EAC}" name="Journal" displayName="Journal" ref="A1:I4" totalsRowShown="0" headerRowDxfId="9">
  <autoFilter ref="A1:I4" xr:uid="{4BC90826-711F-4E96-A933-8D7C78313EAC}"/>
  <sortState xmlns:xlrd2="http://schemas.microsoft.com/office/spreadsheetml/2017/richdata2" ref="A2:I4">
    <sortCondition ref="A1:A4"/>
  </sortState>
  <tableColumns count="9">
    <tableColumn id="1" xr3:uid="{8EAEC0E7-FEA8-4552-8A9E-91D3ED03F743}" name="Date _x000a_opération" dataDxfId="8"/>
    <tableColumn id="2" xr3:uid="{799DB11B-E32B-4E8C-B0D6-03D780063589}" name="Référence"/>
    <tableColumn id="4" xr3:uid="{0563BF3C-091B-464B-99C0-38F26D4B1529}" name="Désignation" dataDxfId="7">
      <calculatedColumnFormula>IFERROR(VLOOKUP(Journal[[#This Row],[Référence]],TabStock[#All],2,0),"")</calculatedColumnFormula>
    </tableColumn>
    <tableColumn id="13" xr3:uid="{23F68D7F-647A-4C60-8A35-8909B48E1430}" name="Stock"/>
    <tableColumn id="6" xr3:uid="{D4CF9D2A-1D5C-45EC-A3BA-83C4BAE9D1A0}" name="Total Achat" dataDxfId="6">
      <calculatedColumnFormula>Journal[[#This Row],[Stock]]*VLOOKUP(Journal[[#This Row],[Référence]],TabStock[#All],7,0)</calculatedColumnFormula>
    </tableColumn>
    <tableColumn id="5" xr3:uid="{FDB9B11E-CC45-4D76-9200-8128F261B366}" name="Vente" dataDxfId="5"/>
    <tableColumn id="3" xr3:uid="{13FCFF29-2749-4EF9-9AB8-A8D23B4523B6}" name="Total Vente" dataDxfId="4">
      <calculatedColumnFormula>Journal[[#This Row],[Vente]]*VLOOKUP(Journal[[#This Row],[Référence]],TabStock[#All],9,0)</calculatedColumnFormula>
    </tableColumn>
    <tableColumn id="12" xr3:uid="{01F37859-2F62-4014-A9B6-91295D259554}" name="TVA" dataDxfId="3">
      <calculatedColumnFormula>IF(Journal[[#This Row],[Vente]]&gt;0,(Journal[[#This Row],[Total Vente]]/120%)*20%,"")</calculatedColumnFormula>
    </tableColumn>
    <tableColumn id="14" xr3:uid="{7F7DC971-D03E-4C74-9995-3D5B82D544C7}" name="Observation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6F4E-B308-4085-8427-E8F74797D267}">
  <dimension ref="A1:L3"/>
  <sheetViews>
    <sheetView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B2" sqref="B2:B3"/>
    </sheetView>
  </sheetViews>
  <sheetFormatPr baseColWidth="10" defaultRowHeight="15" x14ac:dyDescent="0.25"/>
  <cols>
    <col min="1" max="1" width="30" customWidth="1"/>
    <col min="2" max="2" width="42.85546875" customWidth="1"/>
    <col min="3" max="6" width="11.42578125" customWidth="1"/>
    <col min="7" max="11" width="15.7109375" customWidth="1"/>
    <col min="12" max="12" width="123.7109375" customWidth="1"/>
  </cols>
  <sheetData>
    <row r="1" spans="1:12" ht="52.5" customHeight="1" x14ac:dyDescent="0.25">
      <c r="A1" s="4" t="s">
        <v>0</v>
      </c>
      <c r="B1" s="4" t="s">
        <v>1</v>
      </c>
      <c r="C1" s="4" t="s">
        <v>2</v>
      </c>
      <c r="D1" s="3" t="s">
        <v>3</v>
      </c>
      <c r="E1" s="3" t="s">
        <v>14</v>
      </c>
      <c r="F1" s="4" t="s">
        <v>15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9</v>
      </c>
      <c r="L1" s="4" t="s">
        <v>12</v>
      </c>
    </row>
    <row r="2" spans="1:12" x14ac:dyDescent="0.25">
      <c r="A2" t="s">
        <v>8</v>
      </c>
      <c r="B2" t="s">
        <v>19</v>
      </c>
      <c r="C2">
        <v>0</v>
      </c>
      <c r="D2">
        <f>SUMIFS(Journal[Stock],Journal[Référence],TabStock[[#This Row],[Référence]])</f>
        <v>3</v>
      </c>
      <c r="E2">
        <f>SUMIFS(Journal[Vente],Journal[Référence],TabStock[[#This Row],[Référence]])</f>
        <v>3</v>
      </c>
      <c r="F2">
        <f>TabStock[[#This Row],[Départ]]+TabStock[[#This Row],[Stock]]-TabStock[[#This Row],[Sortie]]</f>
        <v>0</v>
      </c>
      <c r="G2" s="1">
        <v>200</v>
      </c>
      <c r="H2" s="1">
        <f>TabStock[[#This Row],[Stock total]]*TabStock[[#This Row],[Prix unitaire]]</f>
        <v>0</v>
      </c>
      <c r="I2" s="1">
        <v>350</v>
      </c>
      <c r="J2" s="1">
        <f>TabStock[[#This Row],[Stock total]]*TabStock[[#This Row],[Prix de vente]]</f>
        <v>0</v>
      </c>
      <c r="K2" s="1">
        <f>(TabStock[[#This Row],[Valeur de Vente]]/120%)*20%</f>
        <v>0</v>
      </c>
      <c r="L2" s="1"/>
    </row>
    <row r="3" spans="1:12" x14ac:dyDescent="0.25">
      <c r="A3" t="s">
        <v>13</v>
      </c>
      <c r="B3" t="s">
        <v>20</v>
      </c>
      <c r="C3">
        <v>5</v>
      </c>
      <c r="D3">
        <f>SUMIFS(Journal[Stock],Journal[Référence],TabStock[[#This Row],[Référence]])</f>
        <v>0</v>
      </c>
      <c r="E3">
        <f>SUMIFS(Journal[Vente],Journal[Référence],TabStock[[#This Row],[Référence]])</f>
        <v>0</v>
      </c>
      <c r="F3">
        <f>TabStock[[#This Row],[Départ]]+TabStock[[#This Row],[Stock]]-TabStock[[#This Row],[Sortie]]</f>
        <v>5</v>
      </c>
      <c r="G3" s="1">
        <v>180</v>
      </c>
      <c r="H3" s="1">
        <f>TabStock[[#This Row],[Stock total]]*TabStock[[#This Row],[Prix unitaire]]</f>
        <v>900</v>
      </c>
      <c r="I3" s="1">
        <v>350</v>
      </c>
      <c r="J3" s="1">
        <f>TabStock[[#This Row],[Stock total]]*TabStock[[#This Row],[Prix de vente]]</f>
        <v>1750</v>
      </c>
      <c r="K3" s="1">
        <f>(TabStock[[#This Row],[Valeur de Vente]]/120%)*20%</f>
        <v>291.66666666666669</v>
      </c>
      <c r="L3" s="1"/>
    </row>
  </sheetData>
  <phoneticPr fontId="1" type="noConversion"/>
  <conditionalFormatting sqref="A2:A3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0F6B6-693B-46DE-870E-6FCD7562C4B0}">
  <dimension ref="A1:I4"/>
  <sheetViews>
    <sheetView showZeros="0" tabSelected="1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C14" sqref="C14"/>
    </sheetView>
  </sheetViews>
  <sheetFormatPr baseColWidth="10" defaultRowHeight="15" x14ac:dyDescent="0.25"/>
  <cols>
    <col min="1" max="1" width="11.42578125" customWidth="1"/>
    <col min="2" max="2" width="30" customWidth="1"/>
    <col min="3" max="3" width="42.85546875" customWidth="1"/>
    <col min="5" max="5" width="15.7109375" customWidth="1"/>
    <col min="6" max="6" width="11.42578125" customWidth="1"/>
    <col min="7" max="8" width="15.7109375" customWidth="1"/>
    <col min="9" max="9" width="58.28515625" customWidth="1"/>
    <col min="11" max="11" width="15.7109375" customWidth="1"/>
    <col min="12" max="12" width="11.42578125" customWidth="1"/>
  </cols>
  <sheetData>
    <row r="1" spans="1:9" ht="52.5" customHeight="1" x14ac:dyDescent="0.25">
      <c r="A1" s="3" t="s">
        <v>16</v>
      </c>
      <c r="B1" s="4" t="s">
        <v>0</v>
      </c>
      <c r="C1" s="4" t="s">
        <v>1</v>
      </c>
      <c r="D1" s="4" t="s">
        <v>3</v>
      </c>
      <c r="E1" s="4" t="s">
        <v>18</v>
      </c>
      <c r="F1" s="4" t="s">
        <v>10</v>
      </c>
      <c r="G1" s="4" t="s">
        <v>17</v>
      </c>
      <c r="H1" s="4" t="s">
        <v>9</v>
      </c>
      <c r="I1" s="4" t="s">
        <v>11</v>
      </c>
    </row>
    <row r="2" spans="1:9" x14ac:dyDescent="0.25">
      <c r="A2" s="2">
        <v>45658</v>
      </c>
      <c r="B2" t="s">
        <v>8</v>
      </c>
      <c r="C2" t="str">
        <f>IFERROR(VLOOKUP(Journal[[#This Row],[Référence]],TabStock[#All],2,0),"")</f>
        <v>Article 01</v>
      </c>
      <c r="D2">
        <v>3</v>
      </c>
      <c r="E2" s="1">
        <f>Journal[[#This Row],[Stock]]*VLOOKUP(Journal[[#This Row],[Référence]],TabStock[#All],7,0)</f>
        <v>600</v>
      </c>
      <c r="G2" s="1">
        <f>Journal[[#This Row],[Vente]]*VLOOKUP(Journal[[#This Row],[Référence]],TabStock[#All],9,0)</f>
        <v>0</v>
      </c>
      <c r="H2" s="1" t="str">
        <f>IF(Journal[[#This Row],[Vente]]&gt;0,(Journal[[#This Row],[Total Vente]]/120%)*20%,"")</f>
        <v/>
      </c>
      <c r="I2" s="1"/>
    </row>
    <row r="3" spans="1:9" x14ac:dyDescent="0.25">
      <c r="A3" s="2">
        <v>45659</v>
      </c>
      <c r="B3" t="s">
        <v>8</v>
      </c>
      <c r="C3" t="str">
        <f>IFERROR(VLOOKUP(Journal[[#This Row],[Référence]],TabStock[#All],2,0),"")</f>
        <v>Article 01</v>
      </c>
      <c r="E3" s="1">
        <f>Journal[[#This Row],[Stock]]*VLOOKUP(Journal[[#This Row],[Référence]],TabStock[#All],7,0)</f>
        <v>0</v>
      </c>
      <c r="F3">
        <v>2</v>
      </c>
      <c r="G3" s="1">
        <f>Journal[[#This Row],[Vente]]*VLOOKUP(Journal[[#This Row],[Référence]],TabStock[#All],9,0)</f>
        <v>700</v>
      </c>
      <c r="H3" s="1">
        <f>IF(Journal[[#This Row],[Vente]]&gt;0,(Journal[[#This Row],[Total Vente]]/120%)*20%,"")</f>
        <v>116.66666666666669</v>
      </c>
      <c r="I3" s="1"/>
    </row>
    <row r="4" spans="1:9" x14ac:dyDescent="0.25">
      <c r="A4" s="2">
        <v>45727</v>
      </c>
      <c r="B4" t="s">
        <v>8</v>
      </c>
      <c r="C4" t="str">
        <f>IFERROR(VLOOKUP(Journal[[#This Row],[Référence]],TabStock[#All],2,0),"")</f>
        <v>Article 01</v>
      </c>
      <c r="E4" s="1">
        <f>Journal[[#This Row],[Stock]]*VLOOKUP(Journal[[#This Row],[Référence]],TabStock[#All],7,0)</f>
        <v>0</v>
      </c>
      <c r="F4">
        <v>1</v>
      </c>
      <c r="G4" s="1">
        <f>Journal[[#This Row],[Vente]]*VLOOKUP(Journal[[#This Row],[Référence]],TabStock[#All],9,0)</f>
        <v>350</v>
      </c>
      <c r="H4" s="1">
        <f>IF(Journal[[#This Row],[Vente]]&gt;0,(Journal[[#This Row],[Total Vente]]/120%)*20%,"")</f>
        <v>58.333333333333343</v>
      </c>
      <c r="I4" s="1"/>
    </row>
  </sheetData>
  <conditionalFormatting sqref="D2:D4 F2:G4">
    <cfRule type="expression" dxfId="0" priority="4">
      <formula>AND($D$2&lt;&gt;"",$F$2&lt;&gt;"")</formula>
    </cfRule>
  </conditionalFormatting>
  <dataValidations count="1">
    <dataValidation type="list" allowBlank="1" showInputMessage="1" showErrorMessage="1" sqref="B2:B4" xr:uid="{918E8126-6349-43FE-A56B-2254CE60FBB3}">
      <formula1>Référence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Références et Stock</vt:lpstr>
      <vt:lpstr>Journal Entrées et Sorties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2025-03-11T19:07:47Z</dcterms:created>
  <dcterms:modified xsi:type="dcterms:W3CDTF">2025-03-13T19:42:22Z</dcterms:modified>
</cp:coreProperties>
</file>