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0"/>
  <c r="D11"/>
  <c r="P11"/>
  <c r="Q11"/>
  <c r="R11"/>
  <c r="S12"/>
  <c r="T12"/>
  <c r="U12"/>
  <c r="I11"/>
  <c r="P10"/>
  <c r="Q10"/>
  <c r="R10"/>
  <c r="S11"/>
  <c r="T11"/>
  <c r="U11"/>
  <c r="I10"/>
  <c r="Q9"/>
  <c r="R9"/>
  <c r="I15"/>
  <c r="D12"/>
  <c r="D13"/>
  <c r="D14"/>
  <c r="D15"/>
  <c r="P15"/>
  <c r="I12"/>
  <c r="I13"/>
  <c r="I14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D16"/>
  <c r="D17"/>
  <c r="D18"/>
  <c r="D19"/>
  <c r="D20"/>
  <c r="D21"/>
  <c r="D22"/>
  <c r="D23"/>
  <c r="D24"/>
  <c r="D25"/>
  <c r="D26"/>
  <c r="D27"/>
  <c r="P27"/>
  <c r="Q8"/>
  <c r="Q27"/>
  <c r="P26"/>
  <c r="Q26"/>
  <c r="R26"/>
  <c r="S9"/>
  <c r="S27"/>
  <c r="T9"/>
  <c r="T27"/>
  <c r="AB27"/>
  <c r="N2" i="13"/>
  <c r="N3"/>
  <c r="N4"/>
  <c r="N5"/>
  <c r="N6"/>
  <c r="N7"/>
  <c r="N8"/>
  <c r="N9"/>
  <c r="N10"/>
  <c r="N11"/>
  <c r="N12"/>
  <c r="N13"/>
  <c r="N14"/>
  <c r="C27" i="40"/>
  <c r="V27"/>
  <c r="R8"/>
  <c r="R27"/>
  <c r="S8"/>
  <c r="S28"/>
  <c r="T8"/>
  <c r="T28"/>
  <c r="D28"/>
  <c r="P28"/>
  <c r="Q28"/>
  <c r="AB28"/>
  <c r="C28"/>
  <c r="V28"/>
  <c r="R28"/>
  <c r="S29"/>
  <c r="T29"/>
  <c r="D29"/>
  <c r="P29"/>
  <c r="Q29"/>
  <c r="AB29"/>
  <c r="C29"/>
  <c r="V29"/>
  <c r="R29"/>
  <c r="S30"/>
  <c r="T30"/>
  <c r="D30"/>
  <c r="P30"/>
  <c r="Q30"/>
  <c r="AB30"/>
  <c r="C30"/>
  <c r="V30"/>
  <c r="D31"/>
  <c r="D32"/>
  <c r="P32"/>
  <c r="Q32"/>
  <c r="P31"/>
  <c r="Q31"/>
  <c r="R31"/>
  <c r="S32"/>
  <c r="T32"/>
  <c r="AB32"/>
  <c r="C32"/>
  <c r="V32"/>
  <c r="R32"/>
  <c r="S33"/>
  <c r="T33"/>
  <c r="D33"/>
  <c r="P33"/>
  <c r="Q33"/>
  <c r="AB33"/>
  <c r="C33"/>
  <c r="V33"/>
  <c r="R33"/>
  <c r="S34"/>
  <c r="T34"/>
  <c r="D34"/>
  <c r="P34"/>
  <c r="Q34"/>
  <c r="AB34"/>
  <c r="C34"/>
  <c r="V34"/>
  <c r="R34"/>
  <c r="S35"/>
  <c r="T35"/>
  <c r="D35"/>
  <c r="P35"/>
  <c r="Q35"/>
  <c r="AB35"/>
  <c r="C35"/>
  <c r="V35"/>
  <c r="P17"/>
  <c r="Q17"/>
  <c r="P16"/>
  <c r="Q16"/>
  <c r="R16"/>
  <c r="S17"/>
  <c r="T17"/>
  <c r="AB17"/>
  <c r="C17"/>
  <c r="V17"/>
  <c r="AB10"/>
  <c r="C10"/>
  <c r="V10"/>
  <c r="AB11"/>
  <c r="C11"/>
  <c r="V11"/>
  <c r="P13"/>
  <c r="Q13"/>
  <c r="P12"/>
  <c r="Q12"/>
  <c r="R12"/>
  <c r="S13"/>
  <c r="T13"/>
  <c r="AB13"/>
  <c r="C13"/>
  <c r="V13"/>
  <c r="R13"/>
  <c r="S14"/>
  <c r="T14"/>
  <c r="P14"/>
  <c r="Q14"/>
  <c r="AB14"/>
  <c r="C14"/>
  <c r="V14"/>
  <c r="C12"/>
  <c r="AB12"/>
  <c r="V12"/>
  <c r="C15"/>
  <c r="Q15"/>
  <c r="R14"/>
  <c r="S15"/>
  <c r="T15"/>
  <c r="AB15"/>
  <c r="V15"/>
  <c r="C16"/>
  <c r="R15"/>
  <c r="S16"/>
  <c r="T16"/>
  <c r="AB16"/>
  <c r="V16"/>
  <c r="C18"/>
  <c r="P18"/>
  <c r="Q18"/>
  <c r="R17"/>
  <c r="S18"/>
  <c r="T18"/>
  <c r="AB18"/>
  <c r="V18"/>
  <c r="C19"/>
  <c r="P19"/>
  <c r="Q19"/>
  <c r="R18"/>
  <c r="S19"/>
  <c r="T19"/>
  <c r="AB19"/>
  <c r="V19"/>
  <c r="C20"/>
  <c r="P20"/>
  <c r="Q20"/>
  <c r="R19"/>
  <c r="S20"/>
  <c r="T20"/>
  <c r="AB20"/>
  <c r="V20"/>
  <c r="C21"/>
  <c r="P21"/>
  <c r="Q21"/>
  <c r="R20"/>
  <c r="S21"/>
  <c r="T21"/>
  <c r="AB21"/>
  <c r="V21"/>
  <c r="C22"/>
  <c r="P22"/>
  <c r="Q22"/>
  <c r="R21"/>
  <c r="S22"/>
  <c r="T22"/>
  <c r="AB22"/>
  <c r="V22"/>
  <c r="C23"/>
  <c r="P23"/>
  <c r="Q23"/>
  <c r="R22"/>
  <c r="S23"/>
  <c r="T23"/>
  <c r="AB23"/>
  <c r="V23"/>
  <c r="C24"/>
  <c r="P24"/>
  <c r="Q24"/>
  <c r="R23"/>
  <c r="S24"/>
  <c r="T24"/>
  <c r="AB24"/>
  <c r="V24"/>
  <c r="C25"/>
  <c r="P25"/>
  <c r="Q25"/>
  <c r="R24"/>
  <c r="S25"/>
  <c r="T25"/>
  <c r="AB25"/>
  <c r="V25"/>
  <c r="C26"/>
  <c r="R25"/>
  <c r="S26"/>
  <c r="T26"/>
  <c r="AB26"/>
  <c r="V26"/>
  <c r="C31"/>
  <c r="R30"/>
  <c r="S31"/>
  <c r="T31"/>
  <c r="AB31"/>
  <c r="V31"/>
  <c r="D36"/>
  <c r="C36"/>
  <c r="P36"/>
  <c r="Q36"/>
  <c r="R35"/>
  <c r="S36"/>
  <c r="T36"/>
  <c r="AB36"/>
  <c r="V36"/>
  <c r="D37"/>
  <c r="C37"/>
  <c r="P37"/>
  <c r="Q37"/>
  <c r="R36"/>
  <c r="S37"/>
  <c r="T37"/>
  <c r="AB37"/>
  <c r="V37"/>
  <c r="D38"/>
  <c r="C38"/>
  <c r="P38"/>
  <c r="Q38"/>
  <c r="R37"/>
  <c r="S38"/>
  <c r="T38"/>
  <c r="AB38"/>
  <c r="V38"/>
  <c r="D39"/>
  <c r="C39"/>
  <c r="P39"/>
  <c r="Q39"/>
  <c r="R38"/>
  <c r="S39"/>
  <c r="T39"/>
  <c r="AB39"/>
  <c r="V39"/>
  <c r="D40"/>
  <c r="C40"/>
  <c r="P40"/>
  <c r="Q40"/>
  <c r="R39"/>
  <c r="S40"/>
  <c r="T40"/>
  <c r="AB40"/>
  <c r="V40"/>
  <c r="V7"/>
  <c r="AI5"/>
  <c r="U27"/>
  <c r="AC27"/>
  <c r="W27"/>
  <c r="U8"/>
  <c r="U28"/>
  <c r="AC28"/>
  <c r="W28"/>
  <c r="U29"/>
  <c r="AC29"/>
  <c r="W29"/>
  <c r="U30"/>
  <c r="AC30"/>
  <c r="W30"/>
  <c r="U32"/>
  <c r="AC32"/>
  <c r="W32"/>
  <c r="U33"/>
  <c r="AC33"/>
  <c r="W33"/>
  <c r="U34"/>
  <c r="AC34"/>
  <c r="W34"/>
  <c r="U35"/>
  <c r="AC35"/>
  <c r="W35"/>
  <c r="U17"/>
  <c r="AC17"/>
  <c r="W17"/>
  <c r="AC10"/>
  <c r="W10"/>
  <c r="AC11"/>
  <c r="W11"/>
  <c r="U13"/>
  <c r="AC13"/>
  <c r="W13"/>
  <c r="U14"/>
  <c r="AC14"/>
  <c r="W14"/>
  <c r="AC12"/>
  <c r="W12"/>
  <c r="U15"/>
  <c r="AC15"/>
  <c r="W15"/>
  <c r="U16"/>
  <c r="AC16"/>
  <c r="W16"/>
  <c r="U18"/>
  <c r="AC18"/>
  <c r="W18"/>
  <c r="U19"/>
  <c r="AC19"/>
  <c r="W19"/>
  <c r="U20"/>
  <c r="AC20"/>
  <c r="W20"/>
  <c r="U21"/>
  <c r="AC21"/>
  <c r="W21"/>
  <c r="U22"/>
  <c r="AC22"/>
  <c r="W22"/>
  <c r="U23"/>
  <c r="AC23"/>
  <c r="W23"/>
  <c r="U24"/>
  <c r="AC24"/>
  <c r="W24"/>
  <c r="U25"/>
  <c r="AC25"/>
  <c r="W25"/>
  <c r="U26"/>
  <c r="AC26"/>
  <c r="W26"/>
  <c r="U31"/>
  <c r="AC31"/>
  <c r="W31"/>
  <c r="U36"/>
  <c r="AC36"/>
  <c r="W36"/>
  <c r="U37"/>
  <c r="AC37"/>
  <c r="W37"/>
  <c r="U38"/>
  <c r="AC38"/>
  <c r="W38"/>
  <c r="U39"/>
  <c r="AC39"/>
  <c r="W39"/>
  <c r="R40"/>
  <c r="U40"/>
  <c r="AC40"/>
  <c r="W40"/>
  <c r="W7"/>
  <c r="AI6"/>
  <c r="X7"/>
  <c r="AI7"/>
  <c r="Y7"/>
  <c r="AI8"/>
  <c r="Z27"/>
  <c r="Z28"/>
  <c r="Z29"/>
  <c r="Z30"/>
  <c r="Z32"/>
  <c r="Z33"/>
  <c r="Z34"/>
  <c r="Z35"/>
  <c r="Z17"/>
  <c r="Z10"/>
  <c r="Z11"/>
  <c r="Z13"/>
  <c r="Z14"/>
  <c r="Z12"/>
  <c r="Z15"/>
  <c r="Z16"/>
  <c r="Z18"/>
  <c r="Z19"/>
  <c r="Z20"/>
  <c r="Z21"/>
  <c r="Z22"/>
  <c r="Z23"/>
  <c r="Z24"/>
  <c r="Z25"/>
  <c r="Z26"/>
  <c r="Z31"/>
  <c r="Z36"/>
  <c r="Z37"/>
  <c r="Z38"/>
  <c r="Z39"/>
  <c r="Z40"/>
  <c r="Z7"/>
  <c r="AA27"/>
  <c r="AA28"/>
  <c r="AA29"/>
  <c r="AA30"/>
  <c r="AA32"/>
  <c r="AA33"/>
  <c r="AA34"/>
  <c r="AA35"/>
  <c r="AA17"/>
  <c r="AA10"/>
  <c r="AA11"/>
  <c r="AA13"/>
  <c r="AA14"/>
  <c r="AA12"/>
  <c r="AA15"/>
  <c r="AA16"/>
  <c r="AA18"/>
  <c r="AA19"/>
  <c r="AA20"/>
  <c r="AA21"/>
  <c r="AA22"/>
  <c r="AA23"/>
  <c r="AA24"/>
  <c r="AA25"/>
  <c r="AA26"/>
  <c r="AA31"/>
  <c r="AA36"/>
  <c r="AA37"/>
  <c r="AA38"/>
  <c r="AA39"/>
  <c r="AA40"/>
  <c r="AA7"/>
  <c r="Z5"/>
  <c r="AI9"/>
  <c r="AI10"/>
  <c r="N13"/>
  <c r="N10"/>
  <c r="N11"/>
  <c r="N1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I41"/>
  <c r="L16"/>
  <c r="L17"/>
  <c r="L18"/>
  <c r="L19"/>
  <c r="L20"/>
  <c r="L21"/>
  <c r="L10"/>
  <c r="L11"/>
  <c r="L12"/>
  <c r="L13"/>
  <c r="L14"/>
  <c r="L15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AI16"/>
  <c r="L9"/>
  <c r="AJ22"/>
  <c r="AJ23"/>
  <c r="AJ24"/>
  <c r="S15" i="13"/>
  <c r="V23"/>
  <c r="V22"/>
  <c r="V21"/>
  <c r="V20"/>
  <c r="E3" i="40"/>
  <c r="AH24"/>
  <c r="AH23"/>
  <c r="AH22"/>
  <c r="AH2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AF38"/>
  <c r="J21" i="54"/>
  <c r="L21"/>
  <c r="AF36" i="40"/>
  <c r="J20" i="54"/>
  <c r="L20"/>
  <c r="AF10" i="40"/>
  <c r="J9" i="54"/>
  <c r="AF12" i="40"/>
  <c r="J10" i="54"/>
  <c r="L10"/>
  <c r="L9"/>
  <c r="L22"/>
  <c r="G42"/>
  <c r="G40"/>
  <c r="AF34" i="40"/>
  <c r="G38" i="54"/>
  <c r="AF32" i="40"/>
  <c r="G36" i="54"/>
  <c r="AF30" i="40"/>
  <c r="G34" i="54"/>
  <c r="G16"/>
  <c r="G14"/>
  <c r="AF6" i="40"/>
  <c r="G10" i="54"/>
  <c r="AF8" i="40"/>
  <c r="AF4"/>
  <c r="G8" i="54"/>
  <c r="AI17" i="40"/>
  <c r="AC41"/>
  <c r="AB41"/>
  <c r="X41"/>
  <c r="W41"/>
  <c r="V41"/>
  <c r="U41"/>
  <c r="T41"/>
  <c r="S41"/>
  <c r="R41"/>
  <c r="Q41"/>
  <c r="P41"/>
  <c r="M41"/>
  <c r="K41"/>
  <c r="J41"/>
  <c r="H41"/>
  <c r="G41"/>
  <c r="F41"/>
  <c r="E41"/>
  <c r="D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Z9"/>
  <c r="Y26"/>
  <c r="X26"/>
  <c r="Y25"/>
  <c r="X25"/>
  <c r="Y24"/>
  <c r="X24"/>
  <c r="Y23"/>
  <c r="X23"/>
  <c r="Y22"/>
  <c r="X22"/>
  <c r="Y21"/>
  <c r="X21"/>
  <c r="Y20"/>
  <c r="X20"/>
  <c r="Y19"/>
  <c r="X19"/>
  <c r="AK16"/>
  <c r="AK17"/>
  <c r="AK18"/>
  <c r="Y18"/>
  <c r="X18"/>
  <c r="Y17"/>
  <c r="X17"/>
  <c r="Y16"/>
  <c r="X16"/>
  <c r="Y15"/>
  <c r="X15"/>
  <c r="Y14"/>
  <c r="X14"/>
  <c r="Y13"/>
  <c r="X13"/>
  <c r="AK8"/>
  <c r="Y12"/>
  <c r="X12"/>
  <c r="Y11"/>
  <c r="X11"/>
  <c r="Y10"/>
  <c r="X10"/>
  <c r="AB9"/>
  <c r="X9"/>
  <c r="V9"/>
  <c r="M9"/>
  <c r="AC7"/>
  <c r="AB7"/>
  <c r="U7"/>
  <c r="T7"/>
  <c r="S7"/>
  <c r="R7"/>
  <c r="Q7"/>
  <c r="P7"/>
  <c r="D6"/>
  <c r="AB5"/>
  <c r="V5"/>
  <c r="M1" i="13"/>
  <c r="Y41" i="40"/>
  <c r="Z41"/>
  <c r="AA41"/>
  <c r="X5"/>
  <c r="AK6"/>
  <c r="AK7"/>
  <c r="AI11"/>
  <c r="AF14"/>
  <c r="AF16"/>
  <c r="G20" i="54"/>
  <c r="AF22" i="40"/>
  <c r="AF28"/>
  <c r="AF26"/>
  <c r="AF24"/>
  <c r="AK5"/>
  <c r="AK9"/>
  <c r="AK10"/>
  <c r="AK12"/>
  <c r="AF18"/>
  <c r="J11" i="54"/>
  <c r="L11"/>
  <c r="AF20" i="40"/>
  <c r="J12" i="54"/>
  <c r="L12"/>
  <c r="J13"/>
  <c r="L13"/>
  <c r="J14"/>
  <c r="L14"/>
  <c r="L16"/>
  <c r="G28"/>
  <c r="G30"/>
  <c r="G32"/>
  <c r="G26"/>
  <c r="G24"/>
  <c r="G22"/>
  <c r="G18"/>
  <c r="G12"/>
  <c r="J15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<sst xmlns="http://schemas.openxmlformats.org/spreadsheetml/2006/main" count="193" uniqueCount="132">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</sst>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</numFmts>
  <fonts count="8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</fills>
  <borders count="19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/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/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48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8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45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4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9" fillId="15" borderId="3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/>
    </xf>
    <xf numFmtId="0" fontId="25" fillId="15" borderId="3" xfId="0" applyFont="1" applyFill="1" applyBorder="1" applyAlignment="1">
      <alignment vertical="center"/>
    </xf>
    <xf numFmtId="164" fontId="42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20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9" fillId="15" borderId="0" xfId="0" applyFont="1" applyFill="1" applyBorder="1" applyAlignment="1">
      <alignment vertical="center"/>
    </xf>
    <xf numFmtId="0" fontId="47" fillId="15" borderId="0" xfId="0" applyFont="1" applyFill="1" applyBorder="1" applyAlignment="1">
      <alignment horizontal="center" vertical="center"/>
    </xf>
    <xf numFmtId="0" fontId="34" fillId="15" borderId="0" xfId="0" applyFont="1" applyFill="1"/>
    <xf numFmtId="0" fontId="26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30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1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8" fillId="15" borderId="0" xfId="0" applyFont="1" applyFill="1" applyBorder="1" applyAlignment="1">
      <alignment vertical="center"/>
    </xf>
    <xf numFmtId="167" fontId="41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vertical="center"/>
    </xf>
    <xf numFmtId="0" fontId="9" fillId="15" borderId="0" xfId="0" applyFont="1" applyFill="1"/>
    <xf numFmtId="20" fontId="47" fillId="12" borderId="45" xfId="0" applyNumberFormat="1" applyFont="1" applyFill="1" applyBorder="1" applyAlignment="1">
      <alignment horizontal="center" vertical="center"/>
    </xf>
    <xf numFmtId="20" fontId="47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7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7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7" fillId="12" borderId="54" xfId="0" applyFont="1" applyFill="1" applyBorder="1" applyAlignment="1">
      <alignment horizontal="center" vertical="center"/>
    </xf>
    <xf numFmtId="0" fontId="47" fillId="12" borderId="44" xfId="0" applyFont="1" applyFill="1" applyBorder="1" applyAlignment="1">
      <alignment horizontal="center" vertical="center"/>
    </xf>
    <xf numFmtId="0" fontId="47" fillId="12" borderId="55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169" fontId="32" fillId="13" borderId="44" xfId="0" applyNumberFormat="1" applyFont="1" applyFill="1" applyBorder="1" applyAlignment="1">
      <alignment horizontal="center" vertical="center"/>
    </xf>
    <xf numFmtId="169" fontId="32" fillId="13" borderId="55" xfId="0" applyNumberFormat="1" applyFont="1" applyFill="1" applyBorder="1" applyAlignment="1">
      <alignment horizontal="center" vertical="center"/>
    </xf>
    <xf numFmtId="169" fontId="28" fillId="13" borderId="57" xfId="0" applyNumberFormat="1" applyFont="1" applyFill="1" applyBorder="1" applyAlignment="1">
      <alignment horizontal="center" vertical="center"/>
    </xf>
    <xf numFmtId="169" fontId="28" fillId="13" borderId="58" xfId="0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4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7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40" fillId="19" borderId="39" xfId="0" applyFont="1" applyFill="1" applyBorder="1" applyAlignment="1">
      <alignment horizontal="center" vertical="center"/>
    </xf>
    <xf numFmtId="0" fontId="39" fillId="19" borderId="40" xfId="0" applyFont="1" applyFill="1" applyBorder="1" applyAlignment="1">
      <alignment horizontal="center" vertical="center"/>
    </xf>
    <xf numFmtId="0" fontId="39" fillId="19" borderId="41" xfId="0" applyFont="1" applyFill="1" applyBorder="1" applyAlignment="1">
      <alignment horizontal="center" vertical="center"/>
    </xf>
    <xf numFmtId="2" fontId="38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7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3" fillId="12" borderId="55" xfId="0" applyFont="1" applyFill="1" applyBorder="1" applyAlignment="1">
      <alignment horizontal="center" vertical="center"/>
    </xf>
    <xf numFmtId="169" fontId="53" fillId="12" borderId="55" xfId="0" applyNumberFormat="1" applyFont="1" applyFill="1" applyBorder="1" applyAlignment="1">
      <alignment horizontal="center" vertical="center"/>
    </xf>
    <xf numFmtId="167" fontId="53" fillId="12" borderId="55" xfId="0" applyNumberFormat="1" applyFont="1" applyFill="1" applyBorder="1" applyAlignment="1">
      <alignment horizontal="center" vertical="center"/>
    </xf>
    <xf numFmtId="0" fontId="39" fillId="14" borderId="54" xfId="0" applyFont="1" applyFill="1" applyBorder="1" applyAlignment="1">
      <alignment horizontal="center" vertical="center"/>
    </xf>
    <xf numFmtId="0" fontId="53" fillId="14" borderId="55" xfId="0" applyNumberFormat="1" applyFont="1" applyFill="1" applyBorder="1" applyAlignment="1">
      <alignment horizontal="center" vertical="center"/>
    </xf>
    <xf numFmtId="169" fontId="53" fillId="14" borderId="55" xfId="0" applyNumberFormat="1" applyFont="1" applyFill="1" applyBorder="1" applyAlignment="1">
      <alignment horizontal="center" vertical="center"/>
    </xf>
    <xf numFmtId="0" fontId="53" fillId="12" borderId="55" xfId="0" applyNumberFormat="1" applyFont="1" applyFill="1" applyBorder="1" applyAlignment="1">
      <alignment horizontal="center" vertical="center"/>
    </xf>
    <xf numFmtId="171" fontId="53" fillId="14" borderId="55" xfId="0" applyNumberFormat="1" applyFont="1" applyFill="1" applyBorder="1" applyAlignment="1">
      <alignment horizontal="center" vertical="center"/>
    </xf>
    <xf numFmtId="171" fontId="53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8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7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40" fillId="14" borderId="39" xfId="0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39" fillId="14" borderId="41" xfId="0" applyFont="1" applyFill="1" applyBorder="1" applyAlignment="1">
      <alignment horizontal="center" vertical="center"/>
    </xf>
    <xf numFmtId="0" fontId="43" fillId="0" borderId="7" xfId="0" applyNumberFormat="1" applyFont="1" applyBorder="1" applyAlignment="1" applyProtection="1">
      <alignment horizontal="center" vertical="center"/>
      <protection locked="0"/>
    </xf>
    <xf numFmtId="0" fontId="43" fillId="0" borderId="6" xfId="0" applyFont="1" applyBorder="1" applyAlignment="1" applyProtection="1">
      <alignment horizontal="center" vertical="center"/>
      <protection locked="0"/>
    </xf>
    <xf numFmtId="0" fontId="43" fillId="0" borderId="23" xfId="0" applyFont="1" applyBorder="1" applyAlignment="1" applyProtection="1">
      <alignment horizontal="center" vertical="center"/>
      <protection locked="0"/>
    </xf>
    <xf numFmtId="0" fontId="43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89" xfId="0" applyNumberFormat="1" applyFont="1" applyFill="1" applyBorder="1" applyAlignment="1" applyProtection="1">
      <alignment horizontal="center" vertical="center"/>
      <protection locked="0"/>
    </xf>
    <xf numFmtId="169" fontId="1" fillId="0" borderId="89" xfId="0" applyNumberFormat="1" applyFont="1" applyBorder="1" applyAlignment="1" applyProtection="1">
      <alignment horizontal="center" vertical="center"/>
      <protection locked="0"/>
    </xf>
    <xf numFmtId="164" fontId="1" fillId="3" borderId="92" xfId="0" applyNumberFormat="1" applyFont="1" applyFill="1" applyBorder="1" applyAlignment="1" applyProtection="1">
      <alignment horizontal="center" vertical="center"/>
      <protection locked="0"/>
    </xf>
    <xf numFmtId="169" fontId="1" fillId="0" borderId="92" xfId="0" applyNumberFormat="1" applyFont="1" applyBorder="1" applyAlignment="1" applyProtection="1">
      <alignment horizontal="center" vertical="center"/>
      <protection locked="0"/>
    </xf>
    <xf numFmtId="171" fontId="65" fillId="6" borderId="90" xfId="0" applyNumberFormat="1" applyFont="1" applyFill="1" applyBorder="1" applyAlignment="1" applyProtection="1">
      <alignment horizontal="center" vertical="center"/>
      <protection locked="0"/>
    </xf>
    <xf numFmtId="169" fontId="65" fillId="6" borderId="65" xfId="0" applyNumberFormat="1" applyFont="1" applyFill="1" applyBorder="1" applyAlignment="1" applyProtection="1">
      <alignment horizontal="center" vertical="center"/>
      <protection locked="0"/>
    </xf>
    <xf numFmtId="171" fontId="65" fillId="6" borderId="93" xfId="0" applyNumberFormat="1" applyFont="1" applyFill="1" applyBorder="1" applyAlignment="1" applyProtection="1">
      <alignment horizontal="center" vertical="center"/>
      <protection locked="0"/>
    </xf>
    <xf numFmtId="169" fontId="65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96" xfId="0" applyFont="1" applyFill="1" applyBorder="1" applyAlignment="1" applyProtection="1">
      <alignment horizontal="center" vertical="center"/>
      <protection locked="0"/>
    </xf>
    <xf numFmtId="0" fontId="4" fillId="3" borderId="99" xfId="0" applyFont="1" applyFill="1" applyBorder="1" applyAlignment="1" applyProtection="1">
      <alignment horizontal="center" vertical="center"/>
      <protection locked="0"/>
    </xf>
    <xf numFmtId="0" fontId="40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9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3" fillId="24" borderId="0" xfId="0" applyFont="1" applyFill="1" applyBorder="1" applyAlignment="1">
      <alignment vertical="center"/>
    </xf>
    <xf numFmtId="0" fontId="73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40" fillId="16" borderId="0" xfId="0" applyFont="1" applyFill="1"/>
    <xf numFmtId="20" fontId="0" fillId="15" borderId="0" xfId="0" applyNumberFormat="1" applyFill="1"/>
    <xf numFmtId="0" fontId="19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70" fillId="15" borderId="0" xfId="0" applyFont="1" applyFill="1" applyBorder="1" applyAlignment="1">
      <alignment vertical="center"/>
    </xf>
    <xf numFmtId="0" fontId="71" fillId="15" borderId="0" xfId="0" applyFont="1" applyFill="1" applyBorder="1" applyAlignment="1" applyProtection="1">
      <alignment horizontal="center" vertical="center"/>
      <protection locked="0"/>
    </xf>
    <xf numFmtId="0" fontId="58" fillId="15" borderId="0" xfId="0" applyFont="1" applyFill="1" applyBorder="1" applyAlignment="1">
      <alignment vertical="center"/>
    </xf>
    <xf numFmtId="172" fontId="1" fillId="0" borderId="88" xfId="0" applyNumberFormat="1" applyFont="1" applyFill="1" applyBorder="1" applyAlignment="1">
      <alignment horizontal="center" vertical="center"/>
    </xf>
    <xf numFmtId="172" fontId="1" fillId="0" borderId="91" xfId="0" applyNumberFormat="1" applyFont="1" applyFill="1" applyBorder="1" applyAlignment="1">
      <alignment horizontal="center" vertical="center"/>
    </xf>
    <xf numFmtId="0" fontId="6" fillId="3" borderId="132" xfId="0" applyFont="1" applyFill="1" applyBorder="1" applyAlignment="1">
      <alignment horizontal="center" vertical="center"/>
    </xf>
    <xf numFmtId="0" fontId="69" fillId="29" borderId="137" xfId="0" applyFont="1" applyFill="1" applyBorder="1" applyAlignment="1">
      <alignment horizontal="center" vertical="center"/>
    </xf>
    <xf numFmtId="0" fontId="6" fillId="3" borderId="131" xfId="0" applyFont="1" applyFill="1" applyBorder="1" applyAlignment="1">
      <alignment horizontal="center" vertical="center"/>
    </xf>
    <xf numFmtId="0" fontId="69" fillId="29" borderId="138" xfId="0" applyFont="1" applyFill="1" applyBorder="1" applyAlignment="1">
      <alignment horizontal="center" vertical="center"/>
    </xf>
    <xf numFmtId="0" fontId="6" fillId="3" borderId="133" xfId="0" applyFont="1" applyFill="1" applyBorder="1" applyAlignment="1">
      <alignment horizontal="center" vertical="center"/>
    </xf>
    <xf numFmtId="0" fontId="69" fillId="29" borderId="139" xfId="0" applyFont="1" applyFill="1" applyBorder="1" applyAlignment="1">
      <alignment horizontal="center" vertical="center"/>
    </xf>
    <xf numFmtId="0" fontId="72" fillId="15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5" fillId="15" borderId="0" xfId="0" applyFont="1" applyFill="1" applyBorder="1" applyAlignment="1">
      <alignment vertical="center"/>
    </xf>
    <xf numFmtId="172" fontId="19" fillId="2" borderId="111" xfId="0" applyNumberFormat="1" applyFont="1" applyFill="1" applyBorder="1" applyAlignment="1">
      <alignment horizontal="center" vertical="center"/>
    </xf>
    <xf numFmtId="172" fontId="19" fillId="2" borderId="112" xfId="0" applyNumberFormat="1" applyFont="1" applyFill="1" applyBorder="1" applyAlignment="1">
      <alignment horizontal="center" vertical="center"/>
    </xf>
    <xf numFmtId="172" fontId="19" fillId="2" borderId="113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111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1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4" fillId="15" borderId="0" xfId="0" applyFont="1" applyFill="1" applyBorder="1" applyAlignment="1">
      <alignment vertical="center"/>
    </xf>
    <xf numFmtId="0" fontId="47" fillId="12" borderId="160" xfId="0" applyFont="1" applyFill="1" applyBorder="1" applyAlignment="1">
      <alignment horizontal="center" vertical="center"/>
    </xf>
    <xf numFmtId="0" fontId="12" fillId="12" borderId="162" xfId="0" applyFont="1" applyFill="1" applyBorder="1" applyAlignment="1">
      <alignment horizontal="center" vertical="center"/>
    </xf>
    <xf numFmtId="0" fontId="12" fillId="12" borderId="163" xfId="0" applyFont="1" applyFill="1" applyBorder="1" applyAlignment="1">
      <alignment horizontal="center" vertical="center"/>
    </xf>
    <xf numFmtId="0" fontId="50" fillId="12" borderId="59" xfId="0" applyFont="1" applyFill="1" applyBorder="1" applyAlignment="1">
      <alignment horizontal="center" vertical="center"/>
    </xf>
    <xf numFmtId="0" fontId="56" fillId="17" borderId="57" xfId="0" applyFont="1" applyFill="1" applyBorder="1" applyAlignment="1">
      <alignment horizontal="center" vertical="center"/>
    </xf>
    <xf numFmtId="0" fontId="51" fillId="12" borderId="164" xfId="0" applyFont="1" applyFill="1" applyBorder="1" applyAlignment="1">
      <alignment horizontal="center" vertical="center"/>
    </xf>
    <xf numFmtId="0" fontId="51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65" xfId="0" applyNumberFormat="1" applyFont="1" applyFill="1" applyBorder="1" applyAlignment="1">
      <alignment horizontal="center" vertical="center"/>
    </xf>
    <xf numFmtId="0" fontId="2" fillId="12" borderId="166" xfId="0" applyFont="1" applyFill="1" applyBorder="1" applyAlignment="1">
      <alignment horizontal="center" vertical="center"/>
    </xf>
    <xf numFmtId="0" fontId="43" fillId="12" borderId="56" xfId="0" applyNumberFormat="1" applyFont="1" applyFill="1" applyBorder="1" applyAlignment="1">
      <alignment horizontal="center" vertical="center"/>
    </xf>
    <xf numFmtId="172" fontId="1" fillId="0" borderId="167" xfId="0" applyNumberFormat="1" applyFont="1" applyFill="1" applyBorder="1" applyAlignment="1">
      <alignment horizontal="center" vertical="center"/>
    </xf>
    <xf numFmtId="164" fontId="1" fillId="3" borderId="168" xfId="0" applyNumberFormat="1" applyFont="1" applyFill="1" applyBorder="1" applyAlignment="1" applyProtection="1">
      <alignment horizontal="center" vertical="center"/>
      <protection locked="0"/>
    </xf>
    <xf numFmtId="169" fontId="1" fillId="0" borderId="168" xfId="0" applyNumberFormat="1" applyFont="1" applyBorder="1" applyAlignment="1" applyProtection="1">
      <alignment horizontal="center" vertical="center"/>
      <protection locked="0"/>
    </xf>
    <xf numFmtId="171" fontId="65" fillId="6" borderId="169" xfId="0" applyNumberFormat="1" applyFont="1" applyFill="1" applyBorder="1" applyAlignment="1" applyProtection="1">
      <alignment horizontal="center" vertical="center"/>
      <protection locked="0"/>
    </xf>
    <xf numFmtId="169" fontId="65" fillId="6" borderId="170" xfId="0" applyNumberFormat="1" applyFont="1" applyFill="1" applyBorder="1" applyAlignment="1" applyProtection="1">
      <alignment horizontal="center" vertical="center"/>
      <protection locked="0"/>
    </xf>
    <xf numFmtId="0" fontId="4" fillId="3" borderId="174" xfId="0" applyFont="1" applyFill="1" applyBorder="1" applyAlignment="1" applyProtection="1">
      <alignment horizontal="center" vertical="center"/>
      <protection locked="0"/>
    </xf>
    <xf numFmtId="0" fontId="53" fillId="12" borderId="57" xfId="0" applyNumberFormat="1" applyFont="1" applyFill="1" applyBorder="1" applyAlignment="1">
      <alignment horizontal="center" vertical="center"/>
    </xf>
    <xf numFmtId="170" fontId="53" fillId="12" borderId="57" xfId="0" applyNumberFormat="1" applyFont="1" applyFill="1" applyBorder="1" applyAlignment="1">
      <alignment horizontal="center" vertical="center"/>
    </xf>
    <xf numFmtId="174" fontId="53" fillId="12" borderId="57" xfId="0" applyNumberFormat="1" applyFont="1" applyFill="1" applyBorder="1" applyAlignment="1">
      <alignment horizontal="center" vertical="center"/>
    </xf>
    <xf numFmtId="0" fontId="53" fillId="12" borderId="58" xfId="0" applyNumberFormat="1" applyFont="1" applyFill="1" applyBorder="1" applyAlignment="1">
      <alignment horizontal="center" vertical="center"/>
    </xf>
    <xf numFmtId="170" fontId="53" fillId="12" borderId="56" xfId="0" applyNumberFormat="1" applyFont="1" applyFill="1" applyBorder="1" applyAlignment="1">
      <alignment horizontal="center" vertical="center"/>
    </xf>
    <xf numFmtId="170" fontId="53" fillId="12" borderId="58" xfId="0" applyNumberFormat="1" applyFont="1" applyFill="1" applyBorder="1" applyAlignment="1">
      <alignment horizontal="center" vertical="center"/>
    </xf>
    <xf numFmtId="168" fontId="53" fillId="12" borderId="56" xfId="0" applyNumberFormat="1" applyFont="1" applyFill="1" applyBorder="1" applyAlignment="1">
      <alignment horizontal="center" vertical="center"/>
    </xf>
    <xf numFmtId="0" fontId="5" fillId="12" borderId="185" xfId="0" applyFont="1" applyFill="1" applyBorder="1" applyAlignment="1">
      <alignment horizontal="center" vertical="center"/>
    </xf>
    <xf numFmtId="168" fontId="56" fillId="17" borderId="161" xfId="0" applyNumberFormat="1" applyFont="1" applyFill="1" applyBorder="1" applyAlignment="1">
      <alignment horizontal="center" vertical="center"/>
    </xf>
    <xf numFmtId="168" fontId="18" fillId="11" borderId="95" xfId="4" applyNumberFormat="1" applyFont="1" applyFill="1" applyBorder="1" applyAlignment="1">
      <alignment horizontal="center" vertical="center"/>
    </xf>
    <xf numFmtId="168" fontId="18" fillId="11" borderId="98" xfId="4" applyNumberFormat="1" applyFont="1" applyFill="1" applyBorder="1" applyAlignment="1">
      <alignment horizontal="center" vertical="center"/>
    </xf>
    <xf numFmtId="168" fontId="18" fillId="11" borderId="173" xfId="4" applyNumberFormat="1" applyFont="1" applyFill="1" applyBorder="1" applyAlignment="1">
      <alignment horizontal="center" vertical="center"/>
    </xf>
    <xf numFmtId="168" fontId="53" fillId="12" borderId="57" xfId="0" applyNumberFormat="1" applyFont="1" applyFill="1" applyBorder="1" applyAlignment="1">
      <alignment horizontal="center" vertical="center"/>
    </xf>
    <xf numFmtId="168" fontId="53" fillId="12" borderId="183" xfId="0" applyNumberFormat="1" applyFont="1" applyFill="1" applyBorder="1" applyAlignment="1">
      <alignment horizontal="center" vertical="center"/>
    </xf>
    <xf numFmtId="168" fontId="53" fillId="12" borderId="184" xfId="0" applyNumberFormat="1" applyFont="1" applyFill="1" applyBorder="1" applyAlignment="1">
      <alignment horizontal="center" vertical="center"/>
    </xf>
    <xf numFmtId="168" fontId="53" fillId="12" borderId="55" xfId="0" applyNumberFormat="1" applyFont="1" applyFill="1" applyBorder="1" applyAlignment="1">
      <alignment horizontal="center" vertical="center"/>
    </xf>
    <xf numFmtId="168" fontId="53" fillId="14" borderId="55" xfId="0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70" fontId="15" fillId="13" borderId="68" xfId="4" applyNumberFormat="1" applyFont="1" applyFill="1" applyBorder="1" applyAlignment="1">
      <alignment horizontal="center" vertical="center"/>
    </xf>
    <xf numFmtId="170" fontId="15" fillId="13" borderId="69" xfId="4" applyNumberFormat="1" applyFont="1" applyFill="1" applyBorder="1" applyAlignment="1">
      <alignment horizontal="center" vertical="center"/>
    </xf>
    <xf numFmtId="170" fontId="3" fillId="13" borderId="68" xfId="0" applyNumberFormat="1" applyFont="1" applyFill="1" applyBorder="1" applyAlignment="1">
      <alignment horizontal="center" vertical="center"/>
    </xf>
    <xf numFmtId="170" fontId="3" fillId="13" borderId="69" xfId="0" applyNumberFormat="1" applyFont="1" applyFill="1" applyBorder="1" applyAlignment="1">
      <alignment horizontal="center" vertical="center"/>
    </xf>
    <xf numFmtId="170" fontId="15" fillId="13" borderId="72" xfId="4" applyNumberFormat="1" applyFont="1" applyFill="1" applyBorder="1" applyAlignment="1">
      <alignment horizontal="center" vertical="center"/>
    </xf>
    <xf numFmtId="170" fontId="15" fillId="13" borderId="73" xfId="4" applyNumberFormat="1" applyFont="1" applyFill="1" applyBorder="1" applyAlignment="1">
      <alignment horizontal="center" vertical="center"/>
    </xf>
    <xf numFmtId="170" fontId="3" fillId="13" borderId="72" xfId="0" applyNumberFormat="1" applyFont="1" applyFill="1" applyBorder="1" applyAlignment="1">
      <alignment horizontal="center" vertical="center"/>
    </xf>
    <xf numFmtId="170" fontId="3" fillId="13" borderId="73" xfId="0" applyNumberFormat="1" applyFont="1" applyFill="1" applyBorder="1" applyAlignment="1">
      <alignment horizontal="center" vertical="center"/>
    </xf>
    <xf numFmtId="170" fontId="15" fillId="13" borderId="178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3" fillId="13" borderId="178" xfId="0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54" fillId="12" borderId="74" xfId="4" applyNumberFormat="1" applyFont="1" applyFill="1" applyBorder="1" applyAlignment="1">
      <alignment horizontal="center" vertical="center"/>
    </xf>
    <xf numFmtId="170" fontId="54" fillId="12" borderId="75" xfId="4" applyNumberFormat="1" applyFont="1" applyFill="1" applyBorder="1" applyAlignment="1">
      <alignment horizontal="center" vertical="center"/>
    </xf>
    <xf numFmtId="170" fontId="54" fillId="12" borderId="76" xfId="4" applyNumberFormat="1" applyFont="1" applyFill="1" applyBorder="1" applyAlignment="1">
      <alignment horizontal="center" vertical="center"/>
    </xf>
    <xf numFmtId="170" fontId="54" fillId="12" borderId="77" xfId="4" applyNumberFormat="1" applyFont="1" applyFill="1" applyBorder="1" applyAlignment="1">
      <alignment horizontal="center" vertical="center"/>
    </xf>
    <xf numFmtId="170" fontId="54" fillId="12" borderId="181" xfId="4" applyNumberFormat="1" applyFont="1" applyFill="1" applyBorder="1" applyAlignment="1">
      <alignment horizontal="center" vertical="center"/>
    </xf>
    <xf numFmtId="170" fontId="54" fillId="12" borderId="182" xfId="4" applyNumberFormat="1" applyFont="1" applyFill="1" applyBorder="1" applyAlignment="1">
      <alignment horizontal="center" vertical="center"/>
    </xf>
    <xf numFmtId="170" fontId="80" fillId="17" borderId="68" xfId="4" applyNumberFormat="1" applyFont="1" applyFill="1" applyBorder="1" applyAlignment="1">
      <alignment horizontal="center" vertical="center"/>
    </xf>
    <xf numFmtId="170" fontId="80" fillId="17" borderId="69" xfId="4" applyNumberFormat="1" applyFont="1" applyFill="1" applyBorder="1" applyAlignment="1">
      <alignment horizontal="center" vertical="center"/>
    </xf>
    <xf numFmtId="170" fontId="80" fillId="17" borderId="72" xfId="4" applyNumberFormat="1" applyFont="1" applyFill="1" applyBorder="1" applyAlignment="1">
      <alignment horizontal="center" vertical="center"/>
    </xf>
    <xf numFmtId="170" fontId="80" fillId="17" borderId="73" xfId="4" applyNumberFormat="1" applyFont="1" applyFill="1" applyBorder="1" applyAlignment="1">
      <alignment horizontal="center" vertical="center"/>
    </xf>
    <xf numFmtId="170" fontId="80" fillId="17" borderId="178" xfId="4" applyNumberFormat="1" applyFont="1" applyFill="1" applyBorder="1" applyAlignment="1">
      <alignment horizontal="center" vertical="center"/>
    </xf>
    <xf numFmtId="170" fontId="80" fillId="17" borderId="180" xfId="4" applyNumberFormat="1" applyFont="1" applyFill="1" applyBorder="1" applyAlignment="1">
      <alignment horizontal="center" vertical="center"/>
    </xf>
    <xf numFmtId="174" fontId="1" fillId="6" borderId="158" xfId="0" applyNumberFormat="1" applyFont="1" applyFill="1" applyBorder="1" applyAlignment="1">
      <alignment horizontal="center" vertical="center"/>
    </xf>
    <xf numFmtId="171" fontId="1" fillId="6" borderId="94" xfId="0" applyNumberFormat="1" applyFont="1" applyFill="1" applyBorder="1" applyAlignment="1">
      <alignment horizontal="center" vertical="center"/>
    </xf>
    <xf numFmtId="174" fontId="1" fillId="6" borderId="159" xfId="0" applyNumberFormat="1" applyFont="1" applyFill="1" applyBorder="1" applyAlignment="1">
      <alignment horizontal="center" vertical="center"/>
    </xf>
    <xf numFmtId="171" fontId="1" fillId="6" borderId="97" xfId="0" applyNumberFormat="1" applyFont="1" applyFill="1" applyBorder="1" applyAlignment="1">
      <alignment horizontal="center" vertical="center"/>
    </xf>
    <xf numFmtId="174" fontId="1" fillId="6" borderId="171" xfId="0" applyNumberFormat="1" applyFont="1" applyFill="1" applyBorder="1" applyAlignment="1">
      <alignment horizontal="center" vertical="center"/>
    </xf>
    <xf numFmtId="171" fontId="1" fillId="6" borderId="172" xfId="0" applyNumberFormat="1" applyFont="1" applyFill="1" applyBorder="1" applyAlignment="1">
      <alignment horizontal="center" vertical="center"/>
    </xf>
    <xf numFmtId="44" fontId="38" fillId="0" borderId="24" xfId="0" applyNumberFormat="1" applyFont="1" applyBorder="1" applyAlignment="1">
      <alignment horizontal="center" vertical="center"/>
    </xf>
    <xf numFmtId="44" fontId="44" fillId="3" borderId="31" xfId="0" applyNumberFormat="1" applyFont="1" applyFill="1" applyBorder="1" applyAlignment="1">
      <alignment horizontal="center" vertical="center"/>
    </xf>
    <xf numFmtId="44" fontId="38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7" fillId="14" borderId="187" xfId="0" applyFont="1" applyFill="1" applyBorder="1" applyAlignment="1">
      <alignment horizontal="center" vertical="center"/>
    </xf>
    <xf numFmtId="165" fontId="60" fillId="12" borderId="186" xfId="0" applyNumberFormat="1" applyFont="1" applyFill="1" applyBorder="1" applyAlignment="1" applyProtection="1">
      <alignment horizontal="center" vertical="center"/>
      <protection locked="0"/>
    </xf>
    <xf numFmtId="167" fontId="25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7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53" fillId="12" borderId="57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4" fillId="5" borderId="188" xfId="0" applyNumberFormat="1" applyFont="1" applyFill="1" applyBorder="1" applyAlignment="1">
      <alignment horizontal="center" vertical="center"/>
    </xf>
    <xf numFmtId="167" fontId="84" fillId="5" borderId="189" xfId="0" applyNumberFormat="1" applyFont="1" applyFill="1" applyBorder="1" applyAlignment="1">
      <alignment horizontal="center" vertical="center"/>
    </xf>
    <xf numFmtId="167" fontId="84" fillId="5" borderId="190" xfId="0" applyNumberFormat="1" applyFont="1" applyFill="1" applyBorder="1" applyAlignment="1">
      <alignment horizontal="center" vertical="center"/>
    </xf>
    <xf numFmtId="168" fontId="59" fillId="18" borderId="87" xfId="0" applyNumberFormat="1" applyFont="1" applyFill="1" applyBorder="1" applyAlignment="1">
      <alignment horizontal="center" vertical="center"/>
    </xf>
    <xf numFmtId="168" fontId="59" fillId="18" borderId="175" xfId="0" applyNumberFormat="1" applyFont="1" applyFill="1" applyBorder="1" applyAlignment="1">
      <alignment horizontal="center" vertical="center"/>
    </xf>
    <xf numFmtId="169" fontId="52" fillId="17" borderId="54" xfId="0" applyNumberFormat="1" applyFont="1" applyFill="1" applyBorder="1" applyAlignment="1">
      <alignment horizontal="center" vertical="center"/>
    </xf>
    <xf numFmtId="169" fontId="52" fillId="17" borderId="44" xfId="0" applyNumberFormat="1" applyFont="1" applyFill="1" applyBorder="1" applyAlignment="1">
      <alignment horizontal="center" vertical="center"/>
    </xf>
    <xf numFmtId="169" fontId="52" fillId="17" borderId="55" xfId="0" applyNumberFormat="1" applyFont="1" applyFill="1" applyBorder="1" applyAlignment="1">
      <alignment horizontal="center" vertical="center"/>
    </xf>
    <xf numFmtId="169" fontId="32" fillId="13" borderId="54" xfId="0" applyNumberFormat="1" applyFont="1" applyFill="1" applyBorder="1" applyAlignment="1">
      <alignment horizontal="center" vertical="center"/>
    </xf>
    <xf numFmtId="169" fontId="28" fillId="13" borderId="56" xfId="0" applyNumberFormat="1" applyFont="1" applyFill="1" applyBorder="1" applyAlignment="1">
      <alignment horizontal="center" vertical="center"/>
    </xf>
    <xf numFmtId="168" fontId="59" fillId="18" borderId="67" xfId="0" applyNumberFormat="1" applyFont="1" applyFill="1" applyBorder="1" applyAlignment="1">
      <alignment horizontal="center" vertical="center"/>
    </xf>
    <xf numFmtId="168" fontId="59" fillId="18" borderId="68" xfId="0" applyNumberFormat="1" applyFont="1" applyFill="1" applyBorder="1" applyAlignment="1">
      <alignment horizontal="center" vertical="center"/>
    </xf>
    <xf numFmtId="168" fontId="59" fillId="18" borderId="66" xfId="0" applyNumberFormat="1" applyFont="1" applyFill="1" applyBorder="1" applyAlignment="1">
      <alignment horizontal="center" vertical="center"/>
    </xf>
    <xf numFmtId="168" fontId="59" fillId="18" borderId="85" xfId="0" applyNumberFormat="1" applyFont="1" applyFill="1" applyBorder="1" applyAlignment="1">
      <alignment horizontal="center" vertical="center"/>
    </xf>
    <xf numFmtId="168" fontId="59" fillId="18" borderId="71" xfId="0" applyNumberFormat="1" applyFont="1" applyFill="1" applyBorder="1" applyAlignment="1">
      <alignment horizontal="center" vertical="center"/>
    </xf>
    <xf numFmtId="168" fontId="59" fillId="18" borderId="72" xfId="0" applyNumberFormat="1" applyFont="1" applyFill="1" applyBorder="1" applyAlignment="1">
      <alignment horizontal="center" vertical="center"/>
    </xf>
    <xf numFmtId="168" fontId="59" fillId="18" borderId="70" xfId="0" applyNumberFormat="1" applyFont="1" applyFill="1" applyBorder="1" applyAlignment="1">
      <alignment horizontal="center" vertical="center"/>
    </xf>
    <xf numFmtId="168" fontId="59" fillId="18" borderId="176" xfId="0" applyNumberFormat="1" applyFont="1" applyFill="1" applyBorder="1" applyAlignment="1">
      <alignment horizontal="center" vertical="center"/>
    </xf>
    <xf numFmtId="168" fontId="59" fillId="18" borderId="177" xfId="0" applyNumberFormat="1" applyFont="1" applyFill="1" applyBorder="1" applyAlignment="1">
      <alignment horizontal="center" vertical="center"/>
    </xf>
    <xf numFmtId="168" fontId="59" fillId="18" borderId="178" xfId="0" applyNumberFormat="1" applyFont="1" applyFill="1" applyBorder="1" applyAlignment="1">
      <alignment horizontal="center" vertical="center"/>
    </xf>
    <xf numFmtId="168" fontId="59" fillId="18" borderId="179" xfId="0" applyNumberFormat="1" applyFont="1" applyFill="1" applyBorder="1" applyAlignment="1">
      <alignment horizontal="center" vertical="center"/>
    </xf>
    <xf numFmtId="173" fontId="4" fillId="3" borderId="148" xfId="0" applyNumberFormat="1" applyFont="1" applyFill="1" applyBorder="1" applyAlignment="1">
      <alignment horizontal="center" vertical="center"/>
    </xf>
    <xf numFmtId="173" fontId="4" fillId="3" borderId="149" xfId="0" applyNumberFormat="1" applyFont="1" applyFill="1" applyBorder="1" applyAlignment="1">
      <alignment horizontal="center" vertical="center"/>
    </xf>
    <xf numFmtId="0" fontId="6" fillId="3" borderId="142" xfId="0" applyFont="1" applyFill="1" applyBorder="1" applyAlignment="1">
      <alignment horizontal="center" vertical="center"/>
    </xf>
    <xf numFmtId="0" fontId="6" fillId="3" borderId="143" xfId="0" applyFont="1" applyFill="1" applyBorder="1" applyAlignment="1">
      <alignment horizontal="center" vertical="center"/>
    </xf>
    <xf numFmtId="0" fontId="6" fillId="3" borderId="140" xfId="0" applyFont="1" applyFill="1" applyBorder="1" applyAlignment="1">
      <alignment horizontal="center" vertical="center"/>
    </xf>
    <xf numFmtId="0" fontId="6" fillId="3" borderId="141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46" xfId="0" applyNumberFormat="1" applyFont="1" applyFill="1" applyBorder="1" applyAlignment="1">
      <alignment horizontal="center" vertical="center"/>
    </xf>
    <xf numFmtId="173" fontId="4" fillId="3" borderId="147" xfId="0" applyNumberFormat="1" applyFont="1" applyFill="1" applyBorder="1" applyAlignment="1">
      <alignment horizontal="center" vertical="center"/>
    </xf>
    <xf numFmtId="0" fontId="38" fillId="19" borderId="54" xfId="0" applyFont="1" applyFill="1" applyBorder="1" applyAlignment="1">
      <alignment horizontal="center" vertical="center"/>
    </xf>
    <xf numFmtId="0" fontId="38" fillId="19" borderId="55" xfId="0" applyFont="1" applyFill="1" applyBorder="1" applyAlignment="1">
      <alignment horizontal="center" vertical="center"/>
    </xf>
    <xf numFmtId="172" fontId="72" fillId="15" borderId="0" xfId="0" applyNumberFormat="1" applyFont="1" applyFill="1" applyBorder="1" applyAlignment="1">
      <alignment horizontal="left" vertical="center"/>
    </xf>
    <xf numFmtId="0" fontId="55" fillId="17" borderId="57" xfId="0" applyNumberFormat="1" applyFont="1" applyFill="1" applyBorder="1" applyAlignment="1">
      <alignment horizontal="center" vertical="center"/>
    </xf>
    <xf numFmtId="0" fontId="54" fillId="17" borderId="57" xfId="3" applyFont="1" applyFill="1" applyBorder="1" applyAlignment="1">
      <alignment horizontal="center" vertical="center"/>
    </xf>
    <xf numFmtId="0" fontId="54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44" xfId="0" applyFont="1" applyFill="1" applyBorder="1" applyAlignment="1">
      <alignment horizontal="center" vertical="center"/>
    </xf>
    <xf numFmtId="0" fontId="6" fillId="3" borderId="145" xfId="0" applyFont="1" applyFill="1" applyBorder="1" applyAlignment="1">
      <alignment horizontal="center" vertical="center"/>
    </xf>
    <xf numFmtId="173" fontId="4" fillId="3" borderId="150" xfId="0" applyNumberFormat="1" applyFont="1" applyFill="1" applyBorder="1" applyAlignment="1">
      <alignment horizontal="center" vertical="center"/>
    </xf>
    <xf numFmtId="173" fontId="4" fillId="3" borderId="151" xfId="0" applyNumberFormat="1" applyFont="1" applyFill="1" applyBorder="1" applyAlignment="1">
      <alignment horizontal="center" vertical="center"/>
    </xf>
    <xf numFmtId="0" fontId="39" fillId="14" borderId="25" xfId="0" applyFont="1" applyFill="1" applyBorder="1" applyAlignment="1">
      <alignment horizontal="center" vertical="center"/>
    </xf>
    <xf numFmtId="0" fontId="39" fillId="14" borderId="26" xfId="0" applyFont="1" applyFill="1" applyBorder="1" applyAlignment="1">
      <alignment horizontal="center" vertical="center"/>
    </xf>
    <xf numFmtId="0" fontId="39" fillId="14" borderId="27" xfId="0" applyFont="1" applyFill="1" applyBorder="1" applyAlignment="1">
      <alignment horizontal="center" vertical="center"/>
    </xf>
    <xf numFmtId="0" fontId="42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9" fillId="17" borderId="54" xfId="0" applyFont="1" applyFill="1" applyBorder="1" applyAlignment="1">
      <alignment horizontal="center" vertical="center"/>
    </xf>
    <xf numFmtId="0" fontId="19" fillId="17" borderId="55" xfId="0" applyFont="1" applyFill="1" applyBorder="1" applyAlignment="1">
      <alignment horizontal="center" vertical="center"/>
    </xf>
    <xf numFmtId="0" fontId="74" fillId="12" borderId="47" xfId="0" applyNumberFormat="1" applyFont="1" applyFill="1" applyBorder="1" applyAlignment="1">
      <alignment horizontal="center" vertical="center"/>
    </xf>
    <xf numFmtId="0" fontId="74" fillId="12" borderId="48" xfId="0" applyNumberFormat="1" applyFont="1" applyFill="1" applyBorder="1" applyAlignment="1">
      <alignment horizontal="center" vertical="center"/>
    </xf>
    <xf numFmtId="0" fontId="74" fillId="12" borderId="49" xfId="0" applyNumberFormat="1" applyFont="1" applyFill="1" applyBorder="1" applyAlignment="1">
      <alignment horizontal="center" vertical="center"/>
    </xf>
    <xf numFmtId="0" fontId="23" fillId="12" borderId="51" xfId="0" applyFont="1" applyFill="1" applyBorder="1" applyAlignment="1">
      <alignment horizontal="center" vertical="center"/>
    </xf>
    <xf numFmtId="0" fontId="23" fillId="12" borderId="52" xfId="0" applyFont="1" applyFill="1" applyBorder="1" applyAlignment="1">
      <alignment horizontal="center" vertical="center"/>
    </xf>
    <xf numFmtId="0" fontId="5" fillId="12" borderId="127" xfId="0" applyFont="1" applyFill="1" applyBorder="1" applyAlignment="1">
      <alignment horizontal="center" vertical="center"/>
    </xf>
    <xf numFmtId="0" fontId="5" fillId="12" borderId="154" xfId="0" applyFont="1" applyFill="1" applyBorder="1" applyAlignment="1">
      <alignment horizontal="center" vertical="center"/>
    </xf>
    <xf numFmtId="0" fontId="5" fillId="12" borderId="130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54" fillId="17" borderId="56" xfId="3" applyFont="1" applyFill="1" applyBorder="1" applyAlignment="1">
      <alignment horizontal="center" vertical="center"/>
    </xf>
    <xf numFmtId="0" fontId="19" fillId="10" borderId="51" xfId="0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/>
    </xf>
    <xf numFmtId="0" fontId="19" fillId="10" borderId="53" xfId="0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2" fillId="10" borderId="51" xfId="0" applyFont="1" applyFill="1" applyBorder="1" applyAlignment="1">
      <alignment horizontal="center" vertical="center"/>
    </xf>
    <xf numFmtId="0" fontId="42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5" fillId="24" borderId="115" xfId="0" applyFont="1" applyFill="1" applyBorder="1" applyAlignment="1">
      <alignment horizontal="center" vertical="center"/>
    </xf>
    <xf numFmtId="0" fontId="75" fillId="24" borderId="116" xfId="0" applyFont="1" applyFill="1" applyBorder="1" applyAlignment="1">
      <alignment horizontal="center" vertical="center"/>
    </xf>
    <xf numFmtId="172" fontId="75" fillId="24" borderId="117" xfId="0" applyNumberFormat="1" applyFont="1" applyFill="1" applyBorder="1" applyAlignment="1">
      <alignment horizontal="center" vertical="center"/>
    </xf>
    <xf numFmtId="172" fontId="75" fillId="24" borderId="118" xfId="0" applyNumberFormat="1" applyFont="1" applyFill="1" applyBorder="1" applyAlignment="1">
      <alignment horizontal="center" vertical="center"/>
    </xf>
    <xf numFmtId="172" fontId="75" fillId="24" borderId="119" xfId="0" applyNumberFormat="1" applyFont="1" applyFill="1" applyBorder="1" applyAlignment="1">
      <alignment horizontal="center" vertical="center"/>
    </xf>
    <xf numFmtId="172" fontId="75" fillId="24" borderId="120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4" fillId="10" borderId="52" xfId="0" applyFont="1" applyFill="1" applyBorder="1" applyAlignment="1">
      <alignment horizontal="center" vertical="center"/>
    </xf>
    <xf numFmtId="0" fontId="66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9" fillId="22" borderId="25" xfId="0" applyFont="1" applyFill="1" applyBorder="1" applyAlignment="1">
      <alignment horizontal="center" vertical="center"/>
    </xf>
    <xf numFmtId="0" fontId="39" fillId="22" borderId="26" xfId="0" applyFont="1" applyFill="1" applyBorder="1" applyAlignment="1">
      <alignment horizontal="center" vertical="center"/>
    </xf>
    <xf numFmtId="0" fontId="39" fillId="22" borderId="27" xfId="0" applyFont="1" applyFill="1" applyBorder="1" applyAlignment="1">
      <alignment horizontal="center" vertical="center"/>
    </xf>
    <xf numFmtId="0" fontId="19" fillId="14" borderId="135" xfId="0" applyFont="1" applyFill="1" applyBorder="1" applyAlignment="1">
      <alignment horizontal="center"/>
    </xf>
    <xf numFmtId="0" fontId="19" fillId="14" borderId="136" xfId="0" applyFont="1" applyFill="1" applyBorder="1" applyAlignment="1">
      <alignment horizontal="center"/>
    </xf>
    <xf numFmtId="0" fontId="19" fillId="12" borderId="152" xfId="0" applyFont="1" applyFill="1" applyBorder="1" applyAlignment="1" applyProtection="1">
      <alignment horizontal="center" vertical="center"/>
    </xf>
    <xf numFmtId="0" fontId="19" fillId="12" borderId="50" xfId="0" applyFont="1" applyFill="1" applyBorder="1" applyAlignment="1" applyProtection="1">
      <alignment horizontal="center" vertical="center"/>
    </xf>
    <xf numFmtId="0" fontId="57" fillId="7" borderId="0" xfId="0" applyFont="1" applyFill="1" applyAlignment="1">
      <alignment horizontal="center" vertical="center"/>
    </xf>
    <xf numFmtId="0" fontId="48" fillId="12" borderId="80" xfId="0" applyFont="1" applyFill="1" applyBorder="1" applyAlignment="1" applyProtection="1">
      <alignment horizontal="center" vertical="center"/>
      <protection locked="0"/>
    </xf>
    <xf numFmtId="0" fontId="48" fillId="12" borderId="83" xfId="0" applyFont="1" applyFill="1" applyBorder="1" applyAlignment="1" applyProtection="1">
      <alignment horizontal="center" vertical="center"/>
      <protection locked="0"/>
    </xf>
    <xf numFmtId="0" fontId="49" fillId="12" borderId="78" xfId="0" applyFont="1" applyFill="1" applyBorder="1" applyAlignment="1">
      <alignment horizontal="center" vertical="center"/>
    </xf>
    <xf numFmtId="0" fontId="49" fillId="12" borderId="79" xfId="0" applyFont="1" applyFill="1" applyBorder="1" applyAlignment="1">
      <alignment horizontal="center" vertical="center"/>
    </xf>
    <xf numFmtId="0" fontId="49" fillId="12" borderId="81" xfId="0" applyFont="1" applyFill="1" applyBorder="1" applyAlignment="1">
      <alignment horizontal="center" vertical="center"/>
    </xf>
    <xf numFmtId="0" fontId="49" fillId="12" borderId="82" xfId="0" applyFont="1" applyFill="1" applyBorder="1" applyAlignment="1">
      <alignment horizontal="center" vertical="center"/>
    </xf>
    <xf numFmtId="0" fontId="68" fillId="24" borderId="134" xfId="0" applyFont="1" applyFill="1" applyBorder="1" applyAlignment="1">
      <alignment horizontal="center" vertical="center"/>
    </xf>
    <xf numFmtId="0" fontId="68" fillId="24" borderId="135" xfId="0" applyFont="1" applyFill="1" applyBorder="1" applyAlignment="1">
      <alignment horizontal="center" vertical="center"/>
    </xf>
    <xf numFmtId="0" fontId="76" fillId="12" borderId="125" xfId="0" applyFont="1" applyFill="1" applyBorder="1" applyAlignment="1">
      <alignment horizontal="right" vertical="center"/>
    </xf>
    <xf numFmtId="0" fontId="76" fillId="12" borderId="126" xfId="0" applyFont="1" applyFill="1" applyBorder="1" applyAlignment="1">
      <alignment horizontal="right" vertical="center"/>
    </xf>
    <xf numFmtId="0" fontId="76" fillId="12" borderId="128" xfId="0" applyFont="1" applyFill="1" applyBorder="1" applyAlignment="1">
      <alignment horizontal="right" vertical="center"/>
    </xf>
    <xf numFmtId="0" fontId="76" fillId="12" borderId="129" xfId="0" applyFont="1" applyFill="1" applyBorder="1" applyAlignment="1">
      <alignment horizontal="right" vertical="center"/>
    </xf>
    <xf numFmtId="172" fontId="76" fillId="12" borderId="126" xfId="0" applyNumberFormat="1" applyFont="1" applyFill="1" applyBorder="1" applyAlignment="1">
      <alignment horizontal="center" vertical="center"/>
    </xf>
    <xf numFmtId="172" fontId="76" fillId="12" borderId="127" xfId="0" applyNumberFormat="1" applyFont="1" applyFill="1" applyBorder="1" applyAlignment="1">
      <alignment horizontal="center" vertical="center"/>
    </xf>
    <xf numFmtId="172" fontId="76" fillId="12" borderId="129" xfId="0" applyNumberFormat="1" applyFont="1" applyFill="1" applyBorder="1" applyAlignment="1">
      <alignment horizontal="center" vertical="center"/>
    </xf>
    <xf numFmtId="172" fontId="76" fillId="12" borderId="130" xfId="0" applyNumberFormat="1" applyFont="1" applyFill="1" applyBorder="1" applyAlignment="1">
      <alignment horizontal="center" vertical="center"/>
    </xf>
    <xf numFmtId="0" fontId="69" fillId="25" borderId="105" xfId="0" applyFont="1" applyFill="1" applyBorder="1" applyAlignment="1" applyProtection="1">
      <alignment horizontal="center" vertical="center"/>
      <protection locked="0"/>
    </xf>
    <xf numFmtId="0" fontId="69" fillId="25" borderId="106" xfId="0" applyFont="1" applyFill="1" applyBorder="1" applyAlignment="1" applyProtection="1">
      <alignment horizontal="center" vertical="center"/>
      <protection locked="0"/>
    </xf>
    <xf numFmtId="173" fontId="4" fillId="25" borderId="109" xfId="0" applyNumberFormat="1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0" fontId="69" fillId="25" borderId="121" xfId="0" applyFont="1" applyFill="1" applyBorder="1" applyAlignment="1" applyProtection="1">
      <alignment horizontal="center" vertical="center"/>
      <protection locked="0"/>
    </xf>
    <xf numFmtId="0" fontId="69" fillId="25" borderId="122" xfId="0" applyFont="1" applyFill="1" applyBorder="1" applyAlignment="1" applyProtection="1">
      <alignment horizontal="center" vertical="center"/>
      <protection locked="0"/>
    </xf>
    <xf numFmtId="173" fontId="4" fillId="25" borderId="123" xfId="0" applyNumberFormat="1" applyFont="1" applyFill="1" applyBorder="1" applyAlignment="1" applyProtection="1">
      <alignment horizontal="center" vertical="center"/>
      <protection locked="0"/>
    </xf>
    <xf numFmtId="173" fontId="4" fillId="25" borderId="124" xfId="0" applyNumberFormat="1" applyFont="1" applyFill="1" applyBorder="1" applyAlignment="1" applyProtection="1">
      <alignment horizontal="center" vertical="center"/>
      <protection locked="0"/>
    </xf>
    <xf numFmtId="0" fontId="69" fillId="25" borderId="103" xfId="0" applyFont="1" applyFill="1" applyBorder="1" applyAlignment="1" applyProtection="1">
      <alignment horizontal="center" vertical="center"/>
      <protection locked="0"/>
    </xf>
    <xf numFmtId="0" fontId="69" fillId="25" borderId="104" xfId="0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173" fontId="4" fillId="25" borderId="102" xfId="0" applyNumberFormat="1" applyFont="1" applyFill="1" applyBorder="1" applyAlignment="1" applyProtection="1">
      <alignment horizontal="center" vertical="center"/>
      <protection locked="0"/>
    </xf>
    <xf numFmtId="0" fontId="77" fillId="12" borderId="125" xfId="0" applyFont="1" applyFill="1" applyBorder="1" applyAlignment="1">
      <alignment horizontal="center" vertical="center"/>
    </xf>
    <xf numFmtId="0" fontId="77" fillId="12" borderId="126" xfId="0" applyFont="1" applyFill="1" applyBorder="1" applyAlignment="1">
      <alignment horizontal="center" vertical="center"/>
    </xf>
    <xf numFmtId="0" fontId="77" fillId="12" borderId="127" xfId="0" applyFont="1" applyFill="1" applyBorder="1" applyAlignment="1">
      <alignment horizontal="center" vertical="center"/>
    </xf>
    <xf numFmtId="0" fontId="77" fillId="12" borderId="128" xfId="0" applyFont="1" applyFill="1" applyBorder="1" applyAlignment="1">
      <alignment horizontal="center" vertical="center"/>
    </xf>
    <xf numFmtId="0" fontId="77" fillId="12" borderId="129" xfId="0" applyFont="1" applyFill="1" applyBorder="1" applyAlignment="1">
      <alignment horizontal="center" vertical="center"/>
    </xf>
    <xf numFmtId="0" fontId="77" fillId="12" borderId="130" xfId="0" applyFont="1" applyFill="1" applyBorder="1" applyAlignment="1">
      <alignment horizontal="center" vertical="center"/>
    </xf>
    <xf numFmtId="0" fontId="19" fillId="12" borderId="153" xfId="0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horizontal="center" vertical="center"/>
    </xf>
    <xf numFmtId="0" fontId="19" fillId="12" borderId="154" xfId="0" applyFont="1" applyFill="1" applyBorder="1" applyAlignment="1">
      <alignment horizontal="center" vertical="center"/>
    </xf>
    <xf numFmtId="0" fontId="81" fillId="12" borderId="128" xfId="0" applyFont="1" applyFill="1" applyBorder="1" applyAlignment="1">
      <alignment horizontal="center" vertical="center"/>
    </xf>
    <xf numFmtId="0" fontId="81" fillId="12" borderId="129" xfId="0" applyFont="1" applyFill="1" applyBorder="1" applyAlignment="1">
      <alignment horizontal="center" vertical="center"/>
    </xf>
    <xf numFmtId="0" fontId="81" fillId="12" borderId="130" xfId="0" applyFont="1" applyFill="1" applyBorder="1" applyAlignment="1">
      <alignment horizontal="center" vertical="center"/>
    </xf>
    <xf numFmtId="0" fontId="79" fillId="24" borderId="155" xfId="0" applyFont="1" applyFill="1" applyBorder="1" applyAlignment="1">
      <alignment horizontal="center"/>
    </xf>
    <xf numFmtId="0" fontId="79" fillId="24" borderId="156" xfId="0" applyFont="1" applyFill="1" applyBorder="1" applyAlignment="1">
      <alignment horizontal="center"/>
    </xf>
    <xf numFmtId="0" fontId="79" fillId="24" borderId="157" xfId="0" applyFont="1" applyFill="1" applyBorder="1" applyAlignment="1">
      <alignment horizontal="center"/>
    </xf>
    <xf numFmtId="0" fontId="82" fillId="12" borderId="125" xfId="0" applyFont="1" applyFill="1" applyBorder="1" applyAlignment="1">
      <alignment horizontal="center" vertical="center"/>
    </xf>
    <xf numFmtId="0" fontId="82" fillId="12" borderId="126" xfId="0" applyFont="1" applyFill="1" applyBorder="1" applyAlignment="1">
      <alignment horizontal="center" vertical="center"/>
    </xf>
    <xf numFmtId="0" fontId="82" fillId="12" borderId="127" xfId="0" applyFont="1" applyFill="1" applyBorder="1" applyAlignment="1">
      <alignment horizontal="center" vertical="center"/>
    </xf>
    <xf numFmtId="0" fontId="82" fillId="12" borderId="153" xfId="0" applyFont="1" applyFill="1" applyBorder="1" applyAlignment="1">
      <alignment horizontal="center" vertical="center"/>
    </xf>
    <xf numFmtId="0" fontId="82" fillId="12" borderId="0" xfId="0" applyFont="1" applyFill="1" applyBorder="1" applyAlignment="1">
      <alignment horizontal="center" vertical="center"/>
    </xf>
    <xf numFmtId="0" fontId="82" fillId="12" borderId="154" xfId="0" applyFont="1" applyFill="1" applyBorder="1" applyAlignment="1">
      <alignment horizontal="center" vertical="center"/>
    </xf>
    <xf numFmtId="0" fontId="82" fillId="12" borderId="128" xfId="0" applyFont="1" applyFill="1" applyBorder="1" applyAlignment="1">
      <alignment horizontal="center" vertical="center"/>
    </xf>
    <xf numFmtId="0" fontId="82" fillId="12" borderId="129" xfId="0" applyFont="1" applyFill="1" applyBorder="1" applyAlignment="1">
      <alignment horizontal="center" vertical="center"/>
    </xf>
    <xf numFmtId="0" fontId="82" fillId="12" borderId="130" xfId="0" applyFont="1" applyFill="1" applyBorder="1" applyAlignment="1">
      <alignment horizontal="center" vertical="center"/>
    </xf>
    <xf numFmtId="0" fontId="47" fillId="12" borderId="125" xfId="0" applyFont="1" applyFill="1" applyBorder="1" applyAlignment="1">
      <alignment horizontal="center"/>
    </xf>
    <xf numFmtId="0" fontId="47" fillId="12" borderId="126" xfId="0" applyFont="1" applyFill="1" applyBorder="1" applyAlignment="1">
      <alignment horizontal="center"/>
    </xf>
    <xf numFmtId="0" fontId="47" fillId="12" borderId="127" xfId="0" applyFont="1" applyFill="1" applyBorder="1" applyAlignment="1">
      <alignment horizontal="center"/>
    </xf>
    <xf numFmtId="0" fontId="47" fillId="12" borderId="128" xfId="0" applyFont="1" applyFill="1" applyBorder="1" applyAlignment="1">
      <alignment horizontal="center"/>
    </xf>
    <xf numFmtId="0" fontId="47" fillId="12" borderId="129" xfId="0" applyFont="1" applyFill="1" applyBorder="1" applyAlignment="1">
      <alignment horizontal="center"/>
    </xf>
    <xf numFmtId="0" fontId="47" fillId="12" borderId="130" xfId="0" applyFont="1" applyFill="1" applyBorder="1" applyAlignment="1">
      <alignment horizontal="center"/>
    </xf>
    <xf numFmtId="0" fontId="47" fillId="30" borderId="78" xfId="0" applyFont="1" applyFill="1" applyBorder="1" applyAlignment="1">
      <alignment horizontal="center" vertical="top" wrapText="1"/>
    </xf>
    <xf numFmtId="0" fontId="47" fillId="30" borderId="79" xfId="0" applyFont="1" applyFill="1" applyBorder="1" applyAlignment="1">
      <alignment horizontal="center" vertical="top" wrapText="1"/>
    </xf>
    <xf numFmtId="0" fontId="47" fillId="30" borderId="80" xfId="0" applyFont="1" applyFill="1" applyBorder="1" applyAlignment="1">
      <alignment horizontal="center" vertical="top" wrapText="1"/>
    </xf>
    <xf numFmtId="0" fontId="47" fillId="30" borderId="100" xfId="0" applyFont="1" applyFill="1" applyBorder="1" applyAlignment="1">
      <alignment horizontal="center" vertical="top" wrapText="1"/>
    </xf>
    <xf numFmtId="0" fontId="47" fillId="30" borderId="0" xfId="0" applyFont="1" applyFill="1" applyBorder="1" applyAlignment="1">
      <alignment horizontal="center" vertical="top" wrapText="1"/>
    </xf>
    <xf numFmtId="0" fontId="47" fillId="30" borderId="101" xfId="0" applyFont="1" applyFill="1" applyBorder="1" applyAlignment="1">
      <alignment horizontal="center" vertical="top" wrapText="1"/>
    </xf>
    <xf numFmtId="0" fontId="47" fillId="30" borderId="81" xfId="0" applyFont="1" applyFill="1" applyBorder="1" applyAlignment="1">
      <alignment horizontal="center" vertical="top" wrapText="1"/>
    </xf>
    <xf numFmtId="0" fontId="47" fillId="30" borderId="82" xfId="0" applyFont="1" applyFill="1" applyBorder="1" applyAlignment="1">
      <alignment horizontal="center" vertical="top" wrapText="1"/>
    </xf>
    <xf numFmtId="0" fontId="47" fillId="30" borderId="83" xfId="0" applyFont="1" applyFill="1" applyBorder="1" applyAlignment="1">
      <alignment horizontal="center" vertical="top" wrapText="1"/>
    </xf>
    <xf numFmtId="0" fontId="19" fillId="28" borderId="114" xfId="0" applyFont="1" applyFill="1" applyBorder="1" applyAlignment="1">
      <alignment horizontal="center"/>
    </xf>
    <xf numFmtId="0" fontId="19" fillId="28" borderId="10" xfId="0" applyFont="1" applyFill="1" applyBorder="1" applyAlignment="1">
      <alignment horizontal="center"/>
    </xf>
    <xf numFmtId="49" fontId="19" fillId="28" borderId="110" xfId="0" applyNumberFormat="1" applyFont="1" applyFill="1" applyBorder="1" applyAlignment="1">
      <alignment horizontal="center"/>
    </xf>
    <xf numFmtId="49" fontId="19" fillId="28" borderId="13" xfId="0" applyNumberFormat="1" applyFont="1" applyFill="1" applyBorder="1" applyAlignment="1">
      <alignment horizontal="center"/>
    </xf>
    <xf numFmtId="0" fontId="19" fillId="27" borderId="14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  <xf numFmtId="168" fontId="59" fillId="31" borderId="86" xfId="0" applyNumberFormat="1" applyFont="1" applyFill="1" applyBorder="1" applyAlignment="1">
      <alignment horizontal="center" vertical="center"/>
    </xf>
    <xf numFmtId="168" fontId="59" fillId="31" borderId="84" xfId="0" applyNumberFormat="1" applyFont="1" applyFill="1" applyBorder="1" applyAlignment="1">
      <alignment horizontal="center" vertical="center"/>
    </xf>
    <xf numFmtId="168" fontId="59" fillId="31" borderId="67" xfId="0" applyNumberFormat="1" applyFont="1" applyFill="1" applyBorder="1" applyAlignment="1">
      <alignment horizontal="center" vertical="center"/>
    </xf>
    <xf numFmtId="168" fontId="59" fillId="31" borderId="87" xfId="0" applyNumberFormat="1" applyFont="1" applyFill="1" applyBorder="1" applyAlignment="1">
      <alignment horizontal="center" vertical="center"/>
    </xf>
    <xf numFmtId="168" fontId="59" fillId="31" borderId="85" xfId="0" applyNumberFormat="1" applyFont="1" applyFill="1" applyBorder="1" applyAlignment="1">
      <alignment horizontal="center" vertical="center"/>
    </xf>
    <xf numFmtId="168" fontId="59" fillId="31" borderId="71" xfId="0" applyNumberFormat="1" applyFont="1" applyFill="1" applyBorder="1" applyAlignment="1">
      <alignment horizontal="center" vertical="center"/>
    </xf>
    <xf numFmtId="168" fontId="59" fillId="31" borderId="72" xfId="0" applyNumberFormat="1" applyFont="1" applyFill="1" applyBorder="1" applyAlignment="1">
      <alignment horizontal="center" vertical="center"/>
    </xf>
    <xf numFmtId="168" fontId="59" fillId="31" borderId="70" xfId="0" applyNumberFormat="1" applyFont="1" applyFill="1" applyBorder="1" applyAlignment="1">
      <alignment horizontal="center" vertic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4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>
      <selection activeCell="T17" sqref="T17"/>
    </sheetView>
  </sheetViews>
  <sheetFormatPr baseColWidth="10" defaultRowHeight="15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1.85546875" customWidth="1"/>
    <col min="7" max="8" width="7.7109375" customWidth="1"/>
    <col min="9" max="9" width="7.7109375" style="261" customWidth="1"/>
    <col min="10" max="14" width="7.85546875" customWidth="1"/>
    <col min="15" max="15" width="56" hidden="1" customWidth="1"/>
    <col min="16" max="21" width="12.28515625" customWidth="1"/>
    <col min="22" max="29" width="9.140625" customWidth="1"/>
    <col min="30" max="30" width="2.85546875" customWidth="1"/>
    <col min="31" max="31" width="23.85546875" customWidth="1"/>
    <col min="32" max="32" width="10.28515625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customWidth="1"/>
    <col min="39" max="39" width="15.42578125" customWidth="1"/>
    <col min="40" max="40" width="18.42578125" customWidth="1"/>
    <col min="42" max="42" width="4.7109375" customWidth="1"/>
  </cols>
  <sheetData>
    <row r="1" spans="1:42" ht="15.95" customHeight="1">
      <c r="A1" s="116"/>
      <c r="B1" s="24"/>
      <c r="C1" s="25"/>
      <c r="D1" s="24"/>
      <c r="E1" s="24"/>
      <c r="F1" s="24"/>
      <c r="G1" s="25"/>
      <c r="H1" s="26"/>
      <c r="I1" s="254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5.95" customHeight="1" thickBot="1">
      <c r="A2" s="28"/>
      <c r="B2" s="138"/>
      <c r="C2" s="137"/>
      <c r="D2" s="28"/>
      <c r="E2" s="28"/>
      <c r="F2" s="28"/>
      <c r="G2" s="28"/>
      <c r="H2" s="28"/>
      <c r="I2" s="255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5.95" customHeight="1">
      <c r="A3" s="28"/>
      <c r="B3" s="138"/>
      <c r="C3" s="137"/>
      <c r="D3" s="347" t="s">
        <v>117</v>
      </c>
      <c r="E3" s="349">
        <f ca="1">TODAY()</f>
        <v>42347</v>
      </c>
      <c r="F3" s="350"/>
      <c r="G3" s="28"/>
      <c r="H3" s="28"/>
      <c r="I3" s="255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53" t="s">
        <v>53</v>
      </c>
      <c r="W3" s="345"/>
      <c r="X3" s="354" t="s">
        <v>51</v>
      </c>
      <c r="Y3" s="354"/>
      <c r="Z3" s="345" t="s">
        <v>52</v>
      </c>
      <c r="AA3" s="345"/>
      <c r="AB3" s="345" t="s">
        <v>54</v>
      </c>
      <c r="AC3" s="346"/>
      <c r="AD3" s="35"/>
      <c r="AE3" s="339" t="s">
        <v>86</v>
      </c>
      <c r="AF3" s="340"/>
      <c r="AG3" s="28"/>
      <c r="AH3" s="341" t="s">
        <v>17</v>
      </c>
      <c r="AI3" s="342"/>
      <c r="AJ3" s="342"/>
      <c r="AK3" s="343"/>
      <c r="AL3" s="28"/>
      <c r="AM3" s="28"/>
      <c r="AN3" s="28"/>
      <c r="AO3" s="28"/>
      <c r="AP3" s="28"/>
    </row>
    <row r="4" spans="1:42" ht="15.95" customHeight="1" thickBot="1">
      <c r="A4" s="28"/>
      <c r="B4" s="28"/>
      <c r="C4" s="28"/>
      <c r="D4" s="348"/>
      <c r="E4" s="351"/>
      <c r="F4" s="352"/>
      <c r="G4" s="28"/>
      <c r="H4" s="39"/>
      <c r="I4" s="256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27" t="s">
        <v>128</v>
      </c>
      <c r="W4" s="328"/>
      <c r="X4" s="344" t="s">
        <v>127</v>
      </c>
      <c r="Y4" s="344"/>
      <c r="Z4" s="328" t="s">
        <v>129</v>
      </c>
      <c r="AA4" s="328"/>
      <c r="AB4" s="328" t="s">
        <v>39</v>
      </c>
      <c r="AC4" s="330"/>
      <c r="AD4" s="28"/>
      <c r="AE4" s="92" t="s">
        <v>2</v>
      </c>
      <c r="AF4" s="93">
        <f>COUNTA(G10:G40)</f>
        <v>12</v>
      </c>
      <c r="AG4" s="28"/>
      <c r="AH4" s="82"/>
      <c r="AI4" s="83" t="s">
        <v>34</v>
      </c>
      <c r="AJ4" s="84" t="s">
        <v>23</v>
      </c>
      <c r="AK4" s="85" t="s">
        <v>11</v>
      </c>
      <c r="AL4" s="28"/>
      <c r="AM4" s="28"/>
      <c r="AN4" s="28"/>
      <c r="AO4" s="28"/>
      <c r="AP4" s="28"/>
    </row>
    <row r="5" spans="1:42" ht="15.95" customHeight="1" thickBot="1">
      <c r="A5" s="28"/>
      <c r="B5" s="28"/>
      <c r="C5" s="28"/>
      <c r="D5" s="41"/>
      <c r="E5" s="41"/>
      <c r="F5" s="28"/>
      <c r="G5" s="28"/>
      <c r="H5" s="39"/>
      <c r="I5" s="256"/>
      <c r="J5" s="28"/>
      <c r="K5" s="36"/>
      <c r="L5" s="36"/>
      <c r="M5" s="36"/>
      <c r="N5" s="36"/>
      <c r="O5" s="27"/>
      <c r="P5" s="332" t="s">
        <v>31</v>
      </c>
      <c r="Q5" s="333"/>
      <c r="R5" s="333"/>
      <c r="S5" s="333" t="s">
        <v>32</v>
      </c>
      <c r="T5" s="333"/>
      <c r="U5" s="334"/>
      <c r="V5" s="335">
        <f>SUM(V7+W7)</f>
        <v>4.7083333333333339</v>
      </c>
      <c r="W5" s="336"/>
      <c r="X5" s="337">
        <f>SUM(X7+Y7)</f>
        <v>1.5833333333333335</v>
      </c>
      <c r="Y5" s="337"/>
      <c r="Z5" s="336">
        <f>SUM(Z7+AA7)</f>
        <v>1</v>
      </c>
      <c r="AA5" s="336"/>
      <c r="AB5" s="336">
        <f>SUMPRODUCT((MONTH($D$10:$D$42=$E$8)*($C$10:$C$42&lt;&gt;"")*($AB$10:$AC$42)))</f>
        <v>7.2916666666666679</v>
      </c>
      <c r="AC5" s="338"/>
      <c r="AD5" s="28"/>
      <c r="AE5" s="317"/>
      <c r="AF5" s="318"/>
      <c r="AG5" s="28"/>
      <c r="AH5" s="21" t="s">
        <v>1</v>
      </c>
      <c r="AI5" s="22">
        <f>SUM(V7)*24</f>
        <v>58.5</v>
      </c>
      <c r="AJ5" s="112">
        <v>9.93</v>
      </c>
      <c r="AK5" s="250">
        <f t="shared" ref="AK5:AK10" si="0">AI5*AJ5</f>
        <v>580.90499999999997</v>
      </c>
      <c r="AL5" s="28"/>
      <c r="AM5" s="28"/>
      <c r="AN5" s="28"/>
      <c r="AO5" s="28"/>
      <c r="AP5" s="28"/>
    </row>
    <row r="6" spans="1:42" ht="15.95" customHeight="1" thickBot="1">
      <c r="A6" s="28"/>
      <c r="B6" s="54"/>
      <c r="C6" s="81"/>
      <c r="D6" s="319" t="str">
        <f>UPPER(TEXT($D10,"mmmm aaaa"))</f>
        <v>JANVIER 2016</v>
      </c>
      <c r="E6" s="180" t="s">
        <v>37</v>
      </c>
      <c r="F6" s="55">
        <v>0.875</v>
      </c>
      <c r="G6" s="28"/>
      <c r="H6" s="28"/>
      <c r="I6" s="255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2" t="s">
        <v>67</v>
      </c>
      <c r="AF6" s="213">
        <f>SUM(N10:N40)</f>
        <v>7.458333333333333</v>
      </c>
      <c r="AG6" s="28"/>
      <c r="AH6" s="10" t="s">
        <v>18</v>
      </c>
      <c r="AI6" s="2">
        <f>SUM(W7)*24</f>
        <v>54.5</v>
      </c>
      <c r="AJ6" s="113">
        <v>0.99299999999999999</v>
      </c>
      <c r="AK6" s="251">
        <f t="shared" si="0"/>
        <v>54.118499999999997</v>
      </c>
      <c r="AL6" s="28"/>
      <c r="AM6" s="28"/>
      <c r="AN6" s="28"/>
      <c r="AO6" s="28"/>
      <c r="AP6" s="28"/>
    </row>
    <row r="7" spans="1:42" ht="15.95" customHeight="1" thickBot="1">
      <c r="A7" s="28"/>
      <c r="B7" s="54"/>
      <c r="C7" s="81"/>
      <c r="D7" s="320"/>
      <c r="E7" s="181" t="s">
        <v>38</v>
      </c>
      <c r="F7" s="56">
        <v>0.25</v>
      </c>
      <c r="G7" s="28"/>
      <c r="H7" s="42"/>
      <c r="I7" s="257"/>
      <c r="J7" s="28"/>
      <c r="K7" s="28"/>
      <c r="L7" s="322" t="s">
        <v>55</v>
      </c>
      <c r="M7" s="323"/>
      <c r="N7" s="58" t="s">
        <v>34</v>
      </c>
      <c r="O7" s="324" t="s">
        <v>0</v>
      </c>
      <c r="P7" s="267" t="str">
        <f>TEXT(P8,"[hh]:mm")&amp;"h"&amp;" à "&amp;TEXT(P9,"[hh]:mm")&amp;"h"</f>
        <v>00:00h à 06:00h</v>
      </c>
      <c r="Q7" s="268" t="str">
        <f>TEXT(Q8,"[hh]:mm")&amp;"h"&amp;" à "&amp;TEXT(Q9,"[hh]:mm")&amp;"h"</f>
        <v>06:00h à 21:00h</v>
      </c>
      <c r="R7" s="268" t="str">
        <f>TEXT(R8,"[hh]:mm")&amp;"h"&amp;" à "&amp;TEXT(R9,"[hh]:mm")&amp;"h"</f>
        <v>21:00h à 24:00h</v>
      </c>
      <c r="S7" s="268" t="str">
        <f>TEXT(S8,"[hh]:mm")&amp;"h"&amp;" à "&amp;TEXT(S9,"hh:mm")&amp;"h"</f>
        <v>24:00h à 06:00h</v>
      </c>
      <c r="T7" s="268" t="str">
        <f>TEXT(T8,"hh:mm")&amp;"h"&amp;" à "&amp;TEXT(T9,"hh:mm")&amp;"h"</f>
        <v>06:00h à 21:00h</v>
      </c>
      <c r="U7" s="269" t="str">
        <f>TEXT(U8,"hh:mm")&amp;"h"&amp;" à "&amp;TEXT(U9-24/24,"[hh]:mm")&amp;"h"</f>
        <v>21:00h à 24:00h</v>
      </c>
      <c r="V7" s="75">
        <f>SUMIF(D10:D40,"&gt;0",V10:V40)</f>
        <v>2.4375</v>
      </c>
      <c r="W7" s="74">
        <f>SUMIF(D10:D40,"&gt;0",W10:W40)</f>
        <v>2.2708333333333335</v>
      </c>
      <c r="X7" s="215">
        <f>SUMPRODUCT((WEEKDAY($D$10:$D$40)=1)*($AB$10:$AB$40))</f>
        <v>0.875</v>
      </c>
      <c r="Y7" s="215">
        <f>SUMPRODUCT((WEEKDAY($D$10:$D$40)=1)*($AC$10:$AC$40))</f>
        <v>0.70833333333333348</v>
      </c>
      <c r="Z7" s="74">
        <f>SUMPRODUCT(($C$10:$C$40="férié")*($Z$10:$Z$40))</f>
        <v>0.625</v>
      </c>
      <c r="AA7" s="74">
        <f>SUMPRODUCT(($C$10:$C$40="férié")*($AA$10:$AA$40))</f>
        <v>0.375</v>
      </c>
      <c r="AB7" s="74">
        <f>SUMIF(D10:D40,"&gt;0",AB10:AB40)</f>
        <v>3.9375</v>
      </c>
      <c r="AC7" s="76">
        <f>SUMIF(D10:D40,"&gt;0",AC10:AC40)</f>
        <v>3.354166666666667</v>
      </c>
      <c r="AD7" s="28"/>
      <c r="AE7" s="303"/>
      <c r="AF7" s="304"/>
      <c r="AG7" s="28"/>
      <c r="AH7" s="10" t="s">
        <v>20</v>
      </c>
      <c r="AI7" s="2">
        <f>X7*24</f>
        <v>21</v>
      </c>
      <c r="AJ7" s="113">
        <v>0.99299999999999999</v>
      </c>
      <c r="AK7" s="251">
        <f t="shared" si="0"/>
        <v>20.853000000000002</v>
      </c>
      <c r="AL7" s="28"/>
      <c r="AM7" s="28"/>
      <c r="AN7" s="28"/>
      <c r="AO7" s="28"/>
      <c r="AP7" s="28"/>
    </row>
    <row r="8" spans="1:42" ht="15.95" customHeight="1" thickBot="1">
      <c r="A8" s="28"/>
      <c r="B8" s="28"/>
      <c r="C8" s="28"/>
      <c r="D8" s="321"/>
      <c r="E8" s="182" t="s">
        <v>10</v>
      </c>
      <c r="F8" s="253"/>
      <c r="G8" s="252" t="s">
        <v>34</v>
      </c>
      <c r="H8" s="58" t="s">
        <v>34</v>
      </c>
      <c r="I8" s="258" t="s">
        <v>34</v>
      </c>
      <c r="J8" s="58" t="s">
        <v>34</v>
      </c>
      <c r="K8" s="61" t="s">
        <v>34</v>
      </c>
      <c r="L8" s="64" t="s">
        <v>47</v>
      </c>
      <c r="M8" s="179" t="s">
        <v>48</v>
      </c>
      <c r="N8" s="184" t="s">
        <v>11</v>
      </c>
      <c r="O8" s="325"/>
      <c r="P8" s="270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327" t="s">
        <v>44</v>
      </c>
      <c r="W8" s="328"/>
      <c r="X8" s="329" t="s">
        <v>4</v>
      </c>
      <c r="Y8" s="329"/>
      <c r="Z8" s="328" t="s">
        <v>3</v>
      </c>
      <c r="AA8" s="328"/>
      <c r="AB8" s="328" t="s">
        <v>2</v>
      </c>
      <c r="AC8" s="330"/>
      <c r="AD8" s="43"/>
      <c r="AE8" s="92" t="s">
        <v>61</v>
      </c>
      <c r="AF8" s="93">
        <f>SUMPRODUCT((($C$10:$C$40="férié")*(WEEKDAY($D$10:$D$40)&lt;&gt;1)+($C$10:$C$40="se"))*($N$10:$N$40&gt;0))</f>
        <v>11</v>
      </c>
      <c r="AG8" s="28"/>
      <c r="AH8" s="10" t="s">
        <v>19</v>
      </c>
      <c r="AI8" s="2">
        <f>Y7*24</f>
        <v>17.000000000000004</v>
      </c>
      <c r="AJ8" s="113">
        <v>1.88</v>
      </c>
      <c r="AK8" s="251">
        <f t="shared" si="0"/>
        <v>31.960000000000004</v>
      </c>
      <c r="AL8" s="28"/>
      <c r="AM8" s="28"/>
      <c r="AN8" s="28"/>
      <c r="AO8" s="28"/>
      <c r="AP8" s="28"/>
    </row>
    <row r="9" spans="1:42" ht="15.95" customHeight="1" thickBot="1">
      <c r="A9" s="28"/>
      <c r="B9" s="186" t="s">
        <v>5</v>
      </c>
      <c r="C9" s="187" t="s">
        <v>25</v>
      </c>
      <c r="D9" s="60" t="s">
        <v>12</v>
      </c>
      <c r="E9" s="60" t="s">
        <v>7</v>
      </c>
      <c r="F9" s="205" t="s">
        <v>13</v>
      </c>
      <c r="G9" s="59" t="s">
        <v>35</v>
      </c>
      <c r="H9" s="59" t="s">
        <v>36</v>
      </c>
      <c r="I9" s="259" t="s">
        <v>87</v>
      </c>
      <c r="J9" s="59" t="s">
        <v>45</v>
      </c>
      <c r="K9" s="62" t="s">
        <v>46</v>
      </c>
      <c r="L9" s="183">
        <f>SUM(L10:L40)</f>
        <v>10</v>
      </c>
      <c r="M9" s="206">
        <f>SUM(M10:M40)</f>
        <v>0</v>
      </c>
      <c r="N9" s="185" t="s">
        <v>108</v>
      </c>
      <c r="O9" s="326"/>
      <c r="P9" s="271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31">
        <f>SUMPRODUCT((($C$10:$C$40="férié")*(WEEKDAY($D$10:$D$40)&lt;&gt;1)+($C$10:$C$40="se"))*($N$10:$N$40&gt;0))</f>
        <v>11</v>
      </c>
      <c r="W9" s="301"/>
      <c r="X9" s="300">
        <f>SUMPRODUCT((WEEKDAY($D$10:$D$40)=1)*($N$10:$N$40&gt;0))</f>
        <v>1</v>
      </c>
      <c r="Y9" s="300"/>
      <c r="Z9" s="301">
        <f>SUMPRODUCT(($C$10:$C$40="férié")*($N$10:$N$40&gt;0))</f>
        <v>1</v>
      </c>
      <c r="AA9" s="301"/>
      <c r="AB9" s="301">
        <f>COUNTA(G10:G40)</f>
        <v>12</v>
      </c>
      <c r="AC9" s="302"/>
      <c r="AD9" s="43"/>
      <c r="AE9" s="303"/>
      <c r="AF9" s="304"/>
      <c r="AG9" s="28"/>
      <c r="AH9" s="10" t="s">
        <v>21</v>
      </c>
      <c r="AI9" s="2">
        <f>Z5*24</f>
        <v>24</v>
      </c>
      <c r="AJ9" s="113">
        <v>9.93</v>
      </c>
      <c r="AK9" s="251">
        <f t="shared" si="0"/>
        <v>238.32</v>
      </c>
      <c r="AL9" s="28"/>
      <c r="AM9" s="28"/>
      <c r="AN9" s="28"/>
      <c r="AO9" s="28"/>
      <c r="AP9" s="28"/>
    </row>
    <row r="10" spans="1:42" ht="15.75">
      <c r="A10" s="28"/>
      <c r="B10" s="188">
        <v>1</v>
      </c>
      <c r="C10" s="57" t="str">
        <f t="shared" ref="C10:C40" si="1">IF(D10=0,0,IF(COUNTIF(Fériés,D10)&gt;0,"Férié",IF(WEEKDAY(D10,2)&lt;=6,"Se","Dim")))</f>
        <v>Férié</v>
      </c>
      <c r="D10" s="156">
        <f>DATE(An,1,1)</f>
        <v>42370</v>
      </c>
      <c r="E10" s="117"/>
      <c r="F10" s="117"/>
      <c r="G10" s="118">
        <v>0.95833333333333337</v>
      </c>
      <c r="H10" s="118">
        <v>0.95833333333333337</v>
      </c>
      <c r="I10" s="262">
        <f>IF(OR(G10="",H10=""),"",MOD(H10-G10,1)+(G10=H10))</f>
        <v>1</v>
      </c>
      <c r="J10" s="121"/>
      <c r="K10" s="122"/>
      <c r="L10" s="240">
        <f>IF(N10*24&gt;=6,1,"")</f>
        <v>1</v>
      </c>
      <c r="M10" s="241" t="str">
        <f t="shared" ref="M10:M40" si="2">IF(E10="Maitre chien",I10+J10+K10,"")</f>
        <v/>
      </c>
      <c r="N10" s="207">
        <f t="shared" ref="N10:N40" si="3">SUM(I10,J10,K10)</f>
        <v>1</v>
      </c>
      <c r="O10" s="125"/>
      <c r="P10" s="440">
        <f>IF(OR($D10="",I10="",P$9=""),"",IF($I10=1,1/4,IF($G10&gt;$H10,MAX(,MIN(P$9,$H10+24/24)-MAX(P$8,$G10)),MAX(MIN(P$9,$H10)-MAX(P$8,$G10)))))</f>
        <v>0.25</v>
      </c>
      <c r="Q10" s="441">
        <f>IF(OR($D10="",P10="",Q$9=""),"",IF($I10=1,(1/24)*15,IF($G10&gt;$H10,MAX(,MIN(Q$9,$H10+24/24)-MAX(Q$8,$G10)),MAX(,MIN(Q$9,$H10)-MAX(Q$8,$G10)))))</f>
        <v>0.625</v>
      </c>
      <c r="R10" s="442">
        <f>IF(OR($D10="",Q10="",R$9=""),"",IF($I10=1,(1/8),IF($G10&gt;$H10,MAX(,MIN(R$9,$H10+24/24)-MAX(R$8,$G10)),MAX(,MIN(R$9,$H10)-MAX(R$8,$G10)))))</f>
        <v>0.125</v>
      </c>
      <c r="S10" s="273"/>
      <c r="T10" s="274"/>
      <c r="U10" s="272"/>
      <c r="V10" s="216">
        <f>SUMPRODUCT(($C$10="se")*($AB$10))</f>
        <v>0</v>
      </c>
      <c r="W10" s="217">
        <f>SUMPRODUCT(($C$10="se")*($AC$10))</f>
        <v>0</v>
      </c>
      <c r="X10" s="218">
        <f t="shared" ref="X10:X40" si="4">(WEEKDAY($D10)=1)*($AB10)</f>
        <v>0</v>
      </c>
      <c r="Y10" s="219">
        <f t="shared" ref="Y10:Y40" si="5">(WEEKDAY($D10)=1)*($AC10)</f>
        <v>0</v>
      </c>
      <c r="Z10" s="234">
        <f>SUMPRODUCT(($C$10="férié")*($AB$10))</f>
        <v>0.625</v>
      </c>
      <c r="AA10" s="235">
        <f>SUMPRODUCT(($C$10="férié")*($AC$10))</f>
        <v>0.375</v>
      </c>
      <c r="AB10" s="228">
        <f>SUM(J10,Q10,T10)</f>
        <v>0.625</v>
      </c>
      <c r="AC10" s="229">
        <f>SUM(K10,P10,R10,S10,U10)</f>
        <v>0.375</v>
      </c>
      <c r="AD10" s="43"/>
      <c r="AE10" s="92" t="s">
        <v>71</v>
      </c>
      <c r="AF10" s="213">
        <f>SUMIF(D10:D40,"&gt;0",AB10:AB40)</f>
        <v>3.9375</v>
      </c>
      <c r="AG10" s="28"/>
      <c r="AH10" s="12" t="s">
        <v>22</v>
      </c>
      <c r="AI10" s="2">
        <f>SUM(AI5:AI9)</f>
        <v>175</v>
      </c>
      <c r="AJ10" s="113">
        <v>0.13100000000000001</v>
      </c>
      <c r="AK10" s="251">
        <f t="shared" si="0"/>
        <v>22.925000000000001</v>
      </c>
      <c r="AL10" s="28"/>
      <c r="AM10" s="28"/>
      <c r="AN10" s="28"/>
      <c r="AO10" s="28"/>
      <c r="AP10" s="28"/>
    </row>
    <row r="11" spans="1:42" ht="16.5" thickBot="1">
      <c r="A11" s="28"/>
      <c r="B11" s="188">
        <v>2</v>
      </c>
      <c r="C11" s="57" t="str">
        <f t="shared" si="1"/>
        <v>Se</v>
      </c>
      <c r="D11" s="157">
        <f>IF(D10=0,0,IF(MONTH(D10+1)=MONTH($D$10),D10+1,0))</f>
        <v>42371</v>
      </c>
      <c r="E11" s="119"/>
      <c r="F11" s="119"/>
      <c r="G11" s="120">
        <v>0.95833333333333337</v>
      </c>
      <c r="H11" s="120">
        <v>0.95833333333333337</v>
      </c>
      <c r="I11" s="263">
        <f t="shared" ref="I11:I40" si="6">IF(OR(G11="",H11=""),"",MOD(H11-G11,1)+(G11=H11))</f>
        <v>1</v>
      </c>
      <c r="J11" s="123"/>
      <c r="K11" s="124"/>
      <c r="L11" s="242">
        <f t="shared" ref="L11:L40" si="7">IF(N11*24&gt;=6,1,"")</f>
        <v>1</v>
      </c>
      <c r="M11" s="243" t="str">
        <f t="shared" si="2"/>
        <v/>
      </c>
      <c r="N11" s="208">
        <f t="shared" si="3"/>
        <v>1</v>
      </c>
      <c r="O11" s="126"/>
      <c r="P11" s="443">
        <f>IF(OR($D11="",I11="",P$9=""),"",IF($I11=1,1/4,IF($G11&gt;$H11,MAX(,MIN(P$9,$H11+24/24)-MAX(P$8,$G11)),MAX(MIN(P$9,$H11)-MAX(P$8,$G11)))))</f>
        <v>0.25</v>
      </c>
      <c r="Q11" s="444">
        <f>IF(OR($D11="",P11="",Q$9=""),"",IF($I11=1,(1/24)*15,IF($G11&gt;$H11,MAX(,MIN(Q$9,$H11+24/24)-MAX(Q$8,$G11)),MAX(,MIN(Q$9,$H11)-MAX(Q$8,$G11)))))</f>
        <v>0.625</v>
      </c>
      <c r="R11" s="445">
        <f>IF(OR($D11="",Q11="",R$9=""),"",IF($I11=1,(1/8),IF($G11&gt;$H11,MAX(,MIN(R$9,$H11+24/24)-MAX(R$8,$G11)),MAX(,MIN(R$9,$H11)-MAX(R$8,$G11)))))</f>
        <v>0.125</v>
      </c>
      <c r="S11" s="446">
        <f>IF(OR(R10="",S$9=""),"",IF(AND($I10=1,$G10&gt;0),IF($G10&gt;=$H10,MAX(,MIN(S$9,$H10+24/24)-MAX(S$8,$G10)),MAX(MIN(S$9,$H10)-MAX(S$8,$G10))),0))</f>
        <v>0.25</v>
      </c>
      <c r="T11" s="447">
        <f>IF(OR(S11="",T$9=""),"",IF(AND($I10=1,$G10&gt;0),IF($G10&gt;=$H10,MAX(,MIN(T$9,$H10+24/24)-MAX(T$8,$G10)),MAX(,MIN(T$9,$H10)-MAX(T$8,$G10))),0))</f>
        <v>0.625</v>
      </c>
      <c r="U11" s="445">
        <f>IF(OR(T11="",U$9=""),"",IF(AND($I10=1,$G10&gt;0),IF($G10&gt;=$H10,MAX(,MIN(U$9,$H10+24/24)-MAX(U$8,$G10)),MAX(,MIN(U$9,$H10)-MAX(U$8,$G10))),0))</f>
        <v>8.3333333333333481E-2</v>
      </c>
      <c r="V11" s="220">
        <f>SUMPRODUCT(($C$11="se")*($AB$11))</f>
        <v>1.25</v>
      </c>
      <c r="W11" s="221">
        <f>SUMPRODUCT(($C$11="se")*($AC$11))</f>
        <v>0.70833333333333348</v>
      </c>
      <c r="X11" s="222">
        <f t="shared" si="4"/>
        <v>0</v>
      </c>
      <c r="Y11" s="223">
        <f t="shared" si="5"/>
        <v>0</v>
      </c>
      <c r="Z11" s="236">
        <f>SUMPRODUCT(($C$11="férié")*($AB$11))</f>
        <v>0</v>
      </c>
      <c r="AA11" s="237">
        <f>SUMPRODUCT(($C$11="férié")*($AC$11))</f>
        <v>0</v>
      </c>
      <c r="AB11" s="230">
        <f>SUM(J11,Q11,T11)</f>
        <v>1.25</v>
      </c>
      <c r="AC11" s="231">
        <f>SUM(K11,P11,R11,S11,U11)</f>
        <v>0.70833333333333348</v>
      </c>
      <c r="AD11" s="43"/>
      <c r="AE11" s="305"/>
      <c r="AF11" s="306"/>
      <c r="AG11" s="28"/>
      <c r="AH11" s="13" t="s">
        <v>24</v>
      </c>
      <c r="AI11" s="14">
        <f>SUM(AI6+AI8)</f>
        <v>71.5</v>
      </c>
      <c r="AJ11" s="114"/>
      <c r="AK11" s="249"/>
      <c r="AL11" s="28"/>
      <c r="AM11" s="28"/>
      <c r="AN11" s="28"/>
      <c r="AO11" s="28"/>
      <c r="AP11" s="28"/>
    </row>
    <row r="12" spans="1:42" ht="16.5" thickBot="1">
      <c r="A12" s="28"/>
      <c r="B12" s="188">
        <v>3</v>
      </c>
      <c r="C12" s="57" t="str">
        <f t="shared" si="1"/>
        <v>Dim</v>
      </c>
      <c r="D12" s="157">
        <f t="shared" ref="D12:D40" si="8">IF(D11=0,0,IF(MONTH(D11+1)=MONTH($D$10),D11+1,0))</f>
        <v>42372</v>
      </c>
      <c r="E12" s="119"/>
      <c r="F12" s="119"/>
      <c r="G12" s="120">
        <v>0.66666666666666696</v>
      </c>
      <c r="H12" s="120">
        <v>0.33333333333333298</v>
      </c>
      <c r="I12" s="263">
        <f t="shared" si="6"/>
        <v>0.66666666666666607</v>
      </c>
      <c r="J12" s="123"/>
      <c r="K12" s="124"/>
      <c r="L12" s="242">
        <f t="shared" si="7"/>
        <v>1</v>
      </c>
      <c r="M12" s="243" t="str">
        <f t="shared" si="2"/>
        <v/>
      </c>
      <c r="N12" s="208">
        <f t="shared" si="3"/>
        <v>0.66666666666666607</v>
      </c>
      <c r="O12" s="126"/>
      <c r="P12" s="265">
        <f t="shared" ref="P11:P40" si="9">IF(OR($D12="",I12="",P$9=""),"",IF($G12&gt;$H12,MAX(,MIN(P$9,$H12+24/24)-MAX(P$8,$G12)),MAX(,MIN(P$9,$I12)-MAX(P$8,$G12))))</f>
        <v>0</v>
      </c>
      <c r="Q12" s="275">
        <f t="shared" ref="Q11:R29" si="10">IF(OR($D12="",P12="",Q$9=""),"",IF($G12&gt;$H12,MAX(,MIN(Q$9,$H12+24/24)-MAX(Q$8,$G12)),MAX(,MIN(Q$9,$H12)-MAX(Q$8,$G12))))</f>
        <v>0.20833333333333304</v>
      </c>
      <c r="R12" s="276">
        <f t="shared" si="10"/>
        <v>0.125</v>
      </c>
      <c r="S12" s="446">
        <f>IF(OR(R11="",S$9=""),"",IF(AND($I11=1,$G11&gt;0),IF($G11&gt;=$H11,MAX(,MIN(S$9,$H11+24/24)-MAX(S$8,$G11)),MAX(MIN(S$9,$H11)-MAX(S$8,$G11))),0))</f>
        <v>0.25</v>
      </c>
      <c r="T12" s="447">
        <f>IF(OR(S12="",T$9=""),"",IF(AND($I11=1,$G11&gt;0),IF($G11&gt;=$H11,MAX(,MIN(T$9,$H11+24/24)-MAX(T$8,$G11)),MAX(,MIN(T$9,$H11)-MAX(T$8,$G11))),0))</f>
        <v>0.625</v>
      </c>
      <c r="U12" s="445">
        <f>IF(OR(T12="",U$9=""),"",IF(AND($I11=1,$G11&gt;0),IF($G11&gt;=$H11,MAX(,MIN(U$9,$H11+24/24)-MAX(U$8,$G11)),MAX(,MIN(U$9,$H11)-MAX(U$8,$G11))),0))</f>
        <v>8.3333333333333481E-2</v>
      </c>
      <c r="V12" s="220">
        <f>SUMPRODUCT(($C$12="se")*($AB$12))</f>
        <v>0</v>
      </c>
      <c r="W12" s="221">
        <f>SUMPRODUCT(($C$12="se")*($AC$12))</f>
        <v>0</v>
      </c>
      <c r="X12" s="222">
        <f t="shared" si="4"/>
        <v>0.83333333333333304</v>
      </c>
      <c r="Y12" s="223">
        <f t="shared" si="5"/>
        <v>0.45833333333333348</v>
      </c>
      <c r="Z12" s="236">
        <f>SUMPRODUCT(($C$12="férié")*($AB$12))</f>
        <v>0</v>
      </c>
      <c r="AA12" s="237">
        <f>SUMPRODUCT(($C$12="férié")*($AC$12))</f>
        <v>0</v>
      </c>
      <c r="AB12" s="230">
        <f t="shared" ref="AB12:AB40" si="11">SUM(J12,Q12,T12)</f>
        <v>0.83333333333333304</v>
      </c>
      <c r="AC12" s="231">
        <f t="shared" ref="AC12:AC40" si="12">SUM(K12,P12,R12,S12,U12)</f>
        <v>0.45833333333333348</v>
      </c>
      <c r="AD12" s="43"/>
      <c r="AE12" s="92" t="s">
        <v>72</v>
      </c>
      <c r="AF12" s="213">
        <f>SUMIF(D10:D40,"&gt;0",AC10:AC40)</f>
        <v>3.354166666666667</v>
      </c>
      <c r="AG12" s="28"/>
      <c r="AH12" s="47"/>
      <c r="AI12" s="40"/>
      <c r="AJ12" s="19" t="s">
        <v>76</v>
      </c>
      <c r="AK12" s="247">
        <f>SUM(AK5:AK11)</f>
        <v>949.08150000000001</v>
      </c>
      <c r="AL12" s="28"/>
      <c r="AM12" s="28"/>
      <c r="AN12" s="28"/>
      <c r="AO12" s="28"/>
      <c r="AP12" s="28"/>
    </row>
    <row r="13" spans="1:42" ht="16.5" thickBot="1">
      <c r="A13" s="28"/>
      <c r="B13" s="188">
        <v>4</v>
      </c>
      <c r="C13" s="57" t="str">
        <f t="shared" si="1"/>
        <v>Se</v>
      </c>
      <c r="D13" s="157">
        <f t="shared" si="8"/>
        <v>42373</v>
      </c>
      <c r="E13" s="119"/>
      <c r="F13" s="119"/>
      <c r="G13" s="120"/>
      <c r="H13" s="120"/>
      <c r="I13" s="263" t="str">
        <f t="shared" si="6"/>
        <v/>
      </c>
      <c r="J13" s="123"/>
      <c r="K13" s="124"/>
      <c r="L13" s="242" t="str">
        <f t="shared" si="7"/>
        <v/>
      </c>
      <c r="M13" s="243" t="str">
        <f t="shared" si="2"/>
        <v/>
      </c>
      <c r="N13" s="208">
        <f t="shared" si="3"/>
        <v>0</v>
      </c>
      <c r="O13" s="126"/>
      <c r="P13" s="265" t="str">
        <f t="shared" si="9"/>
        <v/>
      </c>
      <c r="Q13" s="275" t="str">
        <f t="shared" si="10"/>
        <v/>
      </c>
      <c r="R13" s="276" t="str">
        <f t="shared" si="10"/>
        <v/>
      </c>
      <c r="S13" s="277">
        <f t="shared" ref="S12:S40" si="13">IF(OR(R12="",S$9=""),"",IF($G12&gt;$H12,MAX(,MIN(S$9,$H12+24/24)-MAX(S$8,$G12)),MAX(,MIN(S$9,$H12)-MAX(S$8,$G12))))</f>
        <v>0.25</v>
      </c>
      <c r="T13" s="278">
        <f t="shared" ref="T12:U27" si="14">IF(OR(S13="",T$9=""),"",IF($G12&gt;$H12,MAX(,MIN(T$9,$H12+24/24)-MAX(T$8,$G12)),MAX(,MIN(T$9,$H12)-MAX(T$8,$G12))))</f>
        <v>8.3333333333333037E-2</v>
      </c>
      <c r="U13" s="276">
        <f t="shared" si="14"/>
        <v>0</v>
      </c>
      <c r="V13" s="220">
        <f>SUMPRODUCT(($C$13="se")*($AB$13))</f>
        <v>8.3333333333333037E-2</v>
      </c>
      <c r="W13" s="221">
        <f>SUMPRODUCT(($C$13="se")*($AC$13))</f>
        <v>0.25</v>
      </c>
      <c r="X13" s="222">
        <f t="shared" si="4"/>
        <v>0</v>
      </c>
      <c r="Y13" s="223">
        <f t="shared" si="5"/>
        <v>0</v>
      </c>
      <c r="Z13" s="236">
        <f>SUMPRODUCT(($C$13="férié")*($AB$13))</f>
        <v>0</v>
      </c>
      <c r="AA13" s="237">
        <f>SUMPRODUCT(($C$13="férié")*($AC$13))</f>
        <v>0</v>
      </c>
      <c r="AB13" s="230">
        <f t="shared" si="11"/>
        <v>8.3333333333333037E-2</v>
      </c>
      <c r="AC13" s="231">
        <f t="shared" si="12"/>
        <v>0.25</v>
      </c>
      <c r="AD13" s="43"/>
      <c r="AE13" s="289"/>
      <c r="AF13" s="290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.75">
      <c r="A14" s="28"/>
      <c r="B14" s="188">
        <v>5</v>
      </c>
      <c r="C14" s="57" t="str">
        <f t="shared" si="1"/>
        <v>Se</v>
      </c>
      <c r="D14" s="157">
        <f t="shared" si="8"/>
        <v>42374</v>
      </c>
      <c r="E14" s="119"/>
      <c r="F14" s="119"/>
      <c r="G14" s="120"/>
      <c r="H14" s="120"/>
      <c r="I14" s="263" t="str">
        <f t="shared" si="6"/>
        <v/>
      </c>
      <c r="J14" s="123"/>
      <c r="K14" s="124"/>
      <c r="L14" s="242" t="str">
        <f t="shared" si="7"/>
        <v/>
      </c>
      <c r="M14" s="243" t="str">
        <f t="shared" si="2"/>
        <v/>
      </c>
      <c r="N14" s="208">
        <f t="shared" si="3"/>
        <v>0</v>
      </c>
      <c r="O14" s="126"/>
      <c r="P14" s="265" t="str">
        <f t="shared" si="9"/>
        <v/>
      </c>
      <c r="Q14" s="275" t="str">
        <f t="shared" si="10"/>
        <v/>
      </c>
      <c r="R14" s="276" t="str">
        <f t="shared" si="10"/>
        <v/>
      </c>
      <c r="S14" s="277" t="str">
        <f t="shared" si="13"/>
        <v/>
      </c>
      <c r="T14" s="278" t="str">
        <f t="shared" si="14"/>
        <v/>
      </c>
      <c r="U14" s="276" t="str">
        <f t="shared" si="14"/>
        <v/>
      </c>
      <c r="V14" s="220">
        <f>SUMPRODUCT(($C$14="se")*($AB$14))</f>
        <v>0</v>
      </c>
      <c r="W14" s="221">
        <f>SUMPRODUCT(($C$14="se")*($AC$14))</f>
        <v>0</v>
      </c>
      <c r="X14" s="222">
        <f t="shared" si="4"/>
        <v>0</v>
      </c>
      <c r="Y14" s="223">
        <f t="shared" si="5"/>
        <v>0</v>
      </c>
      <c r="Z14" s="236">
        <f>SUMPRODUCT(($C$14="férié")*($AB$14))</f>
        <v>0</v>
      </c>
      <c r="AA14" s="237">
        <f>SUMPRODUCT(($C$14="férié")*($AC$14))</f>
        <v>0</v>
      </c>
      <c r="AB14" s="230">
        <f t="shared" si="11"/>
        <v>0</v>
      </c>
      <c r="AC14" s="231">
        <f t="shared" si="12"/>
        <v>0</v>
      </c>
      <c r="AD14" s="43"/>
      <c r="AE14" s="96" t="s">
        <v>81</v>
      </c>
      <c r="AF14" s="97">
        <f>SUMPRODUCT((WEEKDAY($D$10:$D$40)=1)*($N$10:$N$40&gt;0))</f>
        <v>1</v>
      </c>
      <c r="AG14" s="28"/>
      <c r="AH14" s="311" t="s">
        <v>16</v>
      </c>
      <c r="AI14" s="312"/>
      <c r="AJ14" s="312"/>
      <c r="AK14" s="313"/>
      <c r="AL14" s="28"/>
      <c r="AM14" s="28"/>
      <c r="AN14" s="28"/>
      <c r="AO14" s="28"/>
      <c r="AP14" s="28"/>
    </row>
    <row r="15" spans="1:42" ht="15.75">
      <c r="A15" s="28"/>
      <c r="B15" s="188">
        <v>6</v>
      </c>
      <c r="C15" s="57" t="str">
        <f t="shared" si="1"/>
        <v>Se</v>
      </c>
      <c r="D15" s="157">
        <f t="shared" si="8"/>
        <v>42375</v>
      </c>
      <c r="E15" s="119"/>
      <c r="F15" s="119"/>
      <c r="G15" s="120">
        <v>0.33333333333333331</v>
      </c>
      <c r="H15" s="120">
        <v>0.33333333333333298</v>
      </c>
      <c r="I15" s="263">
        <f t="shared" si="6"/>
        <v>1.9999999999999996</v>
      </c>
      <c r="J15" s="123"/>
      <c r="K15" s="124"/>
      <c r="L15" s="242">
        <f t="shared" si="7"/>
        <v>1</v>
      </c>
      <c r="M15" s="243" t="str">
        <f t="shared" si="2"/>
        <v/>
      </c>
      <c r="N15" s="208">
        <f t="shared" si="3"/>
        <v>1.9999999999999996</v>
      </c>
      <c r="O15" s="126"/>
      <c r="P15" s="265">
        <f>IF(OR($D15="",I15="",P$9=""),"",IF($G15&gt;$H15,MAX(,MIN(P$9,$H15+24/24)-MAX(P$8,$G15)),IF($I15=1,IF($G15&gt;$H15,MAX(,MIN(P$9,$H15+24/24)-MAX(P$8,$G15)),MAX(MIN(P$9,$H15)-MAX(P$8,$G15))),0)))</f>
        <v>0</v>
      </c>
      <c r="Q15" s="275">
        <f t="shared" si="10"/>
        <v>0</v>
      </c>
      <c r="R15" s="276">
        <f t="shared" si="10"/>
        <v>0</v>
      </c>
      <c r="S15" s="277" t="str">
        <f t="shared" si="13"/>
        <v/>
      </c>
      <c r="T15" s="278" t="str">
        <f t="shared" si="14"/>
        <v/>
      </c>
      <c r="U15" s="276" t="str">
        <f t="shared" si="14"/>
        <v/>
      </c>
      <c r="V15" s="220">
        <f>SUMPRODUCT(($C$15="se")*($AB$15))</f>
        <v>0</v>
      </c>
      <c r="W15" s="221">
        <f>SUMPRODUCT(($C$15="se")*($AC$15))</f>
        <v>0</v>
      </c>
      <c r="X15" s="222">
        <f t="shared" si="4"/>
        <v>0</v>
      </c>
      <c r="Y15" s="223">
        <f t="shared" si="5"/>
        <v>0</v>
      </c>
      <c r="Z15" s="236">
        <f>SUMPRODUCT(($C$15="férié")*($AB$15))</f>
        <v>0</v>
      </c>
      <c r="AA15" s="237">
        <f>SUMPRODUCT(($C$15="férié")*($AC$15))</f>
        <v>0</v>
      </c>
      <c r="AB15" s="230">
        <f t="shared" si="11"/>
        <v>0</v>
      </c>
      <c r="AC15" s="231">
        <f t="shared" si="12"/>
        <v>0</v>
      </c>
      <c r="AD15" s="43"/>
      <c r="AE15" s="303"/>
      <c r="AF15" s="304"/>
      <c r="AG15" s="28"/>
      <c r="AH15" s="86"/>
      <c r="AI15" s="87" t="s">
        <v>11</v>
      </c>
      <c r="AJ15" s="87" t="s">
        <v>23</v>
      </c>
      <c r="AK15" s="88" t="s">
        <v>11</v>
      </c>
      <c r="AL15" s="28"/>
      <c r="AM15" s="28"/>
      <c r="AN15" s="28"/>
      <c r="AO15" s="28"/>
      <c r="AP15" s="28"/>
    </row>
    <row r="16" spans="1:42" ht="15.75">
      <c r="A16" s="28"/>
      <c r="B16" s="188">
        <v>7</v>
      </c>
      <c r="C16" s="57" t="str">
        <f t="shared" si="1"/>
        <v>Se</v>
      </c>
      <c r="D16" s="157">
        <f t="shared" si="8"/>
        <v>42376</v>
      </c>
      <c r="E16" s="119"/>
      <c r="F16" s="119"/>
      <c r="G16" s="120"/>
      <c r="H16" s="120"/>
      <c r="I16" s="263" t="str">
        <f t="shared" si="6"/>
        <v/>
      </c>
      <c r="J16" s="123"/>
      <c r="K16" s="124"/>
      <c r="L16" s="242" t="str">
        <f t="shared" si="7"/>
        <v/>
      </c>
      <c r="M16" s="243" t="str">
        <f t="shared" si="2"/>
        <v/>
      </c>
      <c r="N16" s="208">
        <f t="shared" si="3"/>
        <v>0</v>
      </c>
      <c r="O16" s="126"/>
      <c r="P16" s="265" t="str">
        <f t="shared" si="9"/>
        <v/>
      </c>
      <c r="Q16" s="275" t="str">
        <f t="shared" si="10"/>
        <v/>
      </c>
      <c r="R16" s="276" t="str">
        <f t="shared" si="10"/>
        <v/>
      </c>
      <c r="S16" s="277">
        <f t="shared" si="13"/>
        <v>0</v>
      </c>
      <c r="T16" s="278">
        <f t="shared" si="14"/>
        <v>0</v>
      </c>
      <c r="U16" s="276">
        <f t="shared" si="14"/>
        <v>0</v>
      </c>
      <c r="V16" s="220">
        <f>SUMPRODUCT(($C$16="se")*($AB$16))</f>
        <v>0</v>
      </c>
      <c r="W16" s="221">
        <f>SUMPRODUCT(($C$16="se")*($AC$16))</f>
        <v>0</v>
      </c>
      <c r="X16" s="222">
        <f t="shared" si="4"/>
        <v>0</v>
      </c>
      <c r="Y16" s="223">
        <f t="shared" si="5"/>
        <v>0</v>
      </c>
      <c r="Z16" s="236">
        <f>SUMPRODUCT(($C$16="férié")*($AB$16))</f>
        <v>0</v>
      </c>
      <c r="AA16" s="237">
        <f>SUMPRODUCT(($C$16="férié")*($AC$16))</f>
        <v>0</v>
      </c>
      <c r="AB16" s="230">
        <f t="shared" si="11"/>
        <v>0</v>
      </c>
      <c r="AC16" s="231">
        <f t="shared" si="12"/>
        <v>0</v>
      </c>
      <c r="AD16" s="43"/>
      <c r="AE16" s="96" t="s">
        <v>75</v>
      </c>
      <c r="AF16" s="214">
        <f>SUM(X7+Y7)</f>
        <v>1.5833333333333335</v>
      </c>
      <c r="AG16" s="28"/>
      <c r="AH16" s="16" t="s">
        <v>78</v>
      </c>
      <c r="AI16" s="3">
        <f>SUM(L10:L40)</f>
        <v>10</v>
      </c>
      <c r="AJ16" s="115">
        <v>3.43</v>
      </c>
      <c r="AK16" s="248">
        <f>AI16*AJ16</f>
        <v>34.300000000000004</v>
      </c>
      <c r="AL16" s="28"/>
      <c r="AM16" s="28"/>
      <c r="AN16" s="28"/>
      <c r="AO16" s="28"/>
      <c r="AP16" s="28"/>
    </row>
    <row r="17" spans="1:42" ht="16.5" thickBot="1">
      <c r="A17" s="28"/>
      <c r="B17" s="188">
        <v>8</v>
      </c>
      <c r="C17" s="57" t="str">
        <f t="shared" si="1"/>
        <v>Se</v>
      </c>
      <c r="D17" s="157">
        <f t="shared" si="8"/>
        <v>42377</v>
      </c>
      <c r="E17" s="119"/>
      <c r="F17" s="119"/>
      <c r="G17" s="120">
        <v>6.25E-2</v>
      </c>
      <c r="H17" s="120">
        <v>0.35416666666666702</v>
      </c>
      <c r="I17" s="263">
        <f t="shared" si="6"/>
        <v>0.29166666666666702</v>
      </c>
      <c r="J17" s="123"/>
      <c r="K17" s="124"/>
      <c r="L17" s="242">
        <f t="shared" si="7"/>
        <v>1</v>
      </c>
      <c r="M17" s="243" t="str">
        <f t="shared" si="2"/>
        <v/>
      </c>
      <c r="N17" s="208">
        <f t="shared" si="3"/>
        <v>0.29166666666666702</v>
      </c>
      <c r="O17" s="126"/>
      <c r="P17" s="265">
        <f t="shared" si="9"/>
        <v>0.1875</v>
      </c>
      <c r="Q17" s="275">
        <f t="shared" si="10"/>
        <v>0.10416666666666702</v>
      </c>
      <c r="R17" s="276">
        <f t="shared" si="10"/>
        <v>0</v>
      </c>
      <c r="S17" s="277" t="str">
        <f t="shared" si="13"/>
        <v/>
      </c>
      <c r="T17" s="278" t="str">
        <f t="shared" si="14"/>
        <v/>
      </c>
      <c r="U17" s="276" t="str">
        <f t="shared" si="14"/>
        <v/>
      </c>
      <c r="V17" s="220">
        <f>SUMPRODUCT(($C$17="se")*($AB$17))</f>
        <v>0.10416666666666702</v>
      </c>
      <c r="W17" s="221">
        <f>SUMPRODUCT(($C$17="se")*($AC$17))</f>
        <v>0.1875</v>
      </c>
      <c r="X17" s="222">
        <f t="shared" si="4"/>
        <v>0</v>
      </c>
      <c r="Y17" s="223">
        <f t="shared" si="5"/>
        <v>0</v>
      </c>
      <c r="Z17" s="236">
        <f>SUMPRODUCT(($C$17="férié")*($AB$17))</f>
        <v>0</v>
      </c>
      <c r="AA17" s="237">
        <f>SUMPRODUCT(($C$17="férié")*($AC$17))</f>
        <v>0</v>
      </c>
      <c r="AB17" s="230">
        <f t="shared" si="11"/>
        <v>0.10416666666666702</v>
      </c>
      <c r="AC17" s="231">
        <f t="shared" si="12"/>
        <v>0.1875</v>
      </c>
      <c r="AD17" s="43"/>
      <c r="AE17" s="303"/>
      <c r="AF17" s="304"/>
      <c r="AG17" s="28"/>
      <c r="AH17" s="18" t="s">
        <v>77</v>
      </c>
      <c r="AI17" s="89">
        <f>SUM(M10:M40)*24</f>
        <v>0</v>
      </c>
      <c r="AJ17" s="114">
        <v>0.81</v>
      </c>
      <c r="AK17" s="246">
        <f>AI17*AJ17</f>
        <v>0</v>
      </c>
      <c r="AL17" s="28"/>
      <c r="AM17" s="28"/>
      <c r="AN17" s="28"/>
      <c r="AO17" s="28"/>
      <c r="AP17" s="28"/>
    </row>
    <row r="18" spans="1:42" ht="16.5" thickBot="1">
      <c r="A18" s="28"/>
      <c r="B18" s="188">
        <v>9</v>
      </c>
      <c r="C18" s="57" t="str">
        <f t="shared" si="1"/>
        <v>Se</v>
      </c>
      <c r="D18" s="157">
        <f t="shared" si="8"/>
        <v>42378</v>
      </c>
      <c r="E18" s="119"/>
      <c r="F18" s="119"/>
      <c r="G18" s="120">
        <v>4.1666666666666664E-2</v>
      </c>
      <c r="H18" s="120">
        <v>0.25</v>
      </c>
      <c r="I18" s="263">
        <f t="shared" si="6"/>
        <v>0.20833333333333334</v>
      </c>
      <c r="J18" s="123"/>
      <c r="K18" s="124"/>
      <c r="L18" s="242" t="str">
        <f t="shared" si="7"/>
        <v/>
      </c>
      <c r="M18" s="243" t="str">
        <f t="shared" si="2"/>
        <v/>
      </c>
      <c r="N18" s="208">
        <f t="shared" si="3"/>
        <v>0.20833333333333334</v>
      </c>
      <c r="O18" s="126"/>
      <c r="P18" s="265">
        <f t="shared" si="9"/>
        <v>0.16666666666666669</v>
      </c>
      <c r="Q18" s="275">
        <f t="shared" si="10"/>
        <v>0</v>
      </c>
      <c r="R18" s="276">
        <f t="shared" si="10"/>
        <v>0</v>
      </c>
      <c r="S18" s="277">
        <f t="shared" si="13"/>
        <v>0</v>
      </c>
      <c r="T18" s="278">
        <f t="shared" si="14"/>
        <v>0</v>
      </c>
      <c r="U18" s="276">
        <f t="shared" si="14"/>
        <v>0</v>
      </c>
      <c r="V18" s="220">
        <f>SUMPRODUCT(($C$18="se")*($AB$18))</f>
        <v>0</v>
      </c>
      <c r="W18" s="221">
        <f>SUMPRODUCT(($C$18="se")*($AC$18))</f>
        <v>0.16666666666666669</v>
      </c>
      <c r="X18" s="222">
        <f t="shared" si="4"/>
        <v>0</v>
      </c>
      <c r="Y18" s="223">
        <f t="shared" si="5"/>
        <v>0</v>
      </c>
      <c r="Z18" s="236">
        <f>SUMPRODUCT(($C$18="férié")*($AB$18))</f>
        <v>0</v>
      </c>
      <c r="AA18" s="237">
        <f>SUMPRODUCT(($C$18="férié")*($AC$18))</f>
        <v>0</v>
      </c>
      <c r="AB18" s="230">
        <f t="shared" si="11"/>
        <v>0</v>
      </c>
      <c r="AC18" s="231">
        <f t="shared" si="12"/>
        <v>0.16666666666666669</v>
      </c>
      <c r="AD18" s="43"/>
      <c r="AE18" s="92" t="s">
        <v>73</v>
      </c>
      <c r="AF18" s="213">
        <f>SUMPRODUCT(($C$10:$C$40="dim")*($AB$10:$AB$40))</f>
        <v>0.875</v>
      </c>
      <c r="AG18" s="28"/>
      <c r="AH18" s="48"/>
      <c r="AI18" s="49"/>
      <c r="AJ18" s="19" t="s">
        <v>76</v>
      </c>
      <c r="AK18" s="247">
        <f>SUM(AK16:AK17)</f>
        <v>34.300000000000004</v>
      </c>
      <c r="AL18" s="28"/>
      <c r="AM18" s="28"/>
      <c r="AN18" s="28"/>
      <c r="AO18" s="28"/>
      <c r="AP18" s="28"/>
    </row>
    <row r="19" spans="1:42" ht="16.5" thickBot="1">
      <c r="A19" s="28"/>
      <c r="B19" s="188">
        <v>10</v>
      </c>
      <c r="C19" s="57" t="str">
        <f t="shared" si="1"/>
        <v>Dim</v>
      </c>
      <c r="D19" s="157">
        <f t="shared" si="8"/>
        <v>42379</v>
      </c>
      <c r="E19" s="119"/>
      <c r="F19" s="119"/>
      <c r="G19" s="120"/>
      <c r="H19" s="120"/>
      <c r="I19" s="263" t="str">
        <f t="shared" si="6"/>
        <v/>
      </c>
      <c r="J19" s="123"/>
      <c r="K19" s="124"/>
      <c r="L19" s="242" t="str">
        <f t="shared" si="7"/>
        <v/>
      </c>
      <c r="M19" s="243" t="str">
        <f t="shared" si="2"/>
        <v/>
      </c>
      <c r="N19" s="208">
        <f t="shared" si="3"/>
        <v>0</v>
      </c>
      <c r="O19" s="126"/>
      <c r="P19" s="265" t="str">
        <f t="shared" si="9"/>
        <v/>
      </c>
      <c r="Q19" s="275" t="str">
        <f t="shared" si="10"/>
        <v/>
      </c>
      <c r="R19" s="276" t="str">
        <f t="shared" si="10"/>
        <v/>
      </c>
      <c r="S19" s="277">
        <f t="shared" si="13"/>
        <v>0</v>
      </c>
      <c r="T19" s="278">
        <f t="shared" si="14"/>
        <v>0</v>
      </c>
      <c r="U19" s="276">
        <f t="shared" si="14"/>
        <v>0</v>
      </c>
      <c r="V19" s="220">
        <f>SUMPRODUCT(($C$19="se")*($AB$19))</f>
        <v>0</v>
      </c>
      <c r="W19" s="221">
        <f>SUMPRODUCT(($C$19="se")*($AC$19))</f>
        <v>0</v>
      </c>
      <c r="X19" s="222">
        <f t="shared" si="4"/>
        <v>0</v>
      </c>
      <c r="Y19" s="223">
        <f t="shared" si="5"/>
        <v>0</v>
      </c>
      <c r="Z19" s="236">
        <f>SUMPRODUCT(($C$19="férié")*($AB$19))</f>
        <v>0</v>
      </c>
      <c r="AA19" s="237">
        <f>SUMPRODUCT(($C$19="férié")*($AC$19))</f>
        <v>0</v>
      </c>
      <c r="AB19" s="230">
        <f t="shared" si="11"/>
        <v>0</v>
      </c>
      <c r="AC19" s="231">
        <f t="shared" si="12"/>
        <v>0</v>
      </c>
      <c r="AD19" s="43"/>
      <c r="AE19" s="289"/>
      <c r="AF19" s="290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.75">
      <c r="A20" s="28"/>
      <c r="B20" s="188">
        <v>11</v>
      </c>
      <c r="C20" s="57" t="str">
        <f t="shared" si="1"/>
        <v>Se</v>
      </c>
      <c r="D20" s="157">
        <f t="shared" si="8"/>
        <v>42380</v>
      </c>
      <c r="E20" s="119"/>
      <c r="F20" s="119"/>
      <c r="G20" s="120">
        <v>0.25</v>
      </c>
      <c r="H20" s="120">
        <v>0.79166666666666696</v>
      </c>
      <c r="I20" s="263">
        <f t="shared" si="6"/>
        <v>0.54166666666666696</v>
      </c>
      <c r="J20" s="123"/>
      <c r="K20" s="124"/>
      <c r="L20" s="242">
        <f t="shared" si="7"/>
        <v>1</v>
      </c>
      <c r="M20" s="243" t="str">
        <f t="shared" si="2"/>
        <v/>
      </c>
      <c r="N20" s="208">
        <f t="shared" si="3"/>
        <v>0.54166666666666696</v>
      </c>
      <c r="O20" s="126"/>
      <c r="P20" s="265">
        <f t="shared" si="9"/>
        <v>0</v>
      </c>
      <c r="Q20" s="275">
        <f t="shared" si="10"/>
        <v>0.54166666666666696</v>
      </c>
      <c r="R20" s="276">
        <f t="shared" si="10"/>
        <v>0</v>
      </c>
      <c r="S20" s="277" t="str">
        <f t="shared" si="13"/>
        <v/>
      </c>
      <c r="T20" s="278" t="str">
        <f t="shared" si="14"/>
        <v/>
      </c>
      <c r="U20" s="276" t="str">
        <f t="shared" si="14"/>
        <v/>
      </c>
      <c r="V20" s="220">
        <f>SUMPRODUCT(($C$20="se")*($AB$20))</f>
        <v>0.54166666666666696</v>
      </c>
      <c r="W20" s="221">
        <f>SUMPRODUCT(($C$20="se")*($AC$20))</f>
        <v>0</v>
      </c>
      <c r="X20" s="222">
        <f t="shared" si="4"/>
        <v>0</v>
      </c>
      <c r="Y20" s="223">
        <f t="shared" si="5"/>
        <v>0</v>
      </c>
      <c r="Z20" s="236">
        <f>SUMPRODUCT(($C$20="férié")*($AB$20))</f>
        <v>0</v>
      </c>
      <c r="AA20" s="237">
        <f>SUMPRODUCT(($C$20="férié")*($AC$20))</f>
        <v>0</v>
      </c>
      <c r="AB20" s="230">
        <f t="shared" si="11"/>
        <v>0.54166666666666696</v>
      </c>
      <c r="AC20" s="231">
        <f t="shared" si="12"/>
        <v>0</v>
      </c>
      <c r="AD20" s="43"/>
      <c r="AE20" s="92" t="s">
        <v>74</v>
      </c>
      <c r="AF20" s="213">
        <f>SUMPRODUCT(($C$10:$C$40="dim")*($AC$10:$AC$40))</f>
        <v>0.70833333333333348</v>
      </c>
      <c r="AG20" s="28"/>
      <c r="AH20" s="314" t="s">
        <v>82</v>
      </c>
      <c r="AI20" s="315"/>
      <c r="AJ20" s="315"/>
      <c r="AK20" s="316"/>
      <c r="AL20" s="28"/>
      <c r="AM20" s="28"/>
      <c r="AN20" s="28"/>
      <c r="AO20" s="28"/>
      <c r="AP20" s="28"/>
    </row>
    <row r="21" spans="1:42" ht="15.75">
      <c r="A21" s="28"/>
      <c r="B21" s="188">
        <v>12</v>
      </c>
      <c r="C21" s="57" t="str">
        <f t="shared" si="1"/>
        <v>Se</v>
      </c>
      <c r="D21" s="157">
        <f t="shared" si="8"/>
        <v>42381</v>
      </c>
      <c r="E21" s="119"/>
      <c r="F21" s="119"/>
      <c r="G21" s="120"/>
      <c r="H21" s="120"/>
      <c r="I21" s="263" t="str">
        <f t="shared" si="6"/>
        <v/>
      </c>
      <c r="J21" s="123"/>
      <c r="K21" s="124"/>
      <c r="L21" s="242" t="str">
        <f t="shared" si="7"/>
        <v/>
      </c>
      <c r="M21" s="243" t="str">
        <f t="shared" si="2"/>
        <v/>
      </c>
      <c r="N21" s="208">
        <f t="shared" si="3"/>
        <v>0</v>
      </c>
      <c r="O21" s="126"/>
      <c r="P21" s="265" t="str">
        <f t="shared" si="9"/>
        <v/>
      </c>
      <c r="Q21" s="275" t="str">
        <f t="shared" si="10"/>
        <v/>
      </c>
      <c r="R21" s="276" t="str">
        <f t="shared" si="10"/>
        <v/>
      </c>
      <c r="S21" s="277">
        <f t="shared" si="13"/>
        <v>0</v>
      </c>
      <c r="T21" s="278">
        <f t="shared" si="14"/>
        <v>0</v>
      </c>
      <c r="U21" s="276">
        <f t="shared" si="14"/>
        <v>0</v>
      </c>
      <c r="V21" s="220">
        <f>SUMPRODUCT(($C$21="se")*($AB$21))</f>
        <v>0</v>
      </c>
      <c r="W21" s="221">
        <f>SUMPRODUCT(($C$21="se")*($AC$21))</f>
        <v>0</v>
      </c>
      <c r="X21" s="222">
        <f t="shared" si="4"/>
        <v>0</v>
      </c>
      <c r="Y21" s="223">
        <f t="shared" si="5"/>
        <v>0</v>
      </c>
      <c r="Z21" s="236">
        <f>SUMPRODUCT(($C$21="férié")*($AB$21))</f>
        <v>0</v>
      </c>
      <c r="AA21" s="237">
        <f>SUMPRODUCT(($C$21="férié")*($AC$21))</f>
        <v>0</v>
      </c>
      <c r="AB21" s="230">
        <f t="shared" si="11"/>
        <v>0</v>
      </c>
      <c r="AC21" s="231">
        <f t="shared" si="12"/>
        <v>0</v>
      </c>
      <c r="AD21" s="43"/>
      <c r="AE21" s="289"/>
      <c r="AF21" s="290"/>
      <c r="AG21" s="28"/>
      <c r="AH21" s="307" t="str">
        <f>Réglages!Q20</f>
        <v>Carte SST</v>
      </c>
      <c r="AI21" s="308"/>
      <c r="AJ21" s="309">
        <f>Réglages!S20</f>
        <v>42402</v>
      </c>
      <c r="AK21" s="310"/>
      <c r="AL21" s="28"/>
      <c r="AM21" s="28"/>
      <c r="AN21" s="28"/>
      <c r="AO21" s="28"/>
      <c r="AP21" s="28"/>
    </row>
    <row r="22" spans="1:42" ht="15.75">
      <c r="A22" s="28"/>
      <c r="B22" s="188">
        <v>13</v>
      </c>
      <c r="C22" s="57" t="str">
        <f t="shared" si="1"/>
        <v>Se</v>
      </c>
      <c r="D22" s="157">
        <f t="shared" si="8"/>
        <v>42382</v>
      </c>
      <c r="E22" s="119"/>
      <c r="F22" s="119"/>
      <c r="G22" s="120"/>
      <c r="H22" s="120"/>
      <c r="I22" s="263" t="str">
        <f t="shared" si="6"/>
        <v/>
      </c>
      <c r="J22" s="123"/>
      <c r="K22" s="124"/>
      <c r="L22" s="242" t="str">
        <f t="shared" si="7"/>
        <v/>
      </c>
      <c r="M22" s="243" t="str">
        <f t="shared" si="2"/>
        <v/>
      </c>
      <c r="N22" s="208">
        <f t="shared" si="3"/>
        <v>0</v>
      </c>
      <c r="O22" s="126"/>
      <c r="P22" s="265" t="str">
        <f t="shared" si="9"/>
        <v/>
      </c>
      <c r="Q22" s="275" t="str">
        <f t="shared" si="10"/>
        <v/>
      </c>
      <c r="R22" s="276" t="str">
        <f t="shared" si="10"/>
        <v/>
      </c>
      <c r="S22" s="277" t="str">
        <f t="shared" si="13"/>
        <v/>
      </c>
      <c r="T22" s="278" t="str">
        <f t="shared" si="14"/>
        <v/>
      </c>
      <c r="U22" s="276" t="str">
        <f t="shared" si="14"/>
        <v/>
      </c>
      <c r="V22" s="220">
        <f>SUMPRODUCT(($C$22="se")*($AB$22))</f>
        <v>0</v>
      </c>
      <c r="W22" s="221">
        <f>SUMPRODUCT(($C$22="se")*($AC$22))</f>
        <v>0</v>
      </c>
      <c r="X22" s="222">
        <f t="shared" si="4"/>
        <v>0</v>
      </c>
      <c r="Y22" s="223">
        <f t="shared" si="5"/>
        <v>0</v>
      </c>
      <c r="Z22" s="236">
        <f>SUMPRODUCT(($C$22="férié")*($AB$22))</f>
        <v>0</v>
      </c>
      <c r="AA22" s="237">
        <f>SUMPRODUCT(($C$22="férié")*($AC$22))</f>
        <v>0</v>
      </c>
      <c r="AB22" s="230">
        <f t="shared" si="11"/>
        <v>0</v>
      </c>
      <c r="AC22" s="231">
        <f t="shared" si="12"/>
        <v>0</v>
      </c>
      <c r="AD22" s="43"/>
      <c r="AE22" s="92" t="s">
        <v>80</v>
      </c>
      <c r="AF22" s="99">
        <f>SUMPRODUCT(($C$10:$C$40="férié")*($N$10:$N$40&gt;0))</f>
        <v>1</v>
      </c>
      <c r="AG22" s="28"/>
      <c r="AH22" s="285" t="str">
        <f>Réglages!Q21</f>
        <v>HOBS-BE (Manœuvre)</v>
      </c>
      <c r="AI22" s="286"/>
      <c r="AJ22" s="283">
        <f>Réglages!S21</f>
        <v>42461</v>
      </c>
      <c r="AK22" s="284"/>
      <c r="AL22" s="28"/>
      <c r="AM22" s="28"/>
      <c r="AN22" s="28"/>
      <c r="AO22" s="28"/>
      <c r="AP22" s="28"/>
    </row>
    <row r="23" spans="1:42" ht="15.75">
      <c r="A23" s="28"/>
      <c r="B23" s="188">
        <v>14</v>
      </c>
      <c r="C23" s="57" t="str">
        <f t="shared" si="1"/>
        <v>Se</v>
      </c>
      <c r="D23" s="157">
        <f t="shared" si="8"/>
        <v>42383</v>
      </c>
      <c r="E23" s="119"/>
      <c r="F23" s="119"/>
      <c r="G23" s="120"/>
      <c r="H23" s="120"/>
      <c r="I23" s="263" t="str">
        <f t="shared" si="6"/>
        <v/>
      </c>
      <c r="J23" s="123"/>
      <c r="K23" s="124"/>
      <c r="L23" s="242" t="str">
        <f t="shared" si="7"/>
        <v/>
      </c>
      <c r="M23" s="243" t="str">
        <f t="shared" si="2"/>
        <v/>
      </c>
      <c r="N23" s="208">
        <f t="shared" si="3"/>
        <v>0</v>
      </c>
      <c r="O23" s="126"/>
      <c r="P23" s="265" t="str">
        <f t="shared" si="9"/>
        <v/>
      </c>
      <c r="Q23" s="275" t="str">
        <f t="shared" si="10"/>
        <v/>
      </c>
      <c r="R23" s="276" t="str">
        <f t="shared" si="10"/>
        <v/>
      </c>
      <c r="S23" s="277" t="str">
        <f t="shared" si="13"/>
        <v/>
      </c>
      <c r="T23" s="278" t="str">
        <f t="shared" si="14"/>
        <v/>
      </c>
      <c r="U23" s="276" t="str">
        <f t="shared" si="14"/>
        <v/>
      </c>
      <c r="V23" s="220">
        <f>SUMPRODUCT(($C$23="se")*($AB$23))</f>
        <v>0</v>
      </c>
      <c r="W23" s="221">
        <f>SUMPRODUCT(($C$23="se")*($AC$23))</f>
        <v>0</v>
      </c>
      <c r="X23" s="222">
        <f t="shared" si="4"/>
        <v>0</v>
      </c>
      <c r="Y23" s="223">
        <f t="shared" si="5"/>
        <v>0</v>
      </c>
      <c r="Z23" s="236">
        <f>SUMPRODUCT(($C$23="férié")*($AB$23))</f>
        <v>0</v>
      </c>
      <c r="AA23" s="237">
        <f>SUMPRODUCT(($C$23="férié")*($AC$23))</f>
        <v>0</v>
      </c>
      <c r="AB23" s="230">
        <f t="shared" si="11"/>
        <v>0</v>
      </c>
      <c r="AC23" s="231">
        <f t="shared" si="12"/>
        <v>0</v>
      </c>
      <c r="AD23" s="43"/>
      <c r="AE23" s="291"/>
      <c r="AF23" s="292"/>
      <c r="AG23" s="28"/>
      <c r="AH23" s="285" t="str">
        <f>Réglages!Q22</f>
        <v>SSIAP 1</v>
      </c>
      <c r="AI23" s="286"/>
      <c r="AJ23" s="283">
        <f>Réglages!S22</f>
        <v>42552</v>
      </c>
      <c r="AK23" s="284"/>
      <c r="AL23" s="28"/>
      <c r="AM23" s="28"/>
      <c r="AN23" s="28"/>
      <c r="AO23" s="28"/>
      <c r="AP23" s="28"/>
    </row>
    <row r="24" spans="1:42" ht="16.5" thickBot="1">
      <c r="A24" s="28"/>
      <c r="B24" s="188">
        <v>15</v>
      </c>
      <c r="C24" s="57" t="str">
        <f t="shared" si="1"/>
        <v>Se</v>
      </c>
      <c r="D24" s="157">
        <f t="shared" si="8"/>
        <v>42384</v>
      </c>
      <c r="E24" s="119"/>
      <c r="F24" s="119"/>
      <c r="G24" s="120">
        <v>0.95833333333333304</v>
      </c>
      <c r="H24" s="120">
        <v>0.25</v>
      </c>
      <c r="I24" s="263">
        <f t="shared" si="6"/>
        <v>0.29166666666666696</v>
      </c>
      <c r="J24" s="123"/>
      <c r="K24" s="124"/>
      <c r="L24" s="242">
        <f t="shared" si="7"/>
        <v>1</v>
      </c>
      <c r="M24" s="243" t="str">
        <f t="shared" si="2"/>
        <v/>
      </c>
      <c r="N24" s="208">
        <f t="shared" si="3"/>
        <v>0.29166666666666696</v>
      </c>
      <c r="O24" s="126"/>
      <c r="P24" s="265">
        <f t="shared" si="9"/>
        <v>0</v>
      </c>
      <c r="Q24" s="275">
        <f t="shared" si="10"/>
        <v>0</v>
      </c>
      <c r="R24" s="276">
        <f t="shared" si="10"/>
        <v>4.1666666666666963E-2</v>
      </c>
      <c r="S24" s="277" t="str">
        <f t="shared" si="13"/>
        <v/>
      </c>
      <c r="T24" s="278" t="str">
        <f t="shared" si="14"/>
        <v/>
      </c>
      <c r="U24" s="276" t="str">
        <f t="shared" si="14"/>
        <v/>
      </c>
      <c r="V24" s="220">
        <f>SUMPRODUCT(($C$24="se")*($AB$24))</f>
        <v>0</v>
      </c>
      <c r="W24" s="221">
        <f>SUMPRODUCT(($C$24="se")*($AC$24))</f>
        <v>4.1666666666666963E-2</v>
      </c>
      <c r="X24" s="222">
        <f t="shared" si="4"/>
        <v>0</v>
      </c>
      <c r="Y24" s="223">
        <f t="shared" si="5"/>
        <v>0</v>
      </c>
      <c r="Z24" s="236">
        <f>SUMPRODUCT(($C$24="férié")*($AB$24))</f>
        <v>0</v>
      </c>
      <c r="AA24" s="237">
        <f>SUMPRODUCT(($C$24="férié")*($AC$24))</f>
        <v>0</v>
      </c>
      <c r="AB24" s="230">
        <f t="shared" si="11"/>
        <v>0</v>
      </c>
      <c r="AC24" s="231">
        <f t="shared" si="12"/>
        <v>4.1666666666666963E-2</v>
      </c>
      <c r="AD24" s="43"/>
      <c r="AE24" s="92" t="s">
        <v>68</v>
      </c>
      <c r="AF24" s="213">
        <f>SUM(Z7+AA7)</f>
        <v>1</v>
      </c>
      <c r="AG24" s="28"/>
      <c r="AH24" s="287" t="str">
        <f>Réglages!Q23</f>
        <v>Carte PRO CNAPS</v>
      </c>
      <c r="AI24" s="288"/>
      <c r="AJ24" s="295">
        <f>Réglages!S23</f>
        <v>43405</v>
      </c>
      <c r="AK24" s="296"/>
      <c r="AL24" s="28"/>
      <c r="AM24" s="28"/>
      <c r="AN24" s="28"/>
      <c r="AO24" s="28"/>
      <c r="AP24" s="28"/>
    </row>
    <row r="25" spans="1:42" ht="15.75">
      <c r="A25" s="28"/>
      <c r="B25" s="188">
        <v>16</v>
      </c>
      <c r="C25" s="57" t="str">
        <f t="shared" si="1"/>
        <v>Se</v>
      </c>
      <c r="D25" s="157">
        <f t="shared" si="8"/>
        <v>42385</v>
      </c>
      <c r="E25" s="119"/>
      <c r="F25" s="119"/>
      <c r="G25" s="120"/>
      <c r="H25" s="120"/>
      <c r="I25" s="263" t="str">
        <f t="shared" si="6"/>
        <v/>
      </c>
      <c r="J25" s="123"/>
      <c r="K25" s="124"/>
      <c r="L25" s="242" t="str">
        <f t="shared" si="7"/>
        <v/>
      </c>
      <c r="M25" s="243" t="str">
        <f t="shared" si="2"/>
        <v/>
      </c>
      <c r="N25" s="208">
        <f t="shared" si="3"/>
        <v>0</v>
      </c>
      <c r="O25" s="126"/>
      <c r="P25" s="265" t="str">
        <f t="shared" si="9"/>
        <v/>
      </c>
      <c r="Q25" s="275" t="str">
        <f t="shared" si="10"/>
        <v/>
      </c>
      <c r="R25" s="276" t="str">
        <f t="shared" si="10"/>
        <v/>
      </c>
      <c r="S25" s="277">
        <f t="shared" si="13"/>
        <v>0.25</v>
      </c>
      <c r="T25" s="278">
        <f t="shared" si="14"/>
        <v>0</v>
      </c>
      <c r="U25" s="276">
        <f t="shared" si="14"/>
        <v>0</v>
      </c>
      <c r="V25" s="220">
        <f>SUMPRODUCT(($C$25="se")*($AB$25))</f>
        <v>0</v>
      </c>
      <c r="W25" s="221">
        <f>SUMPRODUCT(($C$25="se")*($AC$25))</f>
        <v>0.25</v>
      </c>
      <c r="X25" s="222">
        <f t="shared" si="4"/>
        <v>0</v>
      </c>
      <c r="Y25" s="223">
        <f t="shared" si="5"/>
        <v>0</v>
      </c>
      <c r="Z25" s="236">
        <f>SUMPRODUCT(($C$25="férié")*($AB$25))</f>
        <v>0</v>
      </c>
      <c r="AA25" s="237">
        <f>SUMPRODUCT(($C$25="férié")*($AC$25))</f>
        <v>0</v>
      </c>
      <c r="AB25" s="230">
        <f t="shared" si="11"/>
        <v>0</v>
      </c>
      <c r="AC25" s="231">
        <f t="shared" si="12"/>
        <v>0.25</v>
      </c>
      <c r="AD25" s="43"/>
      <c r="AE25" s="289"/>
      <c r="AF25" s="290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5.95" customHeight="1">
      <c r="A26" s="28"/>
      <c r="B26" s="188">
        <v>17</v>
      </c>
      <c r="C26" s="57" t="str">
        <f t="shared" si="1"/>
        <v>Dim</v>
      </c>
      <c r="D26" s="157">
        <f t="shared" si="8"/>
        <v>42386</v>
      </c>
      <c r="E26" s="119"/>
      <c r="F26" s="119"/>
      <c r="G26" s="120"/>
      <c r="H26" s="120"/>
      <c r="I26" s="263" t="str">
        <f t="shared" si="6"/>
        <v/>
      </c>
      <c r="J26" s="123"/>
      <c r="K26" s="124"/>
      <c r="L26" s="242" t="str">
        <f t="shared" si="7"/>
        <v/>
      </c>
      <c r="M26" s="243" t="str">
        <f t="shared" si="2"/>
        <v/>
      </c>
      <c r="N26" s="208">
        <f t="shared" si="3"/>
        <v>0</v>
      </c>
      <c r="O26" s="126"/>
      <c r="P26" s="265" t="str">
        <f t="shared" si="9"/>
        <v/>
      </c>
      <c r="Q26" s="275" t="str">
        <f t="shared" si="10"/>
        <v/>
      </c>
      <c r="R26" s="276" t="str">
        <f t="shared" si="10"/>
        <v/>
      </c>
      <c r="S26" s="277" t="str">
        <f t="shared" si="13"/>
        <v/>
      </c>
      <c r="T26" s="278" t="str">
        <f t="shared" si="14"/>
        <v/>
      </c>
      <c r="U26" s="276" t="str">
        <f t="shared" si="14"/>
        <v/>
      </c>
      <c r="V26" s="220">
        <f>SUMPRODUCT(($C$26="se")*($AB$26))</f>
        <v>0</v>
      </c>
      <c r="W26" s="221">
        <f>SUMPRODUCT(($C$26="se")*($AC$26))</f>
        <v>0</v>
      </c>
      <c r="X26" s="222">
        <f t="shared" si="4"/>
        <v>0</v>
      </c>
      <c r="Y26" s="223">
        <f t="shared" si="5"/>
        <v>0</v>
      </c>
      <c r="Z26" s="236">
        <f>SUMPRODUCT(($C$26="férié")*($AB$26))</f>
        <v>0</v>
      </c>
      <c r="AA26" s="237">
        <f>SUMPRODUCT(($C$26="férié")*($AC$26))</f>
        <v>0</v>
      </c>
      <c r="AB26" s="230">
        <f t="shared" si="11"/>
        <v>0</v>
      </c>
      <c r="AC26" s="231">
        <f t="shared" si="12"/>
        <v>0</v>
      </c>
      <c r="AD26" s="43"/>
      <c r="AE26" s="92" t="s">
        <v>69</v>
      </c>
      <c r="AF26" s="213">
        <f>SUM(Z7)</f>
        <v>0.625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5.95" customHeight="1">
      <c r="A27" s="28"/>
      <c r="B27" s="188">
        <v>18</v>
      </c>
      <c r="C27" s="57" t="str">
        <f t="shared" si="1"/>
        <v>Se</v>
      </c>
      <c r="D27" s="157">
        <f t="shared" si="8"/>
        <v>42387</v>
      </c>
      <c r="E27" s="119"/>
      <c r="F27" s="119"/>
      <c r="G27" s="120">
        <v>0.5</v>
      </c>
      <c r="H27" s="120">
        <v>0</v>
      </c>
      <c r="I27" s="263">
        <f t="shared" si="6"/>
        <v>0.5</v>
      </c>
      <c r="J27" s="123"/>
      <c r="K27" s="124"/>
      <c r="L27" s="242">
        <f t="shared" si="7"/>
        <v>1</v>
      </c>
      <c r="M27" s="243" t="str">
        <f t="shared" si="2"/>
        <v/>
      </c>
      <c r="N27" s="208">
        <f t="shared" si="3"/>
        <v>0.5</v>
      </c>
      <c r="O27" s="126"/>
      <c r="P27" s="265">
        <f t="shared" si="9"/>
        <v>0</v>
      </c>
      <c r="Q27" s="275">
        <f t="shared" si="10"/>
        <v>0.375</v>
      </c>
      <c r="R27" s="276">
        <f t="shared" si="10"/>
        <v>0.125</v>
      </c>
      <c r="S27" s="277" t="str">
        <f t="shared" si="13"/>
        <v/>
      </c>
      <c r="T27" s="278" t="str">
        <f t="shared" si="14"/>
        <v/>
      </c>
      <c r="U27" s="276" t="str">
        <f t="shared" si="14"/>
        <v/>
      </c>
      <c r="V27" s="220">
        <f>SUMPRODUCT(($C$27="se")*($AB$27))</f>
        <v>0.375</v>
      </c>
      <c r="W27" s="221">
        <f>SUMPRODUCT(($C$27="se")*($AC$27))</f>
        <v>0.125</v>
      </c>
      <c r="X27" s="222">
        <f t="shared" si="4"/>
        <v>0</v>
      </c>
      <c r="Y27" s="223">
        <f t="shared" si="5"/>
        <v>0</v>
      </c>
      <c r="Z27" s="236">
        <f>SUMPRODUCT(($C$27="férié")*($AB$27))</f>
        <v>0</v>
      </c>
      <c r="AA27" s="237">
        <f>SUMPRODUCT(($C$27="férié")*($AC$27))</f>
        <v>0</v>
      </c>
      <c r="AB27" s="230">
        <f t="shared" si="11"/>
        <v>0.375</v>
      </c>
      <c r="AC27" s="231">
        <f t="shared" si="12"/>
        <v>0.125</v>
      </c>
      <c r="AD27" s="43"/>
      <c r="AE27" s="289"/>
      <c r="AF27" s="290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.95" customHeight="1">
      <c r="A28" s="28"/>
      <c r="B28" s="188">
        <v>19</v>
      </c>
      <c r="C28" s="57" t="str">
        <f t="shared" si="1"/>
        <v>Se</v>
      </c>
      <c r="D28" s="157">
        <f t="shared" si="8"/>
        <v>42388</v>
      </c>
      <c r="E28" s="119"/>
      <c r="F28" s="119"/>
      <c r="G28" s="120"/>
      <c r="H28" s="120"/>
      <c r="I28" s="263" t="str">
        <f t="shared" si="6"/>
        <v/>
      </c>
      <c r="J28" s="123"/>
      <c r="K28" s="124"/>
      <c r="L28" s="242" t="str">
        <f t="shared" si="7"/>
        <v/>
      </c>
      <c r="M28" s="243" t="str">
        <f t="shared" si="2"/>
        <v/>
      </c>
      <c r="N28" s="208">
        <f t="shared" si="3"/>
        <v>0</v>
      </c>
      <c r="O28" s="126"/>
      <c r="P28" s="265" t="str">
        <f t="shared" si="9"/>
        <v/>
      </c>
      <c r="Q28" s="275" t="str">
        <f t="shared" si="10"/>
        <v/>
      </c>
      <c r="R28" s="276" t="str">
        <f t="shared" si="10"/>
        <v/>
      </c>
      <c r="S28" s="277">
        <f t="shared" si="13"/>
        <v>0</v>
      </c>
      <c r="T28" s="278">
        <f t="shared" ref="T28:U40" si="15">IF(OR(S28="",T$9=""),"",IF($G27&gt;$H27,MAX(,MIN(T$9,$H27+24/24)-MAX(T$8,$G27)),MAX(,MIN(T$9,$H27)-MAX(T$8,$G27))))</f>
        <v>0</v>
      </c>
      <c r="U28" s="276">
        <f t="shared" si="15"/>
        <v>0</v>
      </c>
      <c r="V28" s="220">
        <f>SUMPRODUCT(($C$28="se")*($AB$28))</f>
        <v>0</v>
      </c>
      <c r="W28" s="221">
        <f>SUMPRODUCT(($C$28="se")*($AC$28))</f>
        <v>0</v>
      </c>
      <c r="X28" s="222">
        <f t="shared" si="4"/>
        <v>0</v>
      </c>
      <c r="Y28" s="223">
        <f t="shared" si="5"/>
        <v>0</v>
      </c>
      <c r="Z28" s="236">
        <f>SUMPRODUCT(($C$28="férié")*($AB$28))</f>
        <v>0</v>
      </c>
      <c r="AA28" s="237">
        <f>SUMPRODUCT(($C$28="férié")*($AC$28))</f>
        <v>0</v>
      </c>
      <c r="AB28" s="230">
        <f t="shared" si="11"/>
        <v>0</v>
      </c>
      <c r="AC28" s="231">
        <f t="shared" si="12"/>
        <v>0</v>
      </c>
      <c r="AD28" s="43"/>
      <c r="AE28" s="92" t="s">
        <v>70</v>
      </c>
      <c r="AF28" s="213">
        <f>SUM(AA7)</f>
        <v>0.375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5.95" customHeight="1">
      <c r="A29" s="28"/>
      <c r="B29" s="188">
        <v>20</v>
      </c>
      <c r="C29" s="57" t="str">
        <f t="shared" si="1"/>
        <v>Se</v>
      </c>
      <c r="D29" s="157">
        <f t="shared" si="8"/>
        <v>42389</v>
      </c>
      <c r="E29" s="119"/>
      <c r="F29" s="119"/>
      <c r="G29" s="120"/>
      <c r="H29" s="120"/>
      <c r="I29" s="263" t="str">
        <f t="shared" si="6"/>
        <v/>
      </c>
      <c r="J29" s="123"/>
      <c r="K29" s="124"/>
      <c r="L29" s="242" t="str">
        <f t="shared" si="7"/>
        <v/>
      </c>
      <c r="M29" s="243" t="str">
        <f t="shared" si="2"/>
        <v/>
      </c>
      <c r="N29" s="208">
        <f t="shared" si="3"/>
        <v>0</v>
      </c>
      <c r="O29" s="126"/>
      <c r="P29" s="265" t="str">
        <f t="shared" si="9"/>
        <v/>
      </c>
      <c r="Q29" s="275" t="str">
        <f t="shared" si="10"/>
        <v/>
      </c>
      <c r="R29" s="276" t="str">
        <f t="shared" si="10"/>
        <v/>
      </c>
      <c r="S29" s="277" t="str">
        <f t="shared" si="13"/>
        <v/>
      </c>
      <c r="T29" s="278" t="str">
        <f t="shared" si="15"/>
        <v/>
      </c>
      <c r="U29" s="276" t="str">
        <f t="shared" si="15"/>
        <v/>
      </c>
      <c r="V29" s="220">
        <f>SUMPRODUCT(($C$29="se")*($AB$29))</f>
        <v>0</v>
      </c>
      <c r="W29" s="221">
        <f>SUMPRODUCT(($C$29="se")*($AC$29))</f>
        <v>0</v>
      </c>
      <c r="X29" s="222">
        <f t="shared" si="4"/>
        <v>0</v>
      </c>
      <c r="Y29" s="223">
        <f t="shared" si="5"/>
        <v>0</v>
      </c>
      <c r="Z29" s="236">
        <f>SUMPRODUCT(($C$29="férié")*($AB$29))</f>
        <v>0</v>
      </c>
      <c r="AA29" s="237">
        <f>SUMPRODUCT(($C$29="férié")*($AC$29))</f>
        <v>0</v>
      </c>
      <c r="AB29" s="230">
        <f t="shared" si="11"/>
        <v>0</v>
      </c>
      <c r="AC29" s="231">
        <f t="shared" si="12"/>
        <v>0</v>
      </c>
      <c r="AD29" s="43"/>
      <c r="AE29" s="289"/>
      <c r="AF29" s="290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.75">
      <c r="A30" s="28"/>
      <c r="B30" s="188">
        <v>21</v>
      </c>
      <c r="C30" s="57" t="str">
        <f t="shared" si="1"/>
        <v>Se</v>
      </c>
      <c r="D30" s="157">
        <f t="shared" si="8"/>
        <v>42390</v>
      </c>
      <c r="E30" s="119"/>
      <c r="F30" s="119"/>
      <c r="G30" s="120"/>
      <c r="H30" s="120"/>
      <c r="I30" s="263" t="str">
        <f t="shared" si="6"/>
        <v/>
      </c>
      <c r="J30" s="123"/>
      <c r="K30" s="124"/>
      <c r="L30" s="242" t="str">
        <f t="shared" si="7"/>
        <v/>
      </c>
      <c r="M30" s="243" t="str">
        <f t="shared" si="2"/>
        <v/>
      </c>
      <c r="N30" s="208">
        <f t="shared" si="3"/>
        <v>0</v>
      </c>
      <c r="O30" s="126"/>
      <c r="P30" s="265" t="str">
        <f t="shared" si="9"/>
        <v/>
      </c>
      <c r="Q30" s="275" t="str">
        <f t="shared" ref="Q30:R40" si="16">IF(OR($D30="",P30="",Q$9=""),"",IF($G30&gt;$H30,MAX(,MIN(Q$9,$H30+24/24)-MAX(Q$8,$G30)),MAX(,MIN(Q$9,$H30)-MAX(Q$8,$G30))))</f>
        <v/>
      </c>
      <c r="R30" s="276" t="str">
        <f t="shared" si="16"/>
        <v/>
      </c>
      <c r="S30" s="277" t="str">
        <f t="shared" si="13"/>
        <v/>
      </c>
      <c r="T30" s="278" t="str">
        <f t="shared" si="15"/>
        <v/>
      </c>
      <c r="U30" s="276" t="str">
        <f t="shared" si="15"/>
        <v/>
      </c>
      <c r="V30" s="220">
        <f>SUMPRODUCT(($C$30="se")*($AB$30))</f>
        <v>0</v>
      </c>
      <c r="W30" s="221">
        <f>SUMPRODUCT(($C$30="se")*($AC$30))</f>
        <v>0</v>
      </c>
      <c r="X30" s="222">
        <f t="shared" si="4"/>
        <v>0</v>
      </c>
      <c r="Y30" s="223">
        <f t="shared" si="5"/>
        <v>0</v>
      </c>
      <c r="Z30" s="236">
        <f>SUMPRODUCT(($C$30="férié")*($AB$30))</f>
        <v>0</v>
      </c>
      <c r="AA30" s="237">
        <f>SUMPRODUCT(($C$30="férié")*($AC$30))</f>
        <v>0</v>
      </c>
      <c r="AB30" s="230">
        <f t="shared" si="11"/>
        <v>0</v>
      </c>
      <c r="AC30" s="231">
        <f t="shared" si="12"/>
        <v>0</v>
      </c>
      <c r="AD30" s="46"/>
      <c r="AE30" s="96" t="s">
        <v>62</v>
      </c>
      <c r="AF30" s="214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.75">
      <c r="A31" s="28"/>
      <c r="B31" s="188">
        <v>22</v>
      </c>
      <c r="C31" s="57" t="str">
        <f t="shared" si="1"/>
        <v>Se</v>
      </c>
      <c r="D31" s="157">
        <f t="shared" si="8"/>
        <v>42391</v>
      </c>
      <c r="E31" s="119"/>
      <c r="F31" s="119"/>
      <c r="G31" s="120"/>
      <c r="H31" s="120"/>
      <c r="I31" s="263" t="str">
        <f t="shared" si="6"/>
        <v/>
      </c>
      <c r="J31" s="123"/>
      <c r="K31" s="124"/>
      <c r="L31" s="242" t="str">
        <f t="shared" si="7"/>
        <v/>
      </c>
      <c r="M31" s="243" t="str">
        <f t="shared" si="2"/>
        <v/>
      </c>
      <c r="N31" s="208">
        <f t="shared" si="3"/>
        <v>0</v>
      </c>
      <c r="O31" s="126"/>
      <c r="P31" s="265" t="str">
        <f t="shared" si="9"/>
        <v/>
      </c>
      <c r="Q31" s="275" t="str">
        <f t="shared" si="16"/>
        <v/>
      </c>
      <c r="R31" s="276" t="str">
        <f t="shared" si="16"/>
        <v/>
      </c>
      <c r="S31" s="277" t="str">
        <f t="shared" si="13"/>
        <v/>
      </c>
      <c r="T31" s="278" t="str">
        <f t="shared" si="15"/>
        <v/>
      </c>
      <c r="U31" s="276" t="str">
        <f t="shared" si="15"/>
        <v/>
      </c>
      <c r="V31" s="220">
        <f>SUMPRODUCT(($C$31="se")*($AB$31))</f>
        <v>0</v>
      </c>
      <c r="W31" s="221">
        <f>SUMPRODUCT(($C$31="se")*($AC$31))</f>
        <v>0</v>
      </c>
      <c r="X31" s="222">
        <f t="shared" si="4"/>
        <v>0</v>
      </c>
      <c r="Y31" s="223">
        <f t="shared" si="5"/>
        <v>0</v>
      </c>
      <c r="Z31" s="236">
        <f>SUMPRODUCT(($C$31="férié")*($AB$31))</f>
        <v>0</v>
      </c>
      <c r="AA31" s="237">
        <f>SUMPRODUCT(($C$31="férié")*($AC$31))</f>
        <v>0</v>
      </c>
      <c r="AB31" s="230">
        <f t="shared" si="11"/>
        <v>0</v>
      </c>
      <c r="AC31" s="231">
        <f t="shared" si="12"/>
        <v>0</v>
      </c>
      <c r="AD31" s="43"/>
      <c r="AE31" s="297"/>
      <c r="AF31" s="298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188">
        <v>23</v>
      </c>
      <c r="C32" s="57" t="str">
        <f t="shared" si="1"/>
        <v>Se</v>
      </c>
      <c r="D32" s="157">
        <f t="shared" si="8"/>
        <v>42392</v>
      </c>
      <c r="E32" s="119"/>
      <c r="F32" s="119"/>
      <c r="G32" s="120">
        <v>0.79166666666666696</v>
      </c>
      <c r="H32" s="120">
        <v>0.29166666666666702</v>
      </c>
      <c r="I32" s="263">
        <f t="shared" si="6"/>
        <v>0.5</v>
      </c>
      <c r="J32" s="123"/>
      <c r="K32" s="124"/>
      <c r="L32" s="242">
        <f t="shared" si="7"/>
        <v>1</v>
      </c>
      <c r="M32" s="243" t="str">
        <f t="shared" si="2"/>
        <v/>
      </c>
      <c r="N32" s="208">
        <f t="shared" si="3"/>
        <v>0.5</v>
      </c>
      <c r="O32" s="126"/>
      <c r="P32" s="265">
        <f t="shared" si="9"/>
        <v>0</v>
      </c>
      <c r="Q32" s="275">
        <f t="shared" si="16"/>
        <v>8.3333333333333037E-2</v>
      </c>
      <c r="R32" s="276">
        <f t="shared" si="16"/>
        <v>0.125</v>
      </c>
      <c r="S32" s="277" t="str">
        <f t="shared" si="13"/>
        <v/>
      </c>
      <c r="T32" s="278" t="str">
        <f t="shared" si="15"/>
        <v/>
      </c>
      <c r="U32" s="276" t="str">
        <f t="shared" si="15"/>
        <v/>
      </c>
      <c r="V32" s="220">
        <f>SUMPRODUCT(($C$32="se")*($AB$32))</f>
        <v>8.3333333333333037E-2</v>
      </c>
      <c r="W32" s="221">
        <f>SUMPRODUCT(($C$32="se")*($AC$32))</f>
        <v>0.125</v>
      </c>
      <c r="X32" s="222">
        <f t="shared" si="4"/>
        <v>0</v>
      </c>
      <c r="Y32" s="223">
        <f t="shared" si="5"/>
        <v>0</v>
      </c>
      <c r="Z32" s="236">
        <f>SUMPRODUCT(($C$32="férié")*($AB$32))</f>
        <v>0</v>
      </c>
      <c r="AA32" s="237">
        <f>SUMPRODUCT(($C$32="férié")*($AC$32))</f>
        <v>0</v>
      </c>
      <c r="AB32" s="230">
        <f t="shared" si="11"/>
        <v>8.3333333333333037E-2</v>
      </c>
      <c r="AC32" s="231">
        <f t="shared" si="12"/>
        <v>0.125</v>
      </c>
      <c r="AD32" s="46"/>
      <c r="AE32" s="96" t="s">
        <v>63</v>
      </c>
      <c r="AF32" s="214">
        <f>SUM(J10:J40)</f>
        <v>0</v>
      </c>
      <c r="AG32" s="28"/>
      <c r="AH32" s="164"/>
      <c r="AI32" s="299"/>
      <c r="AJ32" s="299"/>
      <c r="AK32" s="299"/>
      <c r="AL32" s="28"/>
      <c r="AM32" s="28"/>
      <c r="AN32" s="28"/>
      <c r="AO32" s="28"/>
      <c r="AP32" s="28"/>
    </row>
    <row r="33" spans="1:47" ht="15" customHeight="1">
      <c r="A33" s="28"/>
      <c r="B33" s="188">
        <v>24</v>
      </c>
      <c r="C33" s="57" t="str">
        <f t="shared" si="1"/>
        <v>Dim</v>
      </c>
      <c r="D33" s="157">
        <f t="shared" si="8"/>
        <v>42393</v>
      </c>
      <c r="E33" s="119"/>
      <c r="F33" s="119"/>
      <c r="G33" s="120"/>
      <c r="H33" s="120"/>
      <c r="I33" s="263" t="str">
        <f t="shared" si="6"/>
        <v/>
      </c>
      <c r="J33" s="123"/>
      <c r="K33" s="124"/>
      <c r="L33" s="242" t="str">
        <f t="shared" si="7"/>
        <v/>
      </c>
      <c r="M33" s="243" t="str">
        <f t="shared" si="2"/>
        <v/>
      </c>
      <c r="N33" s="208">
        <f t="shared" si="3"/>
        <v>0</v>
      </c>
      <c r="O33" s="126"/>
      <c r="P33" s="265" t="str">
        <f t="shared" si="9"/>
        <v/>
      </c>
      <c r="Q33" s="275" t="str">
        <f t="shared" si="16"/>
        <v/>
      </c>
      <c r="R33" s="276" t="str">
        <f t="shared" si="16"/>
        <v/>
      </c>
      <c r="S33" s="277">
        <f t="shared" si="13"/>
        <v>0.25</v>
      </c>
      <c r="T33" s="278">
        <f t="shared" si="15"/>
        <v>4.1666666666666963E-2</v>
      </c>
      <c r="U33" s="276">
        <f t="shared" si="15"/>
        <v>0</v>
      </c>
      <c r="V33" s="220">
        <f>SUMPRODUCT(($C$33="se")*($AB$33))</f>
        <v>0</v>
      </c>
      <c r="W33" s="221">
        <f>SUMPRODUCT(($C$33="se")*($AC$33))</f>
        <v>0</v>
      </c>
      <c r="X33" s="222">
        <f t="shared" si="4"/>
        <v>4.1666666666666963E-2</v>
      </c>
      <c r="Y33" s="223">
        <f t="shared" si="5"/>
        <v>0.25</v>
      </c>
      <c r="Z33" s="236">
        <f>SUMPRODUCT(($C$33="férié")*($AB$33))</f>
        <v>0</v>
      </c>
      <c r="AA33" s="237">
        <f>SUMPRODUCT(($C$33="férié")*($AC$33))</f>
        <v>0</v>
      </c>
      <c r="AB33" s="230">
        <f t="shared" si="11"/>
        <v>4.1666666666666963E-2</v>
      </c>
      <c r="AC33" s="231">
        <f t="shared" si="12"/>
        <v>0.25</v>
      </c>
      <c r="AD33" s="46"/>
      <c r="AE33" s="297"/>
      <c r="AF33" s="298"/>
      <c r="AG33" s="28"/>
      <c r="AH33" s="164"/>
      <c r="AI33" s="299"/>
      <c r="AJ33" s="299"/>
      <c r="AK33" s="299"/>
      <c r="AL33" s="28"/>
      <c r="AM33" s="28"/>
      <c r="AN33" s="28"/>
      <c r="AO33" s="28"/>
      <c r="AP33" s="28"/>
    </row>
    <row r="34" spans="1:47" ht="15.75">
      <c r="A34" s="28"/>
      <c r="B34" s="188">
        <v>25</v>
      </c>
      <c r="C34" s="57" t="str">
        <f t="shared" si="1"/>
        <v>Se</v>
      </c>
      <c r="D34" s="157">
        <f t="shared" si="8"/>
        <v>42394</v>
      </c>
      <c r="E34" s="119"/>
      <c r="F34" s="119"/>
      <c r="G34" s="120"/>
      <c r="H34" s="120"/>
      <c r="I34" s="263" t="str">
        <f t="shared" si="6"/>
        <v/>
      </c>
      <c r="J34" s="123"/>
      <c r="K34" s="124"/>
      <c r="L34" s="242" t="str">
        <f t="shared" si="7"/>
        <v/>
      </c>
      <c r="M34" s="243" t="str">
        <f t="shared" si="2"/>
        <v/>
      </c>
      <c r="N34" s="208">
        <f t="shared" si="3"/>
        <v>0</v>
      </c>
      <c r="O34" s="126"/>
      <c r="P34" s="265" t="str">
        <f t="shared" si="9"/>
        <v/>
      </c>
      <c r="Q34" s="275" t="str">
        <f t="shared" si="16"/>
        <v/>
      </c>
      <c r="R34" s="276" t="str">
        <f t="shared" si="16"/>
        <v/>
      </c>
      <c r="S34" s="277" t="str">
        <f t="shared" si="13"/>
        <v/>
      </c>
      <c r="T34" s="278" t="str">
        <f t="shared" si="15"/>
        <v/>
      </c>
      <c r="U34" s="276" t="str">
        <f t="shared" si="15"/>
        <v/>
      </c>
      <c r="V34" s="220">
        <f>SUMPRODUCT(($C$34="se")*($AB$34))</f>
        <v>0</v>
      </c>
      <c r="W34" s="221">
        <f>SUMPRODUCT(($C$34="se")*($AC$34))</f>
        <v>0</v>
      </c>
      <c r="X34" s="222">
        <f t="shared" si="4"/>
        <v>0</v>
      </c>
      <c r="Y34" s="223">
        <f t="shared" si="5"/>
        <v>0</v>
      </c>
      <c r="Z34" s="236">
        <f>SUMPRODUCT(($C$34="férié")*($AB$34))</f>
        <v>0</v>
      </c>
      <c r="AA34" s="237">
        <f>SUMPRODUCT(($C$34="férié")*($AC$34))</f>
        <v>0</v>
      </c>
      <c r="AB34" s="230">
        <f t="shared" si="11"/>
        <v>0</v>
      </c>
      <c r="AC34" s="231">
        <f t="shared" si="12"/>
        <v>0</v>
      </c>
      <c r="AD34" s="46"/>
      <c r="AE34" s="92" t="s">
        <v>64</v>
      </c>
      <c r="AF34" s="213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.75">
      <c r="A35" s="28"/>
      <c r="B35" s="188">
        <v>26</v>
      </c>
      <c r="C35" s="57" t="str">
        <f t="shared" si="1"/>
        <v>Se</v>
      </c>
      <c r="D35" s="157">
        <f t="shared" si="8"/>
        <v>42395</v>
      </c>
      <c r="E35" s="119"/>
      <c r="F35" s="119"/>
      <c r="G35" s="120"/>
      <c r="H35" s="120"/>
      <c r="I35" s="263" t="str">
        <f t="shared" si="6"/>
        <v/>
      </c>
      <c r="J35" s="123"/>
      <c r="K35" s="124"/>
      <c r="L35" s="242" t="str">
        <f t="shared" si="7"/>
        <v/>
      </c>
      <c r="M35" s="243" t="str">
        <f t="shared" si="2"/>
        <v/>
      </c>
      <c r="N35" s="208">
        <f t="shared" si="3"/>
        <v>0</v>
      </c>
      <c r="O35" s="126"/>
      <c r="P35" s="265" t="str">
        <f t="shared" si="9"/>
        <v/>
      </c>
      <c r="Q35" s="275" t="str">
        <f t="shared" si="16"/>
        <v/>
      </c>
      <c r="R35" s="276" t="str">
        <f t="shared" si="16"/>
        <v/>
      </c>
      <c r="S35" s="277" t="str">
        <f t="shared" si="13"/>
        <v/>
      </c>
      <c r="T35" s="278" t="str">
        <f t="shared" si="15"/>
        <v/>
      </c>
      <c r="U35" s="276" t="str">
        <f t="shared" si="15"/>
        <v/>
      </c>
      <c r="V35" s="220">
        <f>SUMPRODUCT(($C$35="se")*($AB$35))</f>
        <v>0</v>
      </c>
      <c r="W35" s="221">
        <f>SUMPRODUCT(($C$35="se")*($AC$35))</f>
        <v>0</v>
      </c>
      <c r="X35" s="222">
        <f t="shared" si="4"/>
        <v>0</v>
      </c>
      <c r="Y35" s="223">
        <f t="shared" si="5"/>
        <v>0</v>
      </c>
      <c r="Z35" s="236">
        <f>SUMPRODUCT(($C$35="férié")*($AB$35))</f>
        <v>0</v>
      </c>
      <c r="AA35" s="237">
        <f>SUMPRODUCT(($C$35="férié")*($AC$35))</f>
        <v>0</v>
      </c>
      <c r="AB35" s="230">
        <f t="shared" si="11"/>
        <v>0</v>
      </c>
      <c r="AC35" s="231">
        <f t="shared" si="12"/>
        <v>0</v>
      </c>
      <c r="AD35" s="46"/>
      <c r="AE35" s="289"/>
      <c r="AF35" s="290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.75">
      <c r="A36" s="28"/>
      <c r="B36" s="188">
        <v>27</v>
      </c>
      <c r="C36" s="57" t="str">
        <f t="shared" si="1"/>
        <v>Se</v>
      </c>
      <c r="D36" s="157">
        <f t="shared" si="8"/>
        <v>42396</v>
      </c>
      <c r="E36" s="119"/>
      <c r="F36" s="119"/>
      <c r="G36" s="120"/>
      <c r="H36" s="120"/>
      <c r="I36" s="263" t="str">
        <f t="shared" si="6"/>
        <v/>
      </c>
      <c r="J36" s="123"/>
      <c r="K36" s="124"/>
      <c r="L36" s="242" t="str">
        <f t="shared" si="7"/>
        <v/>
      </c>
      <c r="M36" s="243" t="str">
        <f t="shared" si="2"/>
        <v/>
      </c>
      <c r="N36" s="208">
        <f t="shared" si="3"/>
        <v>0</v>
      </c>
      <c r="O36" s="126"/>
      <c r="P36" s="265" t="str">
        <f t="shared" si="9"/>
        <v/>
      </c>
      <c r="Q36" s="275" t="str">
        <f t="shared" si="16"/>
        <v/>
      </c>
      <c r="R36" s="276" t="str">
        <f t="shared" si="16"/>
        <v/>
      </c>
      <c r="S36" s="277" t="str">
        <f t="shared" si="13"/>
        <v/>
      </c>
      <c r="T36" s="278" t="str">
        <f t="shared" si="15"/>
        <v/>
      </c>
      <c r="U36" s="276" t="str">
        <f t="shared" si="15"/>
        <v/>
      </c>
      <c r="V36" s="220">
        <f>SUMPRODUCT(($C$36="se")*($AB$36))</f>
        <v>0</v>
      </c>
      <c r="W36" s="221">
        <f>SUMPRODUCT(($C$36="se")*($AC$36))</f>
        <v>0</v>
      </c>
      <c r="X36" s="222">
        <f t="shared" si="4"/>
        <v>0</v>
      </c>
      <c r="Y36" s="223">
        <f t="shared" si="5"/>
        <v>0</v>
      </c>
      <c r="Z36" s="236">
        <f>SUMPRODUCT(($C$36="férié")*($AB$36))</f>
        <v>0</v>
      </c>
      <c r="AA36" s="237">
        <f>SUMPRODUCT(($C$36="férié")*($AC$36))</f>
        <v>0</v>
      </c>
      <c r="AB36" s="230">
        <f t="shared" si="11"/>
        <v>0</v>
      </c>
      <c r="AC36" s="231">
        <f t="shared" si="12"/>
        <v>0</v>
      </c>
      <c r="AD36" s="46"/>
      <c r="AE36" s="92" t="s">
        <v>65</v>
      </c>
      <c r="AF36" s="99">
        <f>COUNTA(G10:G40)</f>
        <v>12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.75">
      <c r="A37" s="28"/>
      <c r="B37" s="188">
        <v>28</v>
      </c>
      <c r="C37" s="57" t="str">
        <f t="shared" si="1"/>
        <v>Se</v>
      </c>
      <c r="D37" s="157">
        <f t="shared" si="8"/>
        <v>42397</v>
      </c>
      <c r="E37" s="119"/>
      <c r="F37" s="119"/>
      <c r="G37" s="120">
        <v>0</v>
      </c>
      <c r="H37" s="120">
        <v>0.25</v>
      </c>
      <c r="I37" s="263">
        <f t="shared" si="6"/>
        <v>0.25</v>
      </c>
      <c r="J37" s="123"/>
      <c r="K37" s="124"/>
      <c r="L37" s="242">
        <f t="shared" si="7"/>
        <v>1</v>
      </c>
      <c r="M37" s="243" t="str">
        <f t="shared" si="2"/>
        <v/>
      </c>
      <c r="N37" s="208">
        <f t="shared" si="3"/>
        <v>0.25</v>
      </c>
      <c r="O37" s="126"/>
      <c r="P37" s="265">
        <f t="shared" si="9"/>
        <v>0.25</v>
      </c>
      <c r="Q37" s="275">
        <f t="shared" si="16"/>
        <v>0</v>
      </c>
      <c r="R37" s="276">
        <f t="shared" si="16"/>
        <v>0</v>
      </c>
      <c r="S37" s="277" t="str">
        <f t="shared" si="13"/>
        <v/>
      </c>
      <c r="T37" s="278" t="str">
        <f t="shared" si="15"/>
        <v/>
      </c>
      <c r="U37" s="276" t="str">
        <f t="shared" si="15"/>
        <v/>
      </c>
      <c r="V37" s="220">
        <f>SUMPRODUCT(($C$37="se")*($AB$37))</f>
        <v>0</v>
      </c>
      <c r="W37" s="221">
        <f>SUMPRODUCT(($C$37="se")*($AC$37))</f>
        <v>0.25</v>
      </c>
      <c r="X37" s="222">
        <f t="shared" si="4"/>
        <v>0</v>
      </c>
      <c r="Y37" s="223">
        <f t="shared" si="5"/>
        <v>0</v>
      </c>
      <c r="Z37" s="236">
        <f>SUMPRODUCT(($C$37="férié")*($AB$37))</f>
        <v>0</v>
      </c>
      <c r="AA37" s="237">
        <f>SUMPRODUCT(($C$37="férié")*($AC$37))</f>
        <v>0</v>
      </c>
      <c r="AB37" s="230">
        <f t="shared" si="11"/>
        <v>0</v>
      </c>
      <c r="AC37" s="231">
        <f t="shared" si="12"/>
        <v>0.25</v>
      </c>
      <c r="AD37" s="46"/>
      <c r="AE37" s="289"/>
      <c r="AF37" s="290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.75">
      <c r="A38" s="28"/>
      <c r="B38" s="188">
        <v>29</v>
      </c>
      <c r="C38" s="57" t="str">
        <f t="shared" si="1"/>
        <v>Se</v>
      </c>
      <c r="D38" s="157">
        <f t="shared" si="8"/>
        <v>42398</v>
      </c>
      <c r="E38" s="119"/>
      <c r="F38" s="119"/>
      <c r="G38" s="120">
        <v>4.1666666666666664E-2</v>
      </c>
      <c r="H38" s="120">
        <v>0.25</v>
      </c>
      <c r="I38" s="263">
        <f t="shared" si="6"/>
        <v>0.20833333333333334</v>
      </c>
      <c r="J38" s="123"/>
      <c r="K38" s="124"/>
      <c r="L38" s="242" t="str">
        <f t="shared" si="7"/>
        <v/>
      </c>
      <c r="M38" s="243" t="str">
        <f t="shared" si="2"/>
        <v/>
      </c>
      <c r="N38" s="208">
        <f t="shared" si="3"/>
        <v>0.20833333333333334</v>
      </c>
      <c r="O38" s="126"/>
      <c r="P38" s="265">
        <f t="shared" si="9"/>
        <v>0.16666666666666669</v>
      </c>
      <c r="Q38" s="275">
        <f t="shared" si="16"/>
        <v>0</v>
      </c>
      <c r="R38" s="276">
        <f t="shared" si="16"/>
        <v>0</v>
      </c>
      <c r="S38" s="277">
        <f t="shared" si="13"/>
        <v>0</v>
      </c>
      <c r="T38" s="278">
        <f t="shared" si="15"/>
        <v>0</v>
      </c>
      <c r="U38" s="276">
        <f t="shared" si="15"/>
        <v>0</v>
      </c>
      <c r="V38" s="220">
        <f>SUMPRODUCT(($C$38="se")*($AB$38))</f>
        <v>0</v>
      </c>
      <c r="W38" s="221">
        <f>SUMPRODUCT(($C$38="se")*($AC$38))</f>
        <v>0.16666666666666669</v>
      </c>
      <c r="X38" s="222">
        <f t="shared" si="4"/>
        <v>0</v>
      </c>
      <c r="Y38" s="223">
        <f t="shared" si="5"/>
        <v>0</v>
      </c>
      <c r="Z38" s="236">
        <f>SUMPRODUCT(($C$38="férié")*($AB$38))</f>
        <v>0</v>
      </c>
      <c r="AA38" s="237">
        <f>SUMPRODUCT(($C$38="férié")*($AC$38))</f>
        <v>0</v>
      </c>
      <c r="AB38" s="230">
        <f t="shared" si="11"/>
        <v>0</v>
      </c>
      <c r="AC38" s="231">
        <f t="shared" si="12"/>
        <v>0.16666666666666669</v>
      </c>
      <c r="AD38" s="46"/>
      <c r="AE38" s="102" t="s">
        <v>66</v>
      </c>
      <c r="AF38" s="213">
        <f>SUM(M10:M40)</f>
        <v>0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.5" thickBot="1">
      <c r="A39" s="28"/>
      <c r="B39" s="188">
        <v>30</v>
      </c>
      <c r="C39" s="57" t="str">
        <f t="shared" si="1"/>
        <v>Se</v>
      </c>
      <c r="D39" s="157">
        <f t="shared" si="8"/>
        <v>42399</v>
      </c>
      <c r="E39" s="119"/>
      <c r="F39" s="119"/>
      <c r="G39" s="120"/>
      <c r="H39" s="120"/>
      <c r="I39" s="263" t="str">
        <f t="shared" si="6"/>
        <v/>
      </c>
      <c r="J39" s="123"/>
      <c r="K39" s="124"/>
      <c r="L39" s="242" t="str">
        <f t="shared" si="7"/>
        <v/>
      </c>
      <c r="M39" s="243" t="str">
        <f t="shared" si="2"/>
        <v/>
      </c>
      <c r="N39" s="208">
        <f t="shared" si="3"/>
        <v>0</v>
      </c>
      <c r="O39" s="126"/>
      <c r="P39" s="265" t="str">
        <f t="shared" si="9"/>
        <v/>
      </c>
      <c r="Q39" s="275" t="str">
        <f t="shared" si="16"/>
        <v/>
      </c>
      <c r="R39" s="276" t="str">
        <f t="shared" si="16"/>
        <v/>
      </c>
      <c r="S39" s="277">
        <f t="shared" si="13"/>
        <v>0</v>
      </c>
      <c r="T39" s="278">
        <f t="shared" si="15"/>
        <v>0</v>
      </c>
      <c r="U39" s="276">
        <f t="shared" si="15"/>
        <v>0</v>
      </c>
      <c r="V39" s="220">
        <f>SUMPRODUCT(($C$39="se")*($AB$39))</f>
        <v>0</v>
      </c>
      <c r="W39" s="221">
        <f>SUMPRODUCT(($C$39="se")*($AC$39))</f>
        <v>0</v>
      </c>
      <c r="X39" s="222">
        <f t="shared" si="4"/>
        <v>0</v>
      </c>
      <c r="Y39" s="223">
        <f t="shared" si="5"/>
        <v>0</v>
      </c>
      <c r="Z39" s="236">
        <f>SUMPRODUCT(($C$39="férié")*($AB$39))</f>
        <v>0</v>
      </c>
      <c r="AA39" s="237">
        <f>SUMPRODUCT(($C$39="férié")*($AC$39))</f>
        <v>0</v>
      </c>
      <c r="AB39" s="230">
        <f t="shared" si="11"/>
        <v>0</v>
      </c>
      <c r="AC39" s="231">
        <f t="shared" si="12"/>
        <v>0</v>
      </c>
      <c r="AD39" s="46"/>
      <c r="AE39" s="293"/>
      <c r="AF39" s="294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.5" thickBot="1">
      <c r="A40" s="28"/>
      <c r="B40" s="190">
        <v>31</v>
      </c>
      <c r="C40" s="57" t="str">
        <f t="shared" si="1"/>
        <v>Dim</v>
      </c>
      <c r="D40" s="192">
        <f t="shared" si="8"/>
        <v>42400</v>
      </c>
      <c r="E40" s="193"/>
      <c r="F40" s="193"/>
      <c r="G40" s="194"/>
      <c r="H40" s="194"/>
      <c r="I40" s="264" t="str">
        <f t="shared" si="6"/>
        <v/>
      </c>
      <c r="J40" s="195"/>
      <c r="K40" s="196"/>
      <c r="L40" s="244" t="str">
        <f t="shared" si="7"/>
        <v/>
      </c>
      <c r="M40" s="245" t="str">
        <f t="shared" si="2"/>
        <v/>
      </c>
      <c r="N40" s="209">
        <f t="shared" si="3"/>
        <v>0</v>
      </c>
      <c r="O40" s="197"/>
      <c r="P40" s="266" t="str">
        <f t="shared" si="9"/>
        <v/>
      </c>
      <c r="Q40" s="279" t="str">
        <f t="shared" si="16"/>
        <v/>
      </c>
      <c r="R40" s="280" t="str">
        <f t="shared" si="16"/>
        <v/>
      </c>
      <c r="S40" s="281" t="str">
        <f t="shared" si="13"/>
        <v/>
      </c>
      <c r="T40" s="282" t="str">
        <f t="shared" si="15"/>
        <v/>
      </c>
      <c r="U40" s="280" t="str">
        <f t="shared" si="15"/>
        <v/>
      </c>
      <c r="V40" s="224">
        <f>SUMPRODUCT(($C$40="se")*($AB$40))</f>
        <v>0</v>
      </c>
      <c r="W40" s="225">
        <f>SUMPRODUCT(($C$40="se")*($AC$40))</f>
        <v>0</v>
      </c>
      <c r="X40" s="226">
        <f t="shared" si="4"/>
        <v>0</v>
      </c>
      <c r="Y40" s="227">
        <f t="shared" si="5"/>
        <v>0</v>
      </c>
      <c r="Z40" s="238">
        <f>SUMPRODUCT(($C$40="férié")*($AB$40))</f>
        <v>0</v>
      </c>
      <c r="AA40" s="239">
        <f>SUMPRODUCT(($C$40="férié")*($AC$40))</f>
        <v>0</v>
      </c>
      <c r="AB40" s="232">
        <f t="shared" si="11"/>
        <v>0</v>
      </c>
      <c r="AC40" s="233">
        <f t="shared" si="12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.75" thickBot="1">
      <c r="A41" s="45"/>
      <c r="B41" s="191" t="s">
        <v>60</v>
      </c>
      <c r="C41" s="189"/>
      <c r="D41" s="198">
        <f>COUNTA(D10:D40)</f>
        <v>31</v>
      </c>
      <c r="E41" s="198">
        <f>COUNTA(E10:E40)</f>
        <v>0</v>
      </c>
      <c r="F41" s="198">
        <f>COUNTA(F10:F40)</f>
        <v>0</v>
      </c>
      <c r="G41" s="198">
        <f>COUNTA(G10:G40)</f>
        <v>12</v>
      </c>
      <c r="H41" s="198">
        <f>COUNTA(H10:H40)</f>
        <v>12</v>
      </c>
      <c r="I41" s="260">
        <f>SUM(I10:I40)</f>
        <v>7.458333333333333</v>
      </c>
      <c r="J41" s="199">
        <f t="shared" ref="J41:M41" si="17">SUM(J10:J40)</f>
        <v>0</v>
      </c>
      <c r="K41" s="199">
        <f t="shared" si="17"/>
        <v>0</v>
      </c>
      <c r="L41" s="200">
        <f t="shared" si="17"/>
        <v>10</v>
      </c>
      <c r="M41" s="210">
        <f t="shared" si="17"/>
        <v>0</v>
      </c>
      <c r="N41" s="210">
        <f>SUM(N10:N40)</f>
        <v>7.458333333333333</v>
      </c>
      <c r="O41" s="201"/>
      <c r="P41" s="202">
        <f t="shared" ref="P41:R41" si="18">SUM(P10:P40)</f>
        <v>1.2708333333333335</v>
      </c>
      <c r="Q41" s="199">
        <f t="shared" si="18"/>
        <v>2.5625</v>
      </c>
      <c r="R41" s="203">
        <f t="shared" si="18"/>
        <v>0.66666666666666696</v>
      </c>
      <c r="S41" s="204">
        <f>SUM(S10:S40)</f>
        <v>1.25</v>
      </c>
      <c r="T41" s="199">
        <f>SUM(T10:T40)</f>
        <v>1.375</v>
      </c>
      <c r="U41" s="203">
        <f>SUM(U10:U40)</f>
        <v>0.16666666666666696</v>
      </c>
      <c r="V41" s="211">
        <f>SUMIF(D10:D40,"&gt;0",V10:V40)</f>
        <v>2.4375</v>
      </c>
      <c r="W41" s="211">
        <f>SUMIF(D10:D40,"&gt;0",W10:W40)</f>
        <v>2.2708333333333335</v>
      </c>
      <c r="X41" s="211">
        <f>SUMPRODUCT((WEEKDAY($D$10:$D$40)=1)*($AB$10:$AB$40))</f>
        <v>0.875</v>
      </c>
      <c r="Y41" s="211">
        <f>SUMPRODUCT(($C$10:$C$40="dim")*($AC$10:$AC$40))</f>
        <v>0.70833333333333348</v>
      </c>
      <c r="Z41" s="211">
        <f>SUMPRODUCT(($C$10:$C$40="férié")*($Z$10:$Z$40))</f>
        <v>0.625</v>
      </c>
      <c r="AA41" s="211">
        <f>SUMPRODUCT(($C$10:$C$40="férié")*($AA$10:$AA$40))</f>
        <v>0.375</v>
      </c>
      <c r="AB41" s="211">
        <f>SUMIF(D10:D40,"&gt;0",AB10:AB40)</f>
        <v>3.9375</v>
      </c>
      <c r="AC41" s="212">
        <f>SUMIF(D10:D40,"&gt;0",AC10:AC40)</f>
        <v>3.354166666666667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55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55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55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55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55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55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55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7" type="noConversion"/>
  <conditionalFormatting sqref="C10:D40">
    <cfRule type="expression" dxfId="4" priority="4" stopIfTrue="1">
      <formula>COUNTIF(Fériés,$D10)&gt;0</formula>
    </cfRule>
  </conditionalFormatting>
  <conditionalFormatting sqref="AJ21:AK24">
    <cfRule type="expression" dxfId="3" priority="1" stopIfTrue="1">
      <formula>(AJ21:AJ24&lt;=TODAY()+120)*(AJ21:AJ24&lt;&gt;"")</formula>
    </cfRule>
    <cfRule type="expression" dxfId="2" priority="2" stopIfTrue="1">
      <formula>(AJ21:AJ24&lt;=TODAY()+180)*(AJ21:AJ24&lt;&gt;"")</formula>
    </cfRule>
    <cfRule type="expression" dxfId="1" priority="3" stopIfTrue="1">
      <formula>(AJ21:AJ24&lt;=TODAY()&gt;180)*(AJ21:AJ24&lt;&gt;"")</formula>
    </cfRule>
  </conditionalFormatting>
  <conditionalFormatting sqref="C10:AC40">
    <cfRule type="expression" dxfId="0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5"/>
  <cols>
    <col min="2" max="2" width="24.28515625" customWidth="1"/>
    <col min="3" max="3" width="15.42578125" customWidth="1"/>
    <col min="5" max="5" width="11.28515625" customWidth="1"/>
    <col min="6" max="6" width="26.7109375" customWidth="1"/>
    <col min="8" max="8" width="12.85546875" customWidth="1"/>
    <col min="9" max="9" width="23.7109375" customWidth="1"/>
  </cols>
  <sheetData>
    <row r="1" spans="1:38">
      <c r="A1" s="355" t="s">
        <v>111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</row>
    <row r="2" spans="1:38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</row>
    <row r="3" spans="1:38">
      <c r="A3" s="355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</row>
    <row r="4" spans="1:38">
      <c r="A4" s="355"/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</row>
    <row r="5" spans="1:38">
      <c r="A5" s="355"/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</row>
    <row r="6" spans="1:38" ht="15.75" thickBot="1">
      <c r="A6" s="136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.75">
      <c r="A7" s="28"/>
      <c r="B7" s="28"/>
      <c r="C7" s="28"/>
      <c r="D7" s="28"/>
      <c r="E7" s="28"/>
      <c r="F7" s="339" t="s">
        <v>110</v>
      </c>
      <c r="G7" s="340"/>
      <c r="H7" s="28"/>
      <c r="I7" s="356" t="s">
        <v>17</v>
      </c>
      <c r="J7" s="357"/>
      <c r="K7" s="357"/>
      <c r="L7" s="35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9.5">
      <c r="A8" s="28"/>
      <c r="B8" s="28"/>
      <c r="C8" s="28"/>
      <c r="D8" s="28"/>
      <c r="E8" s="28"/>
      <c r="F8" s="92" t="s">
        <v>2</v>
      </c>
      <c r="G8" s="93" t="e">
        <f>SUM(Janvier!AF4,#REF!,#REF!,#REF!,#REF!,#REF!,#REF!,#REF!,#REF!,#REF!,#REF!,#REF!)</f>
        <v>#REF!</v>
      </c>
      <c r="H8" s="28"/>
      <c r="I8" s="105"/>
      <c r="J8" s="106" t="s">
        <v>34</v>
      </c>
      <c r="K8" s="107" t="s">
        <v>23</v>
      </c>
      <c r="L8" s="108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17"/>
      <c r="G9" s="318"/>
      <c r="H9" s="28"/>
      <c r="I9" s="21" t="s">
        <v>1</v>
      </c>
      <c r="J9" s="22" t="e">
        <f>SUM(Janvier!AF10,#REF!,#REF!,#REF!,#REF!,#REF!,#REF!,#REF!,#REF!,#REF!,#REF!,#REF!)*24</f>
        <v>#REF!</v>
      </c>
      <c r="K9" s="112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2" t="s">
        <v>67</v>
      </c>
      <c r="G10" s="94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13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03"/>
      <c r="G11" s="304"/>
      <c r="H11" s="28"/>
      <c r="I11" s="10" t="s">
        <v>20</v>
      </c>
      <c r="J11" s="2" t="e">
        <f>SUM(Janvier!AF18,#REF!,#REF!,#REF!,#REF!,#REF!,#REF!,#REF!,#REF!,#REF!,#REF!,#REF!)*24</f>
        <v>#REF!</v>
      </c>
      <c r="K11" s="113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2" t="s">
        <v>61</v>
      </c>
      <c r="G12" s="93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13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03"/>
      <c r="G13" s="304"/>
      <c r="H13" s="28"/>
      <c r="I13" s="10" t="s">
        <v>21</v>
      </c>
      <c r="J13" s="2" t="e">
        <f>SUM(Janvier!AF24,#REF!,#REF!,#REF!,#REF!,#REF!,#REF!,#REF!,#REF!,#REF!,#REF!,#REF!)*24</f>
        <v>#REF!</v>
      </c>
      <c r="K13" s="113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2" t="s">
        <v>71</v>
      </c>
      <c r="G14" s="95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13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.75" thickBot="1">
      <c r="A15" s="28"/>
      <c r="B15" s="28"/>
      <c r="C15" s="28"/>
      <c r="D15" s="28"/>
      <c r="E15" s="28"/>
      <c r="F15" s="305"/>
      <c r="G15" s="306"/>
      <c r="H15" s="28"/>
      <c r="I15" s="13" t="s">
        <v>24</v>
      </c>
      <c r="J15" s="14" t="e">
        <f>SUM(J10+J12)</f>
        <v>#REF!</v>
      </c>
      <c r="K15" s="114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.5" thickBot="1">
      <c r="A16" s="28"/>
      <c r="B16" s="28"/>
      <c r="C16" s="28"/>
      <c r="D16" s="28"/>
      <c r="E16" s="28"/>
      <c r="F16" s="92" t="s">
        <v>72</v>
      </c>
      <c r="G16" s="95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.75" thickBot="1">
      <c r="A17" s="28"/>
      <c r="B17" s="28"/>
      <c r="C17" s="28"/>
      <c r="D17" s="28"/>
      <c r="E17" s="28"/>
      <c r="F17" s="289"/>
      <c r="G17" s="290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6" t="s">
        <v>81</v>
      </c>
      <c r="G18" s="97" t="e">
        <f>SUM(Janvier!AF14,#REF!,#REF!,#REF!,#REF!,#REF!,#REF!,#REF!,#REF!,#REF!,#REF!,#REF!)</f>
        <v>#REF!</v>
      </c>
      <c r="H18" s="28"/>
      <c r="I18" s="359" t="s">
        <v>16</v>
      </c>
      <c r="J18" s="360"/>
      <c r="K18" s="360"/>
      <c r="L18" s="361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03"/>
      <c r="G19" s="304"/>
      <c r="H19" s="28"/>
      <c r="I19" s="109"/>
      <c r="J19" s="110" t="s">
        <v>11</v>
      </c>
      <c r="K19" s="110" t="s">
        <v>23</v>
      </c>
      <c r="L19" s="111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6" t="s">
        <v>75</v>
      </c>
      <c r="G20" s="98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5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.75" thickBot="1">
      <c r="A21" s="28"/>
      <c r="B21" s="28"/>
      <c r="C21" s="28"/>
      <c r="D21" s="28"/>
      <c r="E21" s="28"/>
      <c r="F21" s="303"/>
      <c r="G21" s="304"/>
      <c r="H21" s="28"/>
      <c r="I21" s="18" t="s">
        <v>77</v>
      </c>
      <c r="J21" s="89" t="e">
        <f>SUM(Janvier!AF38,#REF!,#REF!,#REF!,#REF!,#REF!,#REF!,#REF!,#REF!,#REF!,#REF!,#REF!)</f>
        <v>#REF!</v>
      </c>
      <c r="K21" s="114">
        <v>0.81</v>
      </c>
      <c r="L21" s="104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.5" thickBot="1">
      <c r="A22" s="28"/>
      <c r="B22" s="28"/>
      <c r="C22" s="28"/>
      <c r="D22" s="28"/>
      <c r="E22" s="28"/>
      <c r="F22" s="92" t="s">
        <v>73</v>
      </c>
      <c r="G22" s="95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7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89"/>
      <c r="G23" s="290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2" t="s">
        <v>74</v>
      </c>
      <c r="G24" s="95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89"/>
      <c r="G25" s="290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2" t="s">
        <v>80</v>
      </c>
      <c r="G26" s="99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91"/>
      <c r="G27" s="292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2" t="s">
        <v>68</v>
      </c>
      <c r="G28" s="95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89"/>
      <c r="G29" s="290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2" t="s">
        <v>69</v>
      </c>
      <c r="G30" s="95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89"/>
      <c r="G31" s="290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2" t="s">
        <v>70</v>
      </c>
      <c r="G32" s="95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89"/>
      <c r="G33" s="290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6" t="s">
        <v>62</v>
      </c>
      <c r="G34" s="100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297"/>
      <c r="G35" s="29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6" t="s">
        <v>63</v>
      </c>
      <c r="G36" s="100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297"/>
      <c r="G37" s="29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2" t="s">
        <v>64</v>
      </c>
      <c r="G38" s="101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89"/>
      <c r="G39" s="290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2" t="s">
        <v>65</v>
      </c>
      <c r="G40" s="99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89"/>
      <c r="G41" s="290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02" t="s">
        <v>66</v>
      </c>
      <c r="G42" s="101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.75" thickBot="1">
      <c r="A43" s="28"/>
      <c r="B43" s="28"/>
      <c r="C43" s="28"/>
      <c r="D43" s="28"/>
      <c r="E43" s="28"/>
      <c r="F43" s="293"/>
      <c r="G43" s="294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U34" sqref="U34"/>
    </sheetView>
  </sheetViews>
  <sheetFormatPr baseColWidth="10" defaultRowHeight="15"/>
  <cols>
    <col min="1" max="1" width="2.28515625" customWidth="1"/>
    <col min="2" max="2" width="2.42578125" customWidth="1"/>
    <col min="3" max="3" width="2.85546875" customWidth="1"/>
    <col min="4" max="5" width="10.85546875" style="7"/>
    <col min="6" max="6" width="11.28515625" style="78" customWidth="1"/>
    <col min="7" max="7" width="12.42578125" style="7" customWidth="1"/>
    <col min="8" max="8" width="12.140625" customWidth="1"/>
    <col min="10" max="10" width="17.7109375" customWidth="1"/>
    <col min="13" max="13" width="18.28515625" bestFit="1" customWidth="1"/>
    <col min="14" max="14" width="26.42578125" bestFit="1" customWidth="1"/>
    <col min="15" max="15" width="2.85546875" customWidth="1"/>
    <col min="16" max="16" width="3.42578125" customWidth="1"/>
    <col min="17" max="17" width="14.140625" customWidth="1"/>
    <col min="18" max="18" width="11.42578125" customWidth="1"/>
    <col min="20" max="20" width="13.85546875" customWidth="1"/>
    <col min="21" max="21" width="12.7109375" customWidth="1"/>
    <col min="22" max="22" width="5.42578125" customWidth="1"/>
  </cols>
  <sheetData>
    <row r="1" spans="1:42">
      <c r="A1" s="177"/>
      <c r="B1" s="139"/>
      <c r="C1" s="140"/>
      <c r="D1" s="8" t="s">
        <v>84</v>
      </c>
      <c r="E1" s="8" t="s">
        <v>33</v>
      </c>
      <c r="F1" s="146"/>
      <c r="G1" s="133" t="s">
        <v>13</v>
      </c>
      <c r="H1" s="9" t="s">
        <v>26</v>
      </c>
      <c r="I1" s="28"/>
      <c r="J1" s="43"/>
      <c r="K1" s="153"/>
      <c r="L1" s="28"/>
      <c r="M1" s="170">
        <f>An</f>
        <v>2016</v>
      </c>
      <c r="N1" s="174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4">
        <v>0</v>
      </c>
      <c r="E2" s="134">
        <v>1.0416666666666666E-2</v>
      </c>
      <c r="F2" s="147"/>
      <c r="G2" s="128" t="s">
        <v>56</v>
      </c>
      <c r="H2" s="130" t="s">
        <v>125</v>
      </c>
      <c r="I2" s="28"/>
      <c r="J2" s="141"/>
      <c r="K2" s="141"/>
      <c r="L2" s="28"/>
      <c r="M2" s="171" t="s">
        <v>88</v>
      </c>
      <c r="N2" s="167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4">
        <v>2.0833333333333332E-2</v>
      </c>
      <c r="E3" s="134">
        <v>2.0833333333333332E-2</v>
      </c>
      <c r="F3" s="147"/>
      <c r="G3" s="128" t="s">
        <v>57</v>
      </c>
      <c r="H3" s="131" t="s">
        <v>27</v>
      </c>
      <c r="I3" s="28"/>
      <c r="J3" s="43"/>
      <c r="K3" s="43"/>
      <c r="L3" s="28"/>
      <c r="M3" s="172" t="s">
        <v>89</v>
      </c>
      <c r="N3" s="168">
        <f>FLOOR(DAY(MINUTE(An/38)/2+56)&amp;"/5/"&amp;An,7)-34</f>
        <v>42456</v>
      </c>
      <c r="O3" s="28"/>
      <c r="P3" s="28"/>
      <c r="Q3" s="366" t="s">
        <v>107</v>
      </c>
      <c r="R3" s="366"/>
      <c r="S3" s="366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4">
        <v>4.1666666666666664E-2</v>
      </c>
      <c r="E4" s="134">
        <v>3.125E-2</v>
      </c>
      <c r="F4" s="147"/>
      <c r="G4" s="128" t="s">
        <v>58</v>
      </c>
      <c r="H4" s="131" t="s">
        <v>8</v>
      </c>
      <c r="I4" s="28"/>
      <c r="J4" s="141"/>
      <c r="K4" s="141"/>
      <c r="L4" s="28"/>
      <c r="M4" s="172" t="s">
        <v>90</v>
      </c>
      <c r="N4" s="168">
        <f>Paques+1</f>
        <v>42457</v>
      </c>
      <c r="O4" s="28"/>
      <c r="P4" s="28"/>
      <c r="Q4" s="366"/>
      <c r="R4" s="366"/>
      <c r="S4" s="366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4">
        <v>6.25E-2</v>
      </c>
      <c r="E5" s="134">
        <v>4.1666666666666664E-2</v>
      </c>
      <c r="F5" s="147"/>
      <c r="G5" s="128" t="s">
        <v>59</v>
      </c>
      <c r="H5" s="131" t="s">
        <v>9</v>
      </c>
      <c r="I5" s="28"/>
      <c r="J5" s="141"/>
      <c r="K5" s="141"/>
      <c r="L5" s="28"/>
      <c r="M5" s="172" t="s">
        <v>91</v>
      </c>
      <c r="N5" s="168">
        <f>DATE(An,5,1)</f>
        <v>42491</v>
      </c>
      <c r="O5" s="28"/>
      <c r="P5" s="28"/>
      <c r="Q5" s="79" t="s">
        <v>106</v>
      </c>
      <c r="R5" s="79"/>
      <c r="S5" s="79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4">
        <v>8.3333333333333301E-2</v>
      </c>
      <c r="E6" s="134">
        <v>5.2083333333333336E-2</v>
      </c>
      <c r="F6" s="147"/>
      <c r="G6" s="128" t="s">
        <v>79</v>
      </c>
      <c r="H6" s="132" t="s">
        <v>118</v>
      </c>
      <c r="I6" s="28"/>
      <c r="J6" s="141"/>
      <c r="K6" s="43"/>
      <c r="L6" s="28"/>
      <c r="M6" s="172" t="s">
        <v>92</v>
      </c>
      <c r="N6" s="168">
        <f>DATE(An,5,8)</f>
        <v>42498</v>
      </c>
      <c r="O6" s="28"/>
      <c r="P6" s="28"/>
      <c r="Q6" s="80" t="s">
        <v>101</v>
      </c>
      <c r="R6" s="80" t="s">
        <v>102</v>
      </c>
      <c r="S6" s="80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4">
        <v>0.104166666666667</v>
      </c>
      <c r="E7" s="134">
        <v>6.25E-2</v>
      </c>
      <c r="F7" s="147"/>
      <c r="G7" s="128" t="s">
        <v>6</v>
      </c>
      <c r="H7" s="150"/>
      <c r="I7" s="28"/>
      <c r="J7" s="141"/>
      <c r="K7" s="43"/>
      <c r="L7" s="28"/>
      <c r="M7" s="172" t="s">
        <v>93</v>
      </c>
      <c r="N7" s="168">
        <f>Paques+39</f>
        <v>42495</v>
      </c>
      <c r="O7" s="28"/>
      <c r="P7" s="28"/>
      <c r="Q7" s="80" t="s">
        <v>15</v>
      </c>
      <c r="R7" s="80" t="s">
        <v>103</v>
      </c>
      <c r="S7" s="80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4">
        <v>0.125</v>
      </c>
      <c r="E8" s="134">
        <v>7.2916666666666671E-2</v>
      </c>
      <c r="F8" s="147"/>
      <c r="G8" s="129" t="s">
        <v>14</v>
      </c>
      <c r="H8" s="150"/>
      <c r="I8" s="28"/>
      <c r="J8" s="141"/>
      <c r="K8" s="43"/>
      <c r="L8" s="28"/>
      <c r="M8" s="172" t="s">
        <v>94</v>
      </c>
      <c r="N8" s="168">
        <f>Paques+49</f>
        <v>42505</v>
      </c>
      <c r="O8" s="28"/>
      <c r="P8" s="28"/>
      <c r="Q8" s="80" t="s">
        <v>104</v>
      </c>
      <c r="R8" s="80" t="s">
        <v>105</v>
      </c>
      <c r="S8" s="80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.75" thickBot="1">
      <c r="A9" s="28"/>
      <c r="B9" s="28"/>
      <c r="C9" s="28"/>
      <c r="D9" s="134">
        <v>0.14583333333333301</v>
      </c>
      <c r="E9" s="134">
        <v>8.3333333333333329E-2</v>
      </c>
      <c r="F9" s="148"/>
      <c r="G9" s="175"/>
      <c r="H9" s="176"/>
      <c r="I9" s="28"/>
      <c r="J9" s="141"/>
      <c r="K9" s="43"/>
      <c r="L9" s="28"/>
      <c r="M9" s="172" t="s">
        <v>95</v>
      </c>
      <c r="N9" s="168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.75" thickBot="1">
      <c r="A10" s="28"/>
      <c r="B10" s="28"/>
      <c r="C10" s="28"/>
      <c r="D10" s="134">
        <v>0.16666666666666699</v>
      </c>
      <c r="E10" s="134">
        <v>9.375E-2</v>
      </c>
      <c r="F10" s="148"/>
      <c r="G10" s="364" t="s">
        <v>121</v>
      </c>
      <c r="H10" s="365"/>
      <c r="I10" s="28"/>
      <c r="J10" s="141"/>
      <c r="K10" s="43"/>
      <c r="L10" s="28"/>
      <c r="M10" s="172" t="s">
        <v>96</v>
      </c>
      <c r="N10" s="168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4">
        <v>0.1875</v>
      </c>
      <c r="E11" s="134">
        <v>0.10416666666666667</v>
      </c>
      <c r="F11" s="148"/>
      <c r="G11" s="175"/>
      <c r="H11" s="176"/>
      <c r="I11" s="28"/>
      <c r="J11" s="141"/>
      <c r="K11" s="43"/>
      <c r="L11" s="28"/>
      <c r="M11" s="172" t="s">
        <v>97</v>
      </c>
      <c r="N11" s="168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4">
        <v>0.20833333333333301</v>
      </c>
      <c r="E12" s="134">
        <v>0.11458333333333333</v>
      </c>
      <c r="F12" s="148"/>
      <c r="G12" s="175"/>
      <c r="H12" s="176"/>
      <c r="I12" s="165"/>
      <c r="J12" s="165"/>
      <c r="K12" s="165"/>
      <c r="L12" s="28"/>
      <c r="M12" s="172" t="s">
        <v>98</v>
      </c>
      <c r="N12" s="168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.1" customHeight="1">
      <c r="A13" s="28"/>
      <c r="B13" s="28"/>
      <c r="C13" s="28"/>
      <c r="D13" s="134">
        <v>0.22916666666666699</v>
      </c>
      <c r="E13" s="134">
        <v>0.125</v>
      </c>
      <c r="F13" s="149"/>
      <c r="G13" s="175"/>
      <c r="H13" s="176"/>
      <c r="I13" s="165"/>
      <c r="J13" s="165"/>
      <c r="K13" s="165"/>
      <c r="L13" s="28"/>
      <c r="M13" s="172" t="s">
        <v>99</v>
      </c>
      <c r="N13" s="168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4">
        <v>0.25</v>
      </c>
      <c r="E14" s="134">
        <v>0.13541666666666666</v>
      </c>
      <c r="F14" s="37"/>
      <c r="G14" s="175"/>
      <c r="H14" s="136"/>
      <c r="I14" s="165"/>
      <c r="J14" s="165"/>
      <c r="K14" s="165"/>
      <c r="L14" s="151"/>
      <c r="M14" s="173" t="s">
        <v>100</v>
      </c>
      <c r="N14" s="169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4">
        <v>0.27083333333333298</v>
      </c>
      <c r="E15" s="134">
        <v>0.14583333333333334</v>
      </c>
      <c r="F15" s="37"/>
      <c r="G15" s="154"/>
      <c r="H15" s="28"/>
      <c r="I15" s="166"/>
      <c r="J15" s="166"/>
      <c r="K15" s="166"/>
      <c r="L15" s="152"/>
      <c r="M15" s="43"/>
      <c r="N15" s="43"/>
      <c r="O15" s="28"/>
      <c r="P15" s="28"/>
      <c r="Q15" s="375" t="s">
        <v>117</v>
      </c>
      <c r="R15" s="376"/>
      <c r="S15" s="379">
        <f ca="1">TODAY()</f>
        <v>42347</v>
      </c>
      <c r="T15" s="380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.75" thickBot="1">
      <c r="A16" s="54"/>
      <c r="B16" s="54"/>
      <c r="C16" s="28"/>
      <c r="D16" s="134">
        <v>0.29166666666666702</v>
      </c>
      <c r="E16" s="134">
        <v>0.15625</v>
      </c>
      <c r="F16" s="37"/>
      <c r="G16" s="143"/>
      <c r="H16" s="28"/>
      <c r="I16" s="166"/>
      <c r="J16" s="166"/>
      <c r="K16" s="166"/>
      <c r="L16" s="28"/>
      <c r="M16" s="43"/>
      <c r="N16" s="43"/>
      <c r="O16" s="28"/>
      <c r="P16" s="28"/>
      <c r="Q16" s="377"/>
      <c r="R16" s="378"/>
      <c r="S16" s="381"/>
      <c r="T16" s="382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4">
        <v>0.3125</v>
      </c>
      <c r="E17" s="134">
        <v>0.16666666666666666</v>
      </c>
      <c r="F17" s="37"/>
      <c r="G17" s="143"/>
      <c r="H17" s="28"/>
      <c r="I17" s="28"/>
      <c r="J17" s="141"/>
      <c r="K17" s="43"/>
      <c r="L17" s="43"/>
      <c r="M17" s="43"/>
      <c r="N17" s="43"/>
      <c r="O17" s="43"/>
      <c r="P17" s="127"/>
      <c r="Q17" s="144"/>
      <c r="R17" s="144"/>
      <c r="S17" s="144"/>
      <c r="T17" s="127"/>
      <c r="U17" s="127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.75" thickBot="1">
      <c r="A18" s="28"/>
      <c r="B18" s="28"/>
      <c r="C18" s="28"/>
      <c r="D18" s="134">
        <v>0.33333333333333298</v>
      </c>
      <c r="E18" s="134">
        <v>0.17708333333333334</v>
      </c>
      <c r="F18" s="37"/>
      <c r="G18" s="143"/>
      <c r="H18" s="28"/>
      <c r="I18" s="28"/>
      <c r="J18" s="43"/>
      <c r="K18" s="43"/>
      <c r="L18" s="43"/>
      <c r="M18" s="43"/>
      <c r="N18" s="43"/>
      <c r="O18" s="43"/>
      <c r="P18" s="127"/>
      <c r="Q18" s="127"/>
      <c r="R18" s="127"/>
      <c r="S18" s="127"/>
      <c r="T18" s="127"/>
      <c r="U18" s="127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.5" thickBot="1">
      <c r="A19" s="28"/>
      <c r="B19" s="28"/>
      <c r="C19" s="28"/>
      <c r="D19" s="134">
        <v>0.35416666666666702</v>
      </c>
      <c r="E19" s="134">
        <v>0.1875</v>
      </c>
      <c r="F19" s="37"/>
      <c r="G19" s="143"/>
      <c r="H19" s="28"/>
      <c r="I19" s="28"/>
      <c r="J19" s="28"/>
      <c r="K19" s="28"/>
      <c r="L19" s="43"/>
      <c r="M19" s="43"/>
      <c r="N19" s="43"/>
      <c r="O19" s="43"/>
      <c r="P19" s="127"/>
      <c r="Q19" s="373" t="s">
        <v>82</v>
      </c>
      <c r="R19" s="374"/>
      <c r="S19" s="374"/>
      <c r="T19" s="374"/>
      <c r="U19" s="362" t="s">
        <v>119</v>
      </c>
      <c r="V19" s="363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4">
        <v>0.375</v>
      </c>
      <c r="E20" s="134">
        <v>0.19791666666666666</v>
      </c>
      <c r="F20" s="143"/>
      <c r="G20" s="37"/>
      <c r="H20" s="28"/>
      <c r="I20" s="28"/>
      <c r="J20" s="155"/>
      <c r="K20" s="28"/>
      <c r="L20" s="43"/>
      <c r="M20" s="43"/>
      <c r="N20" s="43"/>
      <c r="O20" s="43"/>
      <c r="P20" s="127"/>
      <c r="Q20" s="387" t="s">
        <v>112</v>
      </c>
      <c r="R20" s="388"/>
      <c r="S20" s="389">
        <v>42402</v>
      </c>
      <c r="T20" s="390"/>
      <c r="U20" s="158" t="s">
        <v>120</v>
      </c>
      <c r="V20" s="159">
        <f ca="1">ABS(S15-S20)</f>
        <v>55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4">
        <v>0.39583333333333298</v>
      </c>
      <c r="E21" s="135">
        <v>0.20833333333333334</v>
      </c>
      <c r="F21" s="143"/>
      <c r="G21" s="37"/>
      <c r="H21" s="28"/>
      <c r="I21" s="28"/>
      <c r="J21" s="155"/>
      <c r="K21" s="28"/>
      <c r="L21" s="43"/>
      <c r="M21" s="43"/>
      <c r="N21" s="43"/>
      <c r="O21" s="43"/>
      <c r="P21" s="127"/>
      <c r="Q21" s="391" t="s">
        <v>113</v>
      </c>
      <c r="R21" s="392"/>
      <c r="S21" s="393">
        <v>42461</v>
      </c>
      <c r="T21" s="394"/>
      <c r="U21" s="160" t="s">
        <v>120</v>
      </c>
      <c r="V21" s="161">
        <f ca="1">ABS(S15-S21)</f>
        <v>114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.75" thickBot="1">
      <c r="A22" s="28"/>
      <c r="B22" s="28"/>
      <c r="C22" s="28"/>
      <c r="D22" s="134">
        <v>0.41666666666666702</v>
      </c>
      <c r="E22" s="37"/>
      <c r="F22" s="37"/>
      <c r="G22" s="143"/>
      <c r="H22" s="28"/>
      <c r="I22" s="28"/>
      <c r="J22" s="28"/>
      <c r="K22" s="28"/>
      <c r="L22" s="43"/>
      <c r="M22" s="43"/>
      <c r="N22" s="43"/>
      <c r="O22" s="43"/>
      <c r="P22" s="127"/>
      <c r="Q22" s="391" t="s">
        <v>8</v>
      </c>
      <c r="R22" s="392"/>
      <c r="S22" s="393">
        <v>42552</v>
      </c>
      <c r="T22" s="394"/>
      <c r="U22" s="160" t="s">
        <v>120</v>
      </c>
      <c r="V22" s="161">
        <f ca="1">ABS(S15-S22)</f>
        <v>205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.5" thickTop="1" thickBot="1">
      <c r="A23" s="28"/>
      <c r="B23" s="28"/>
      <c r="C23" s="28"/>
      <c r="D23" s="134">
        <v>0.4375</v>
      </c>
      <c r="E23" s="37"/>
      <c r="F23" s="143"/>
      <c r="G23" s="369" t="s">
        <v>85</v>
      </c>
      <c r="H23" s="370"/>
      <c r="I23" s="370"/>
      <c r="J23" s="367">
        <v>2016</v>
      </c>
      <c r="K23" s="28"/>
      <c r="L23" s="43"/>
      <c r="M23" s="43"/>
      <c r="N23" s="43"/>
      <c r="O23" s="43"/>
      <c r="P23" s="127"/>
      <c r="Q23" s="383" t="s">
        <v>83</v>
      </c>
      <c r="R23" s="384"/>
      <c r="S23" s="385">
        <v>43405</v>
      </c>
      <c r="T23" s="386"/>
      <c r="U23" s="162" t="s">
        <v>120</v>
      </c>
      <c r="V23" s="163">
        <f ca="1">ABS(S15-S23)</f>
        <v>1058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.75" thickBot="1">
      <c r="A24" s="28"/>
      <c r="B24" s="28"/>
      <c r="C24" s="28"/>
      <c r="D24" s="134">
        <v>0.45833333333333298</v>
      </c>
      <c r="E24" s="37"/>
      <c r="F24" s="143"/>
      <c r="G24" s="371"/>
      <c r="H24" s="372"/>
      <c r="I24" s="372"/>
      <c r="J24" s="368"/>
      <c r="K24" s="28"/>
      <c r="L24" s="28"/>
      <c r="M24" s="28"/>
      <c r="N24" s="28"/>
      <c r="O24" s="28"/>
      <c r="P24" s="127"/>
      <c r="Q24" s="127"/>
      <c r="R24" s="127"/>
      <c r="S24" s="127"/>
      <c r="T24" s="127"/>
      <c r="U24" s="127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4">
        <v>0.47916666666666702</v>
      </c>
      <c r="E25" s="37"/>
      <c r="F25" s="143"/>
      <c r="G25" s="37"/>
      <c r="H25" s="28"/>
      <c r="I25" s="28"/>
      <c r="J25" s="28"/>
      <c r="K25" s="145"/>
      <c r="L25" s="28"/>
      <c r="M25" s="28"/>
      <c r="N25" s="28"/>
      <c r="O25" s="28"/>
      <c r="P25" s="127"/>
      <c r="Q25" s="127"/>
      <c r="R25" s="127"/>
      <c r="S25" s="127"/>
      <c r="T25" s="127"/>
      <c r="U25" s="127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.1" customHeight="1">
      <c r="A26" s="28"/>
      <c r="B26" s="28"/>
      <c r="C26" s="28"/>
      <c r="D26" s="134">
        <v>0.5</v>
      </c>
      <c r="E26" s="37"/>
      <c r="F26" s="143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.1" customHeight="1">
      <c r="A27" s="28"/>
      <c r="B27" s="28"/>
      <c r="C27" s="28"/>
      <c r="D27" s="134">
        <v>0.52083333333333304</v>
      </c>
      <c r="E27" s="37"/>
      <c r="F27" s="143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4">
        <v>0.54166666666666696</v>
      </c>
      <c r="E28" s="37"/>
      <c r="F28" s="143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4">
        <v>0.5625</v>
      </c>
      <c r="E29" s="37"/>
      <c r="F29" s="143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4">
        <v>0.58333333333333304</v>
      </c>
      <c r="E30" s="37"/>
      <c r="F30" s="143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34">
        <v>0.60416666666666696</v>
      </c>
      <c r="E31" s="37"/>
      <c r="F31" s="143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4">
        <v>0.625</v>
      </c>
      <c r="E32" s="37"/>
      <c r="F32" s="143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34">
        <v>0.64583333333333304</v>
      </c>
      <c r="E33" s="37"/>
      <c r="F33" s="143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34">
        <v>0.66666666666666696</v>
      </c>
      <c r="E34" s="37"/>
      <c r="F34" s="143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34">
        <v>0.6875</v>
      </c>
      <c r="E35" s="37"/>
      <c r="F35" s="143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4">
        <v>0.70833333333333304</v>
      </c>
      <c r="E36" s="37"/>
      <c r="F36" s="143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34">
        <v>0.72916666666666696</v>
      </c>
      <c r="E37" s="37"/>
      <c r="F37" s="143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4">
        <v>0.75</v>
      </c>
      <c r="E38" s="37"/>
      <c r="F38" s="143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4">
        <v>0.77083333333333304</v>
      </c>
      <c r="E39" s="37"/>
      <c r="F39" s="143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4">
        <v>0.79166666666666696</v>
      </c>
      <c r="E40" s="37"/>
      <c r="F40" s="143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4">
        <v>0.8125</v>
      </c>
      <c r="E41" s="37"/>
      <c r="F41" s="143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4">
        <v>0.83333333333333304</v>
      </c>
      <c r="E42" s="37"/>
      <c r="F42" s="143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4">
        <v>0.85416666666666696</v>
      </c>
      <c r="E43" s="37"/>
      <c r="F43" s="143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4">
        <v>0.875</v>
      </c>
      <c r="E44" s="37"/>
      <c r="F44" s="143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4">
        <v>0.89583333333333304</v>
      </c>
      <c r="E45" s="37"/>
      <c r="F45" s="143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4">
        <v>0.91666666666666696</v>
      </c>
      <c r="E46" s="37"/>
      <c r="F46" s="143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4">
        <v>0.9375</v>
      </c>
      <c r="E47" s="37"/>
      <c r="F47" s="143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4">
        <v>0.95833333333333304</v>
      </c>
      <c r="E48" s="37"/>
      <c r="F48" s="143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5">
        <v>0.97916666666666696</v>
      </c>
      <c r="E49" s="37"/>
      <c r="F49" s="143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42"/>
      <c r="E50" s="37"/>
      <c r="F50" s="143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41"/>
      <c r="D51" s="141"/>
      <c r="E51" s="37"/>
      <c r="F51" s="143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41"/>
      <c r="D52" s="141"/>
      <c r="E52" s="37"/>
      <c r="F52" s="143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41"/>
      <c r="D53" s="141"/>
      <c r="E53" s="37"/>
      <c r="F53" s="143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41"/>
      <c r="D54" s="141"/>
      <c r="E54" s="37"/>
      <c r="F54" s="143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41"/>
      <c r="D55" s="141"/>
      <c r="E55" s="37"/>
      <c r="F55" s="143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41"/>
      <c r="D56" s="141"/>
      <c r="E56" s="37"/>
      <c r="F56" s="143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41"/>
      <c r="D57" s="141"/>
      <c r="E57" s="37"/>
      <c r="F57" s="143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41"/>
      <c r="D58" s="141"/>
      <c r="E58" s="37"/>
      <c r="F58" s="143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41"/>
      <c r="D59" s="141"/>
      <c r="E59" s="37"/>
      <c r="F59" s="143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41"/>
      <c r="D60" s="141"/>
      <c r="E60" s="37"/>
      <c r="F60" s="143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41"/>
      <c r="D61" s="141"/>
      <c r="E61" s="37"/>
      <c r="F61" s="143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41"/>
      <c r="D62" s="141"/>
      <c r="E62" s="37"/>
      <c r="F62" s="143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41"/>
      <c r="D63" s="141"/>
      <c r="E63" s="37"/>
      <c r="F63" s="143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41"/>
      <c r="D64" s="141"/>
      <c r="E64" s="37"/>
      <c r="F64" s="143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43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43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43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43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43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43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7" priority="1" stopIfTrue="1">
      <formula>(S20:S23&lt;=TODAY()+120)*(S20:S23&lt;&gt;"")</formula>
    </cfRule>
    <cfRule type="expression" dxfId="6" priority="2" stopIfTrue="1">
      <formula>(S20:S23&lt;=TODAY()+180)*(S20:S23&lt;&gt;"")</formula>
    </cfRule>
    <cfRule type="expression" dxfId="5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5546875" defaultRowHeight="15"/>
  <cols>
    <col min="1" max="16384" width="10.85546875" style="90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5.95" customHeight="1" thickTop="1">
      <c r="A2" s="43"/>
      <c r="B2" s="43"/>
      <c r="C2" s="43"/>
      <c r="D2" s="43"/>
      <c r="E2" s="43"/>
      <c r="F2" s="43"/>
      <c r="G2" s="43"/>
      <c r="H2" s="91"/>
      <c r="I2" s="43"/>
      <c r="J2" s="425" t="s">
        <v>131</v>
      </c>
      <c r="K2" s="426"/>
      <c r="L2" s="426"/>
      <c r="M2" s="426"/>
      <c r="N2" s="426"/>
      <c r="O2" s="427"/>
      <c r="P2" s="43"/>
      <c r="Q2" s="43"/>
      <c r="R2" s="43"/>
      <c r="S2" s="43"/>
      <c r="T2" s="43"/>
      <c r="U2" s="438" t="s">
        <v>114</v>
      </c>
      <c r="V2" s="439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1"/>
      <c r="I3" s="43"/>
      <c r="J3" s="428"/>
      <c r="K3" s="429"/>
      <c r="L3" s="429"/>
      <c r="M3" s="429"/>
      <c r="N3" s="429"/>
      <c r="O3" s="430"/>
      <c r="P3" s="43"/>
      <c r="Q3" s="43"/>
      <c r="R3" s="43"/>
      <c r="S3" s="43"/>
      <c r="T3" s="43"/>
      <c r="U3" s="434" t="s">
        <v>115</v>
      </c>
      <c r="V3" s="435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1"/>
      <c r="I4" s="43"/>
      <c r="J4" s="428"/>
      <c r="K4" s="429"/>
      <c r="L4" s="429"/>
      <c r="M4" s="429"/>
      <c r="N4" s="429"/>
      <c r="O4" s="430"/>
      <c r="P4" s="43"/>
      <c r="Q4" s="43"/>
      <c r="R4" s="43"/>
      <c r="S4" s="43"/>
      <c r="T4" s="43"/>
      <c r="U4" s="436" t="s">
        <v>116</v>
      </c>
      <c r="V4" s="437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8"/>
      <c r="C5" s="178"/>
      <c r="D5" s="178"/>
      <c r="E5" s="178"/>
      <c r="F5" s="43"/>
      <c r="G5" s="43"/>
      <c r="H5" s="91"/>
      <c r="I5" s="43"/>
      <c r="J5" s="428"/>
      <c r="K5" s="429"/>
      <c r="L5" s="429"/>
      <c r="M5" s="429"/>
      <c r="N5" s="429"/>
      <c r="O5" s="430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1"/>
      <c r="I6" s="43"/>
      <c r="J6" s="428"/>
      <c r="K6" s="429"/>
      <c r="L6" s="429"/>
      <c r="M6" s="429"/>
      <c r="N6" s="429"/>
      <c r="O6" s="430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1"/>
      <c r="I7" s="43"/>
      <c r="J7" s="428"/>
      <c r="K7" s="429"/>
      <c r="L7" s="429"/>
      <c r="M7" s="429"/>
      <c r="N7" s="429"/>
      <c r="O7" s="430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.75" thickBot="1">
      <c r="A8" s="43"/>
      <c r="B8" s="43"/>
      <c r="C8" s="43"/>
      <c r="D8" s="43"/>
      <c r="E8" s="43"/>
      <c r="F8" s="43"/>
      <c r="G8" s="43"/>
      <c r="H8" s="91"/>
      <c r="I8" s="43"/>
      <c r="J8" s="428"/>
      <c r="K8" s="429"/>
      <c r="L8" s="429"/>
      <c r="M8" s="429"/>
      <c r="N8" s="429"/>
      <c r="O8" s="430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95" t="s">
        <v>109</v>
      </c>
      <c r="C9" s="396"/>
      <c r="D9" s="396"/>
      <c r="E9" s="397"/>
      <c r="F9" s="43"/>
      <c r="G9" s="43"/>
      <c r="H9" s="91"/>
      <c r="I9" s="43"/>
      <c r="J9" s="428"/>
      <c r="K9" s="429"/>
      <c r="L9" s="429"/>
      <c r="M9" s="429"/>
      <c r="N9" s="429"/>
      <c r="O9" s="430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.75" thickBot="1">
      <c r="A10" s="43"/>
      <c r="B10" s="398"/>
      <c r="C10" s="399"/>
      <c r="D10" s="399"/>
      <c r="E10" s="400"/>
      <c r="F10" s="43"/>
      <c r="G10" s="43"/>
      <c r="H10" s="91"/>
      <c r="I10" s="43"/>
      <c r="J10" s="428"/>
      <c r="K10" s="429"/>
      <c r="L10" s="429"/>
      <c r="M10" s="429"/>
      <c r="N10" s="429"/>
      <c r="O10" s="430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401" t="s">
        <v>123</v>
      </c>
      <c r="C11" s="402"/>
      <c r="D11" s="402"/>
      <c r="E11" s="403"/>
      <c r="F11" s="43"/>
      <c r="G11" s="43"/>
      <c r="H11" s="91"/>
      <c r="I11" s="43"/>
      <c r="J11" s="428"/>
      <c r="K11" s="429"/>
      <c r="L11" s="429"/>
      <c r="M11" s="429"/>
      <c r="N11" s="429"/>
      <c r="O11" s="430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.75" thickBot="1">
      <c r="A12" s="43"/>
      <c r="B12" s="404" t="s">
        <v>124</v>
      </c>
      <c r="C12" s="405"/>
      <c r="D12" s="405"/>
      <c r="E12" s="406"/>
      <c r="F12" s="43"/>
      <c r="G12" s="43"/>
      <c r="H12" s="91"/>
      <c r="I12" s="43"/>
      <c r="J12" s="428"/>
      <c r="K12" s="429"/>
      <c r="L12" s="429"/>
      <c r="M12" s="429"/>
      <c r="N12" s="429"/>
      <c r="O12" s="430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.75" thickBot="1">
      <c r="A13" s="43"/>
      <c r="B13" s="43"/>
      <c r="C13" s="43"/>
      <c r="D13" s="43"/>
      <c r="E13" s="43"/>
      <c r="F13" s="43"/>
      <c r="G13" s="43"/>
      <c r="H13" s="91"/>
      <c r="I13" s="43"/>
      <c r="J13" s="428"/>
      <c r="K13" s="429"/>
      <c r="L13" s="429"/>
      <c r="M13" s="429"/>
      <c r="N13" s="429"/>
      <c r="O13" s="430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.75" thickBot="1">
      <c r="A14" s="43"/>
      <c r="B14" s="407" t="s">
        <v>126</v>
      </c>
      <c r="C14" s="408"/>
      <c r="D14" s="408"/>
      <c r="E14" s="409"/>
      <c r="F14" s="43"/>
      <c r="G14" s="43"/>
      <c r="H14" s="91"/>
      <c r="I14" s="43"/>
      <c r="J14" s="431"/>
      <c r="K14" s="432"/>
      <c r="L14" s="432"/>
      <c r="M14" s="432"/>
      <c r="N14" s="432"/>
      <c r="O14" s="43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91"/>
      <c r="C15" s="91"/>
      <c r="D15" s="91"/>
      <c r="E15" s="91"/>
      <c r="F15" s="91"/>
      <c r="G15" s="91"/>
      <c r="H15" s="91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1"/>
      <c r="C16" s="91"/>
      <c r="D16" s="91"/>
      <c r="E16" s="91"/>
      <c r="F16" s="91"/>
      <c r="G16" s="91"/>
      <c r="H16" s="91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.7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10" t="s">
        <v>130</v>
      </c>
      <c r="J26" s="411"/>
      <c r="K26" s="411"/>
      <c r="L26" s="411"/>
      <c r="M26" s="411"/>
      <c r="N26" s="411"/>
      <c r="O26" s="411"/>
      <c r="P26" s="412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13"/>
      <c r="J27" s="414"/>
      <c r="K27" s="414"/>
      <c r="L27" s="414"/>
      <c r="M27" s="414"/>
      <c r="N27" s="414"/>
      <c r="O27" s="414"/>
      <c r="P27" s="415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.75" thickBot="1">
      <c r="A28" s="43"/>
      <c r="B28" s="43"/>
      <c r="C28" s="43"/>
      <c r="D28" s="43"/>
      <c r="E28" s="43"/>
      <c r="F28" s="43"/>
      <c r="G28" s="43"/>
      <c r="H28" s="43"/>
      <c r="I28" s="416"/>
      <c r="J28" s="417"/>
      <c r="K28" s="417"/>
      <c r="L28" s="417"/>
      <c r="M28" s="417"/>
      <c r="N28" s="417"/>
      <c r="O28" s="417"/>
      <c r="P28" s="418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19"/>
      <c r="J29" s="420"/>
      <c r="K29" s="420"/>
      <c r="L29" s="420"/>
      <c r="M29" s="420"/>
      <c r="N29" s="420"/>
      <c r="O29" s="420"/>
      <c r="P29" s="421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.75" thickBot="1">
      <c r="A30" s="43"/>
      <c r="B30" s="43"/>
      <c r="C30" s="43"/>
      <c r="D30" s="43"/>
      <c r="E30" s="43"/>
      <c r="F30" s="43"/>
      <c r="G30" s="43"/>
      <c r="H30" s="43"/>
      <c r="I30" s="422"/>
      <c r="J30" s="423"/>
      <c r="K30" s="423"/>
      <c r="L30" s="423"/>
      <c r="M30" s="423"/>
      <c r="N30" s="423"/>
      <c r="O30" s="423"/>
      <c r="P30" s="424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9:P30"/>
    <mergeCell ref="J2:O14"/>
    <mergeCell ref="U3:V3"/>
    <mergeCell ref="U4:V4"/>
    <mergeCell ref="U2:V2"/>
    <mergeCell ref="B9:E10"/>
    <mergeCell ref="B11:E11"/>
    <mergeCell ref="B12:E12"/>
    <mergeCell ref="B14:E14"/>
    <mergeCell ref="I26:P28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Janvier</vt:lpstr>
      <vt:lpstr>Stats année</vt:lpstr>
      <vt:lpstr>Réglages</vt:lpstr>
      <vt:lpstr>Aide et remerciements</vt:lpstr>
      <vt:lpstr>An</vt:lpstr>
      <vt:lpstr>Fériés</vt:lpstr>
      <vt:lpstr>Paques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Olivier</cp:lastModifiedBy>
  <dcterms:created xsi:type="dcterms:W3CDTF">2015-10-25T17:19:21Z</dcterms:created>
  <dcterms:modified xsi:type="dcterms:W3CDTF">2015-12-09T21:00:25Z</dcterms:modified>
</cp:coreProperties>
</file>