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320" windowHeight="8010" firstSheet="3" activeTab="3"/>
  </bookViews>
  <sheets>
    <sheet name="Dérivés Sanguins" sheetId="20" state="hidden" r:id="rId1"/>
    <sheet name="&lt;-------&gt;" sheetId="21" state="hidden" r:id="rId2"/>
    <sheet name="MIDDLE" sheetId="19" state="hidden" r:id="rId3"/>
    <sheet name="REA" sheetId="1" r:id="rId4"/>
    <sheet name="IV Continue" sheetId="3" r:id="rId5"/>
    <sheet name="IV Discontinue" sheetId="4" r:id="rId6"/>
    <sheet name="Per Os" sheetId="5" r:id="rId7"/>
    <sheet name="TPN" sheetId="15" state="hidden" r:id="rId8"/>
    <sheet name="Parentérale" sheetId="6" state="hidden" r:id="rId9"/>
    <sheet name="Autre Perfusion" sheetId="16" state="hidden" r:id="rId10"/>
    <sheet name="Compléments TPN" sheetId="14" state="hidden" r:id="rId11"/>
    <sheet name="Entérale" sheetId="7" state="hidden" r:id="rId12"/>
    <sheet name="Autres Médicaments" sheetId="8" state="hidden" r:id="rId13"/>
    <sheet name="Intervalle" sheetId="13" state="hidden" r:id="rId14"/>
    <sheet name="Composition" sheetId="18" state="hidden" r:id="rId15"/>
    <sheet name="Laits" sheetId="22" state="hidden" r:id="rId16"/>
    <sheet name="&lt;------&gt;" sheetId="24" state="hidden" r:id="rId17"/>
    <sheet name="AIDE" sheetId="23" state="hidden" r:id="rId18"/>
    <sheet name="Autres Traitements" sheetId="25" state="hidden" r:id="rId19"/>
    <sheet name="Apports" sheetId="26" state="hidden" r:id="rId20"/>
    <sheet name="Liste Médecins" sheetId="27" state="hidden" r:id="rId21"/>
    <sheet name="Codes" sheetId="28" r:id="rId22"/>
  </sheets>
  <definedNames>
    <definedName name="ajouts_TPN">TPN!$A$20:$A$24</definedName>
    <definedName name="Ajouts_TPN_matrice">TPN!$A$19:$N$24</definedName>
    <definedName name="APNEO_et_NUMETZAH">TPN!$O$9:$O$14</definedName>
    <definedName name="Autre_perfusion_matrice">'Autre Perfusion'!$A$1:$C$25</definedName>
    <definedName name="Autre_perfusion_solutés">'Autre Perfusion'!$A$2:$A$13</definedName>
    <definedName name="Autres_produits">TPN!$A$27:$A$29</definedName>
    <definedName name="autres_produits_matrice">TPN!$A$26:$N$30</definedName>
    <definedName name="Autres_traitements">'Autres Traitements'!$A$2:$A$116</definedName>
    <definedName name="Cathéters">'Autre Perfusion'!#REF!</definedName>
    <definedName name="CLINOLEIC_SMOF">TPN!$Q$16:$Q$18</definedName>
    <definedName name="codes">Codes!$A$2:$A$5</definedName>
    <definedName name="Compléments_TPN">'Compléments TPN'!$A$1:$C$29</definedName>
    <definedName name="curosurf" localSheetId="2">#REF!</definedName>
    <definedName name="curosurf">#REF!</definedName>
    <definedName name="Curosurf_dose" localSheetId="2">#REF!</definedName>
    <definedName name="Curosurf_dose">#REF!</definedName>
    <definedName name="Dérivés_sanguins">'Dérivés Sanguins'!$A$2:$D$15</definedName>
    <definedName name="Dilution" localSheetId="2">'IV Continue'!#REF!</definedName>
    <definedName name="Dilution">'IV Continue'!#REF!</definedName>
    <definedName name="Entérale">Entérale!$A$1:$E$30</definedName>
    <definedName name="Enterale_Fréquence">Entérale!$F$2:$F$9</definedName>
    <definedName name="Entérale_intervalle">Entérale!$E$2:$E$19</definedName>
    <definedName name="entérale_modalité">Entérale!$D$2:$D$17</definedName>
    <definedName name="Fréquence">Intervalle!$C$2:$C$12</definedName>
    <definedName name="I.V._Continue">'IV Continue'!$A$2:$A$45</definedName>
    <definedName name="I.V._Discontinue_intervalle">'IV Discontinue'!$H$91:$H$102</definedName>
    <definedName name="intervalle_entérale">Intervalle!$A$3:$A$7</definedName>
    <definedName name="IV_discontinue_matrice">'IV Discontinue'!$A$1:$F$127</definedName>
    <definedName name="KT_TPN">TPN!$Q$11:$Q$16</definedName>
    <definedName name="Laits">Entérale!$A$2:$A$25</definedName>
    <definedName name="Lipides">TPN!$Q$21:$Q$23</definedName>
    <definedName name="parentérale">Parentérale!$A$1:$D$22</definedName>
    <definedName name="produit_autres_médicaments">'Autres Médicaments'!$A$2:$A$77</definedName>
    <definedName name="produit_autres_traitements" localSheetId="2">#REF!</definedName>
    <definedName name="Produit_Curosurf" localSheetId="2">#REF!</definedName>
    <definedName name="Produit_entérale">Entérale!$A$2:$A$25</definedName>
    <definedName name="produit_fréquence">Intervalle!$C$3:$C$14</definedName>
    <definedName name="produit_intervalle">Intervalle!$A$2:$A$20</definedName>
    <definedName name="Produit_IV_continu_mL">'IV Continue'!$A$1:$G$45</definedName>
    <definedName name="Produit_IV_Continue">'IV Continue'!$A$2:$A$45</definedName>
    <definedName name="Produit_IV_discontinue">'IV Discontinue'!$A$2:$A$109</definedName>
    <definedName name="produit_parentérale">Parentérale!$A$2:$A$22</definedName>
    <definedName name="Produit_per_os">'Per Os'!$A$2:$A$39</definedName>
    <definedName name="Produit_per_os_matrice">'Per Os'!$A$1:$F$39</definedName>
    <definedName name="produit_support_respiratoire" localSheetId="2">#REF!</definedName>
    <definedName name="produits_compléments_TPN">'Compléments TPN'!$A$2:$A$28</definedName>
    <definedName name="produits_dérivés">'Dérivés Sanguins'!$A$2:$A$15</definedName>
    <definedName name="Type_de_lait" localSheetId="15">Laits!$A$3:$A$31</definedName>
    <definedName name="_xlnm.Print_Area" localSheetId="2">MIDDLE!$B$1:$BD$30</definedName>
    <definedName name="_xlnm.Print_Area" localSheetId="3">REA!$B$1:$BD$75</definedName>
  </definedNames>
  <calcPr calcId="125725"/>
</workbook>
</file>

<file path=xl/calcChain.xml><?xml version="1.0" encoding="utf-8"?>
<calcChain xmlns="http://schemas.openxmlformats.org/spreadsheetml/2006/main">
  <c r="R71" i="1"/>
  <c r="V71"/>
  <c r="V70"/>
  <c r="R70"/>
  <c r="X36" l="1"/>
  <c r="X35"/>
  <c r="X34"/>
  <c r="X33" l="1"/>
  <c r="M1"/>
  <c r="V34" l="1"/>
  <c r="T36"/>
  <c r="T34"/>
  <c r="V35"/>
  <c r="V36" l="1"/>
  <c r="R36"/>
  <c r="R35"/>
  <c r="T35"/>
  <c r="R34"/>
  <c r="E108" i="4"/>
  <c r="V54" i="1"/>
  <c r="V53"/>
  <c r="V52"/>
  <c r="V51"/>
  <c r="V50"/>
  <c r="V49"/>
  <c r="V48"/>
  <c r="V47"/>
  <c r="V46"/>
  <c r="E17" i="26"/>
  <c r="D17"/>
  <c r="G24" l="1"/>
  <c r="G22"/>
  <c r="G23"/>
  <c r="AT1" i="1"/>
  <c r="AI1"/>
  <c r="V9" l="1"/>
  <c r="AD3"/>
  <c r="X5" s="1"/>
  <c r="L24"/>
  <c r="L22"/>
  <c r="E22"/>
  <c r="U14"/>
  <c r="X18"/>
  <c r="E105" i="4" l="1"/>
  <c r="E80"/>
  <c r="E49"/>
  <c r="T46" i="1" s="1"/>
  <c r="E51" i="4"/>
  <c r="E17"/>
  <c r="E52"/>
  <c r="E15"/>
  <c r="F39" i="26"/>
  <c r="F38"/>
  <c r="G38"/>
  <c r="G39"/>
  <c r="E38"/>
  <c r="E39"/>
  <c r="E73"/>
  <c r="E50"/>
  <c r="P55"/>
  <c r="P54"/>
  <c r="P53"/>
  <c r="P52"/>
  <c r="P51"/>
  <c r="P50"/>
  <c r="P49"/>
  <c r="P48"/>
  <c r="P47"/>
  <c r="P46"/>
  <c r="G72"/>
  <c r="G73"/>
  <c r="G71"/>
  <c r="G69"/>
  <c r="G70"/>
  <c r="G49"/>
  <c r="G50"/>
  <c r="G48"/>
  <c r="G47"/>
  <c r="G46"/>
  <c r="N31" i="1" l="1"/>
  <c r="O31"/>
  <c r="R31"/>
  <c r="S31" s="1"/>
  <c r="G21" i="26"/>
  <c r="E89"/>
  <c r="E88"/>
  <c r="E84"/>
  <c r="E87"/>
  <c r="E86"/>
  <c r="E85"/>
  <c r="L12" i="1"/>
  <c r="P71" i="26"/>
  <c r="O71"/>
  <c r="N71"/>
  <c r="P70"/>
  <c r="O70"/>
  <c r="N70"/>
  <c r="P69"/>
  <c r="O69"/>
  <c r="N69"/>
  <c r="P68"/>
  <c r="O68"/>
  <c r="N68"/>
  <c r="P67"/>
  <c r="N67"/>
  <c r="O67"/>
  <c r="P66"/>
  <c r="O66"/>
  <c r="N66"/>
  <c r="P65"/>
  <c r="O65"/>
  <c r="N65"/>
  <c r="P64"/>
  <c r="O64"/>
  <c r="N64"/>
  <c r="P63"/>
  <c r="O63"/>
  <c r="N63"/>
  <c r="P62"/>
  <c r="O62"/>
  <c r="N62"/>
  <c r="P56"/>
  <c r="P57"/>
  <c r="P58"/>
  <c r="P59"/>
  <c r="P60"/>
  <c r="P61"/>
  <c r="O61"/>
  <c r="O60"/>
  <c r="O59"/>
  <c r="O58"/>
  <c r="O57"/>
  <c r="O56"/>
  <c r="O55"/>
  <c r="O54"/>
  <c r="O53"/>
  <c r="O52"/>
  <c r="O51"/>
  <c r="O50"/>
  <c r="O49"/>
  <c r="O48"/>
  <c r="O47"/>
  <c r="O46"/>
  <c r="N61"/>
  <c r="N60"/>
  <c r="N59"/>
  <c r="N58"/>
  <c r="N57"/>
  <c r="N56"/>
  <c r="N55"/>
  <c r="N54"/>
  <c r="N53"/>
  <c r="N52"/>
  <c r="M51"/>
  <c r="N51"/>
  <c r="N50"/>
  <c r="N49"/>
  <c r="N48"/>
  <c r="N47"/>
  <c r="N46"/>
  <c r="D34"/>
  <c r="E34"/>
  <c r="F34"/>
  <c r="C34"/>
  <c r="G32"/>
  <c r="G31"/>
  <c r="G30"/>
  <c r="G89"/>
  <c r="G88"/>
  <c r="G87"/>
  <c r="G86"/>
  <c r="G85"/>
  <c r="G84"/>
  <c r="G83"/>
  <c r="G82"/>
  <c r="G81"/>
  <c r="G80"/>
  <c r="G79"/>
  <c r="G78"/>
  <c r="G77"/>
  <c r="G76"/>
  <c r="G75"/>
  <c r="G74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E83"/>
  <c r="E82"/>
  <c r="E81"/>
  <c r="E80"/>
  <c r="E79"/>
  <c r="E78"/>
  <c r="E77"/>
  <c r="E76"/>
  <c r="E75"/>
  <c r="E74"/>
  <c r="E72"/>
  <c r="E71"/>
  <c r="E70"/>
  <c r="E69"/>
  <c r="G66"/>
  <c r="F66"/>
  <c r="E66"/>
  <c r="G65"/>
  <c r="F65"/>
  <c r="E65"/>
  <c r="G64"/>
  <c r="F64"/>
  <c r="E64"/>
  <c r="G63"/>
  <c r="F63"/>
  <c r="E63"/>
  <c r="G54"/>
  <c r="F54"/>
  <c r="E54"/>
  <c r="G52"/>
  <c r="F52"/>
  <c r="E52"/>
  <c r="D38"/>
  <c r="D39"/>
  <c r="C39"/>
  <c r="C38"/>
  <c r="G59"/>
  <c r="F59"/>
  <c r="E59"/>
  <c r="G58"/>
  <c r="F58"/>
  <c r="E58"/>
  <c r="G57"/>
  <c r="F57"/>
  <c r="E57"/>
  <c r="G56"/>
  <c r="F56"/>
  <c r="E56"/>
  <c r="G55"/>
  <c r="F55"/>
  <c r="E55"/>
  <c r="G62"/>
  <c r="F62"/>
  <c r="E62"/>
  <c r="G61"/>
  <c r="F61"/>
  <c r="E61"/>
  <c r="G60"/>
  <c r="F60"/>
  <c r="E60"/>
  <c r="G53"/>
  <c r="F53"/>
  <c r="E53"/>
  <c r="G51"/>
  <c r="F51"/>
  <c r="E51"/>
  <c r="F50"/>
  <c r="F49"/>
  <c r="E49"/>
  <c r="F48"/>
  <c r="E48"/>
  <c r="F47"/>
  <c r="E47"/>
  <c r="F46"/>
  <c r="E46"/>
  <c r="E20"/>
  <c r="E19"/>
  <c r="E18"/>
  <c r="G11"/>
  <c r="G10"/>
  <c r="E11"/>
  <c r="E10"/>
  <c r="G9"/>
  <c r="F9"/>
  <c r="E9"/>
  <c r="G7"/>
  <c r="E7"/>
  <c r="O73" l="1"/>
  <c r="F41" s="1"/>
  <c r="N73"/>
  <c r="E41" s="1"/>
  <c r="G34"/>
  <c r="P73"/>
  <c r="G41" s="1"/>
  <c r="G91"/>
  <c r="G40" s="1"/>
  <c r="F91"/>
  <c r="F40" s="1"/>
  <c r="E91"/>
  <c r="E40" s="1"/>
  <c r="G43" l="1"/>
  <c r="E43"/>
  <c r="F43"/>
  <c r="I31" i="1"/>
  <c r="E31"/>
  <c r="M31" s="1"/>
  <c r="T30"/>
  <c r="R21"/>
  <c r="M71" i="26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0"/>
  <c r="M49"/>
  <c r="M48"/>
  <c r="M47"/>
  <c r="M46"/>
  <c r="L68"/>
  <c r="D86"/>
  <c r="D63"/>
  <c r="C86"/>
  <c r="C63"/>
  <c r="L71"/>
  <c r="L70"/>
  <c r="L69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F15" l="1"/>
  <c r="T31" i="1"/>
  <c r="K31"/>
  <c r="F16" i="26" s="1"/>
  <c r="M73"/>
  <c r="D41" s="1"/>
  <c r="L73"/>
  <c r="C41" s="1"/>
  <c r="D89"/>
  <c r="C89"/>
  <c r="D88"/>
  <c r="C88"/>
  <c r="D87"/>
  <c r="C87"/>
  <c r="D85"/>
  <c r="C85"/>
  <c r="D84"/>
  <c r="C84"/>
  <c r="D83"/>
  <c r="C83"/>
  <c r="D82"/>
  <c r="C82"/>
  <c r="D81"/>
  <c r="C81"/>
  <c r="D80"/>
  <c r="C80"/>
  <c r="D79"/>
  <c r="C79"/>
  <c r="D78"/>
  <c r="C78"/>
  <c r="D77"/>
  <c r="C77"/>
  <c r="D76"/>
  <c r="C76"/>
  <c r="D75"/>
  <c r="C75"/>
  <c r="D74"/>
  <c r="C74"/>
  <c r="D73"/>
  <c r="C73"/>
  <c r="D72"/>
  <c r="C72"/>
  <c r="D71"/>
  <c r="C71"/>
  <c r="D70"/>
  <c r="C70"/>
  <c r="D69"/>
  <c r="C69"/>
  <c r="D66"/>
  <c r="C66"/>
  <c r="D65"/>
  <c r="C65"/>
  <c r="D64"/>
  <c r="C64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C91" l="1"/>
  <c r="C40" s="1"/>
  <c r="C43" s="1"/>
  <c r="T12" i="1" s="1"/>
  <c r="D91" i="26"/>
  <c r="D40" s="1"/>
  <c r="D43" s="1"/>
  <c r="AA12" i="1" s="1"/>
  <c r="D16" i="26" l="1"/>
  <c r="D13"/>
  <c r="C13"/>
  <c r="D11"/>
  <c r="C11"/>
  <c r="C10"/>
  <c r="D10"/>
  <c r="D9"/>
  <c r="C9"/>
  <c r="D7"/>
  <c r="C7"/>
  <c r="D20"/>
  <c r="D19"/>
  <c r="D18"/>
  <c r="D14"/>
  <c r="C14"/>
  <c r="E20" i="1"/>
  <c r="N24" l="1"/>
  <c r="E24"/>
  <c r="E21"/>
  <c r="E23"/>
  <c r="D15" i="26" l="1"/>
  <c r="AB18" i="1"/>
  <c r="T61"/>
  <c r="R61"/>
  <c r="R62"/>
  <c r="L61"/>
  <c r="X24" l="1"/>
  <c r="R24"/>
  <c r="P19" l="1"/>
  <c r="AA33" l="1"/>
  <c r="T33" l="1"/>
  <c r="P33"/>
  <c r="L33"/>
  <c r="F33"/>
  <c r="Z39"/>
  <c r="V39"/>
  <c r="P39"/>
  <c r="L39"/>
  <c r="Z45"/>
  <c r="V45"/>
  <c r="T45"/>
  <c r="P45"/>
  <c r="L45"/>
  <c r="Z57"/>
  <c r="T57"/>
  <c r="P57"/>
  <c r="L57"/>
  <c r="Z64"/>
  <c r="T64"/>
  <c r="P64"/>
  <c r="L64"/>
  <c r="Z69"/>
  <c r="T69"/>
  <c r="P69"/>
  <c r="L69"/>
  <c r="T72"/>
  <c r="L72"/>
  <c r="T25" l="1"/>
  <c r="W15" l="1"/>
  <c r="W14"/>
  <c r="U15" l="1"/>
  <c r="D25"/>
  <c r="X25" l="1"/>
  <c r="L25"/>
  <c r="L36"/>
  <c r="X22" l="1"/>
  <c r="L35" l="1"/>
  <c r="L34"/>
  <c r="T19" l="1"/>
  <c r="X19" l="1"/>
  <c r="R22"/>
  <c r="L19" l="1"/>
  <c r="Z18" l="1"/>
  <c r="L21" s="1"/>
  <c r="C12" i="26" l="1"/>
  <c r="D12"/>
  <c r="N21" i="1"/>
  <c r="R23"/>
  <c r="R20"/>
  <c r="N22" l="1"/>
  <c r="V31" l="1"/>
  <c r="L20"/>
  <c r="G8" i="26" l="1"/>
  <c r="F8"/>
  <c r="F26" s="1"/>
  <c r="AF11" i="1" s="1"/>
  <c r="E8" i="26"/>
  <c r="C8"/>
  <c r="D8"/>
  <c r="G6"/>
  <c r="E6"/>
  <c r="D6"/>
  <c r="C6"/>
  <c r="L23" i="1"/>
  <c r="N23" s="1"/>
  <c r="N20"/>
  <c r="T5"/>
  <c r="L71"/>
  <c r="L70"/>
  <c r="X9"/>
  <c r="AA9" s="1"/>
  <c r="T20" l="1"/>
  <c r="G26" i="26"/>
  <c r="AY11" i="1" s="1"/>
  <c r="E26" i="26"/>
  <c r="Y11" i="1" s="1"/>
  <c r="C26" i="26"/>
  <c r="T17" i="1" s="1"/>
  <c r="Q11" s="1"/>
  <c r="D26" i="26"/>
  <c r="AA17" i="1" s="1"/>
  <c r="AO11" s="1"/>
  <c r="L17"/>
  <c r="H11" s="1"/>
  <c r="T60"/>
  <c r="R60"/>
  <c r="L60"/>
  <c r="V20" l="1"/>
  <c r="L29" l="1"/>
  <c r="AB12" i="19" l="1"/>
  <c r="AB11"/>
  <c r="Z12"/>
  <c r="U29" l="1"/>
  <c r="U30"/>
  <c r="O26"/>
  <c r="O27"/>
  <c r="Z15"/>
  <c r="Z16"/>
  <c r="Z17"/>
  <c r="Z18"/>
  <c r="U7"/>
  <c r="U8"/>
  <c r="O29"/>
  <c r="O30"/>
  <c r="R20"/>
  <c r="R21"/>
  <c r="R22"/>
  <c r="R23"/>
  <c r="C29"/>
  <c r="C30"/>
  <c r="C26"/>
  <c r="C27"/>
  <c r="C20"/>
  <c r="Z20" s="1"/>
  <c r="C21"/>
  <c r="L21" s="1"/>
  <c r="C22"/>
  <c r="L22" s="1"/>
  <c r="C23"/>
  <c r="T23" s="1"/>
  <c r="R15"/>
  <c r="R16"/>
  <c r="R17"/>
  <c r="R18"/>
  <c r="C15"/>
  <c r="L15" s="1"/>
  <c r="C16"/>
  <c r="L16" s="1"/>
  <c r="C17"/>
  <c r="L17" s="1"/>
  <c r="C18"/>
  <c r="T18" s="1"/>
  <c r="AD12"/>
  <c r="Z11"/>
  <c r="T11"/>
  <c r="N11"/>
  <c r="F11"/>
  <c r="J9"/>
  <c r="J8"/>
  <c r="J7"/>
  <c r="B1"/>
  <c r="L1"/>
  <c r="Q1"/>
  <c r="B2"/>
  <c r="C2"/>
  <c r="D2"/>
  <c r="E2"/>
  <c r="F2"/>
  <c r="G2"/>
  <c r="H2"/>
  <c r="I2"/>
  <c r="J2"/>
  <c r="K2"/>
  <c r="L2"/>
  <c r="M2"/>
  <c r="N2"/>
  <c r="O2"/>
  <c r="P2"/>
  <c r="Q2"/>
  <c r="B3"/>
  <c r="D3"/>
  <c r="Q3"/>
  <c r="T3"/>
  <c r="V3"/>
  <c r="X3"/>
  <c r="Y3"/>
  <c r="Q4"/>
  <c r="V4"/>
  <c r="Y4"/>
  <c r="B5"/>
  <c r="D5"/>
  <c r="I5"/>
  <c r="J5"/>
  <c r="L5"/>
  <c r="M5"/>
  <c r="O5"/>
  <c r="Q5"/>
  <c r="T5"/>
  <c r="V5"/>
  <c r="W5"/>
  <c r="AC27"/>
  <c r="Y27"/>
  <c r="AC26"/>
  <c r="Y26"/>
  <c r="T22" l="1"/>
  <c r="T21"/>
  <c r="L13"/>
  <c r="AD11"/>
  <c r="T16"/>
  <c r="V16"/>
  <c r="T17"/>
  <c r="V22"/>
  <c r="V17"/>
  <c r="Z22"/>
  <c r="L23"/>
  <c r="V18"/>
  <c r="V23"/>
  <c r="Z23"/>
  <c r="L20"/>
  <c r="T20"/>
  <c r="V20"/>
  <c r="T15"/>
  <c r="V15"/>
  <c r="U9"/>
  <c r="V21"/>
  <c r="Z21"/>
  <c r="L18"/>
  <c r="T52" i="1" l="1"/>
  <c r="T54" l="1"/>
  <c r="R54"/>
  <c r="L54"/>
  <c r="X27" l="1"/>
  <c r="X26"/>
  <c r="V27"/>
  <c r="V26"/>
  <c r="L26"/>
  <c r="L27"/>
  <c r="D26" i="18" l="1"/>
  <c r="E26" s="1"/>
  <c r="B26"/>
  <c r="C26" s="1"/>
  <c r="E25"/>
  <c r="C25"/>
  <c r="E24"/>
  <c r="C24"/>
  <c r="E23"/>
  <c r="C23"/>
  <c r="E22"/>
  <c r="C22"/>
  <c r="E21"/>
  <c r="C21"/>
  <c r="E20"/>
  <c r="C20"/>
  <c r="E19"/>
  <c r="C19"/>
  <c r="E18"/>
  <c r="C18"/>
  <c r="E17"/>
  <c r="C17"/>
  <c r="E16"/>
  <c r="C16"/>
  <c r="E15"/>
  <c r="C15"/>
  <c r="E14"/>
  <c r="C14"/>
  <c r="E13"/>
  <c r="C13"/>
  <c r="E12"/>
  <c r="C12"/>
  <c r="E11"/>
  <c r="C11"/>
  <c r="E10"/>
  <c r="C10"/>
  <c r="E9"/>
  <c r="C9"/>
  <c r="E8"/>
  <c r="C8"/>
  <c r="E7"/>
  <c r="C7"/>
  <c r="E6"/>
  <c r="C6"/>
  <c r="E5"/>
  <c r="C5"/>
  <c r="E4"/>
  <c r="C4"/>
  <c r="E3"/>
  <c r="C3"/>
  <c r="T66" i="1" l="1"/>
  <c r="T65"/>
  <c r="T59"/>
  <c r="T62"/>
  <c r="T58"/>
  <c r="Z66" l="1"/>
  <c r="Z65"/>
  <c r="R66"/>
  <c r="R65"/>
  <c r="L66"/>
  <c r="L65"/>
  <c r="R59"/>
  <c r="L59"/>
  <c r="L62"/>
  <c r="R58"/>
  <c r="L58"/>
  <c r="T47"/>
  <c r="T48"/>
  <c r="T49"/>
  <c r="T50"/>
  <c r="T51"/>
  <c r="T53"/>
  <c r="R47"/>
  <c r="R48"/>
  <c r="R49"/>
  <c r="R50"/>
  <c r="R51"/>
  <c r="R52"/>
  <c r="R53"/>
  <c r="L47"/>
  <c r="L48"/>
  <c r="L49"/>
  <c r="L50"/>
  <c r="L51"/>
  <c r="L52"/>
  <c r="L53"/>
  <c r="R46"/>
  <c r="L46"/>
  <c r="R41"/>
  <c r="R42"/>
  <c r="R43"/>
  <c r="L41"/>
  <c r="L42"/>
  <c r="L43"/>
  <c r="R40"/>
  <c r="L40"/>
  <c r="W1" i="19"/>
  <c r="W2" l="1"/>
  <c r="X4"/>
  <c r="T4" l="1"/>
</calcChain>
</file>

<file path=xl/comments1.xml><?xml version="1.0" encoding="utf-8"?>
<comments xmlns="http://schemas.openxmlformats.org/spreadsheetml/2006/main">
  <authors>
    <author>Papa</author>
  </authors>
  <commentList>
    <comment ref="T3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X3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7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8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9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F11" authorId="0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N11" authorId="0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T11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Z11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Z12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C15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16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17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18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0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1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2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6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7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9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O29" authorId="0">
      <text>
        <r>
          <rPr>
            <i/>
            <sz val="8"/>
            <color indexed="33"/>
            <rFont val="Tahoma"/>
            <family val="2"/>
          </rPr>
          <t xml:space="preserve">menu déroulant
</t>
        </r>
      </text>
    </comment>
    <comment ref="C30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O30" authorId="0">
      <text>
        <r>
          <rPr>
            <i/>
            <sz val="8"/>
            <color indexed="33"/>
            <rFont val="Tahoma"/>
            <family val="2"/>
          </rPr>
          <t xml:space="preserve">menu déroulant
</t>
        </r>
      </text>
    </comment>
  </commentList>
</comments>
</file>

<file path=xl/comments2.xml><?xml version="1.0" encoding="utf-8"?>
<comments xmlns="http://schemas.openxmlformats.org/spreadsheetml/2006/main">
  <authors>
    <author>Viellevoye Renaud</author>
    <author>Papa</author>
    <author>-</author>
  </authors>
  <commentList>
    <comment ref="AQ2" authorId="0">
      <text>
        <r>
          <rPr>
            <i/>
            <sz val="8"/>
            <color indexed="14"/>
            <rFont val="Tahoma"/>
            <family val="2"/>
          </rPr>
          <t>menu déroulant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X3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7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8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9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F14" authorId="1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N14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T14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C15" authorId="0">
      <text>
        <r>
          <rPr>
            <i/>
            <sz val="8"/>
            <color indexed="14"/>
            <rFont val="Tahoma"/>
            <family val="2"/>
          </rPr>
          <t>menu déroulant</t>
        </r>
      </text>
    </comment>
    <comment ref="F15" authorId="1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T15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F26" authorId="1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F27" authorId="1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F28" authorId="0">
      <text>
        <r>
          <rPr>
            <i/>
            <sz val="8"/>
            <color indexed="14"/>
            <rFont val="Tahoma"/>
            <family val="2"/>
          </rPr>
          <t>menu déroulant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0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34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35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36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0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V40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1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V41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2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V42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3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V43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6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7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8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9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0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1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2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3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4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8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9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0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1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2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5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6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70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71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73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L73" authorId="1">
      <text>
        <r>
          <rPr>
            <i/>
            <sz val="8"/>
            <color indexed="33"/>
            <rFont val="Tahoma"/>
            <family val="2"/>
          </rPr>
          <t xml:space="preserve">menu déroulant
</t>
        </r>
      </text>
    </comment>
    <comment ref="C74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L74" authorId="1">
      <text>
        <r>
          <rPr>
            <i/>
            <sz val="8"/>
            <color indexed="33"/>
            <rFont val="Tahoma"/>
            <family val="2"/>
          </rPr>
          <t xml:space="preserve">menu déroulant
</t>
        </r>
      </text>
    </comment>
  </commentList>
</comments>
</file>

<file path=xl/sharedStrings.xml><?xml version="1.0" encoding="utf-8"?>
<sst xmlns="http://schemas.openxmlformats.org/spreadsheetml/2006/main" count="1870" uniqueCount="835">
  <si>
    <t>sem</t>
  </si>
  <si>
    <t>Débit</t>
  </si>
  <si>
    <t>Modalité</t>
  </si>
  <si>
    <t>I.V. Continue</t>
  </si>
  <si>
    <t>Autres Médicaments</t>
  </si>
  <si>
    <t>NAN HA 1</t>
  </si>
  <si>
    <t>Sein</t>
  </si>
  <si>
    <t>Sein / Biberon</t>
  </si>
  <si>
    <t>Dérivés sanguins</t>
  </si>
  <si>
    <t>Note</t>
  </si>
  <si>
    <t>Fréquence</t>
  </si>
  <si>
    <t>Produit</t>
  </si>
  <si>
    <t>Forme</t>
  </si>
  <si>
    <t>Dose</t>
  </si>
  <si>
    <t>Unités</t>
  </si>
  <si>
    <t>Intervalle</t>
  </si>
  <si>
    <t>flacon 50mg poudre</t>
  </si>
  <si>
    <t xml:space="preserve">ADRENALINE  </t>
  </si>
  <si>
    <t xml:space="preserve">DIPRIVAN </t>
  </si>
  <si>
    <t xml:space="preserve">DOBUTAMINE  </t>
  </si>
  <si>
    <t xml:space="preserve">DOPAMINE  </t>
  </si>
  <si>
    <t xml:space="preserve">DOPRAM </t>
  </si>
  <si>
    <t xml:space="preserve">DORMICUM </t>
  </si>
  <si>
    <t xml:space="preserve">FENTANYL </t>
  </si>
  <si>
    <t xml:space="preserve">INSULINE </t>
  </si>
  <si>
    <t xml:space="preserve">K2HPO4 1 mEq/ ml </t>
  </si>
  <si>
    <t xml:space="preserve">KCl 1 mEq/ ml </t>
  </si>
  <si>
    <t xml:space="preserve">NORADRENALINE </t>
  </si>
  <si>
    <t xml:space="preserve">PROSTIN </t>
  </si>
  <si>
    <t xml:space="preserve">RYDENE </t>
  </si>
  <si>
    <t xml:space="preserve">SUFENTANYL </t>
  </si>
  <si>
    <t xml:space="preserve">SULFATE de Mg  </t>
  </si>
  <si>
    <t>flacon 75000 U.I. poudre</t>
  </si>
  <si>
    <t xml:space="preserve">VENTOLIN </t>
  </si>
  <si>
    <t xml:space="preserve">ASPEGIC </t>
  </si>
  <si>
    <t>flacon poudre 1g</t>
  </si>
  <si>
    <t xml:space="preserve">ANCOTIL </t>
  </si>
  <si>
    <t xml:space="preserve">ATROPINE  </t>
  </si>
  <si>
    <t xml:space="preserve">CALCIUM GLUCONATE 10% </t>
  </si>
  <si>
    <t xml:space="preserve">AUGMENTIN </t>
  </si>
  <si>
    <t>flacon 500 mg poudre</t>
  </si>
  <si>
    <t xml:space="preserve">AZACTAM  </t>
  </si>
  <si>
    <t>flacon 1g poudre</t>
  </si>
  <si>
    <t xml:space="preserve">ADRENALINE </t>
  </si>
  <si>
    <t>flacon 100mg/2ml</t>
  </si>
  <si>
    <t xml:space="preserve">CELESTONE </t>
  </si>
  <si>
    <t xml:space="preserve">CIPROXINE </t>
  </si>
  <si>
    <t xml:space="preserve">BICLAR </t>
  </si>
  <si>
    <t>fiole 1g poudre</t>
  </si>
  <si>
    <t xml:space="preserve">DAKTARIN </t>
  </si>
  <si>
    <t xml:space="preserve">DESFERAL </t>
  </si>
  <si>
    <t xml:space="preserve">DIAMOX </t>
  </si>
  <si>
    <t>flacon 500 mg</t>
  </si>
  <si>
    <t xml:space="preserve">EUSAPRIM = BACTRIM </t>
  </si>
  <si>
    <t xml:space="preserve">FUNGIZONE  </t>
  </si>
  <si>
    <t>fiole 50mg poudre</t>
  </si>
  <si>
    <t xml:space="preserve">GLAZIDIM </t>
  </si>
  <si>
    <t xml:space="preserve">ERYTHROCINE </t>
  </si>
  <si>
    <t>fiole de 1g poudre</t>
  </si>
  <si>
    <t>fiole 500mg poudre</t>
  </si>
  <si>
    <t xml:space="preserve">GLUCAGON </t>
  </si>
  <si>
    <t>fiole 1 mg poudre</t>
  </si>
  <si>
    <t xml:space="preserve">HEPARINE </t>
  </si>
  <si>
    <t xml:space="preserve">HYPNOMIDATE </t>
  </si>
  <si>
    <t xml:space="preserve">KONAKION </t>
  </si>
  <si>
    <t>ampoule 10mg/ ml</t>
  </si>
  <si>
    <t xml:space="preserve">L THYROXINE </t>
  </si>
  <si>
    <t>fiole 50 gamma poudre</t>
  </si>
  <si>
    <t xml:space="preserve">LANOXIN = DIGOXINE </t>
  </si>
  <si>
    <t xml:space="preserve">LASIX </t>
  </si>
  <si>
    <t xml:space="preserve">LYSOMUCIL </t>
  </si>
  <si>
    <t xml:space="preserve">MERONEM </t>
  </si>
  <si>
    <t xml:space="preserve">MIVACRON </t>
  </si>
  <si>
    <t xml:space="preserve">NARCAN </t>
  </si>
  <si>
    <t xml:space="preserve">NEPRESOL </t>
  </si>
  <si>
    <t>ampoule 25 mg poudre</t>
  </si>
  <si>
    <t xml:space="preserve">PANTOMED </t>
  </si>
  <si>
    <t>fiole 40 mg poudre</t>
  </si>
  <si>
    <t xml:space="preserve">PENICILLINE </t>
  </si>
  <si>
    <t>flacon 250mg poudre</t>
  </si>
  <si>
    <t xml:space="preserve">PERFUSALGAN </t>
  </si>
  <si>
    <t xml:space="preserve">PROTAMINE 1000 </t>
  </si>
  <si>
    <t xml:space="preserve">RETROVIR </t>
  </si>
  <si>
    <t xml:space="preserve">SELOKEN = METOPROLON </t>
  </si>
  <si>
    <t xml:space="preserve">SOLDACTONE </t>
  </si>
  <si>
    <t>ampoule 200mg poudre</t>
  </si>
  <si>
    <t>fiole 100mg poudre</t>
  </si>
  <si>
    <t>fiole 40mg poudre</t>
  </si>
  <si>
    <t xml:space="preserve">TARGOCID </t>
  </si>
  <si>
    <t>flacon 200mg poudre</t>
  </si>
  <si>
    <t xml:space="preserve">TARIVID </t>
  </si>
  <si>
    <t xml:space="preserve">TEMESTA = LORAZEPAM </t>
  </si>
  <si>
    <t xml:space="preserve">THAMACETAT= TRIS </t>
  </si>
  <si>
    <t xml:space="preserve">TIBERAL </t>
  </si>
  <si>
    <t xml:space="preserve">VALIUM = DIAZEPAM </t>
  </si>
  <si>
    <t xml:space="preserve">VANCOMYCINE </t>
  </si>
  <si>
    <t>fiole 500mg</t>
  </si>
  <si>
    <t xml:space="preserve">VENOFER </t>
  </si>
  <si>
    <t xml:space="preserve">VITAMINE C  </t>
  </si>
  <si>
    <t xml:space="preserve">ZANTAC </t>
  </si>
  <si>
    <t xml:space="preserve">ZINACEF </t>
  </si>
  <si>
    <t>flacon 750 mg poudre</t>
  </si>
  <si>
    <t>ampoule 250 mg poudre</t>
  </si>
  <si>
    <t>SYNAGIS</t>
  </si>
  <si>
    <t>P.P.S.B.</t>
  </si>
  <si>
    <t xml:space="preserve">NEUPOGEN </t>
  </si>
  <si>
    <t>FACTEUR IX 500 U.I.</t>
  </si>
  <si>
    <t xml:space="preserve">NEORECORMON </t>
  </si>
  <si>
    <t xml:space="preserve">FIBRINOGENE </t>
  </si>
  <si>
    <t xml:space="preserve">MULTIGAM </t>
  </si>
  <si>
    <t xml:space="preserve">CLAMOXYL </t>
  </si>
  <si>
    <t>GLUCOSE 10%</t>
  </si>
  <si>
    <t>GLUCOSE 5%</t>
  </si>
  <si>
    <t>PÉDITRACE</t>
  </si>
  <si>
    <t>FORME</t>
  </si>
  <si>
    <t>CLINOLÉIQUE</t>
  </si>
  <si>
    <t xml:space="preserve">ACIDE FOLIQUE </t>
  </si>
  <si>
    <t xml:space="preserve">D CURE </t>
  </si>
  <si>
    <t xml:space="preserve">DEDROGYL </t>
  </si>
  <si>
    <t xml:space="preserve">CAFÉINE </t>
  </si>
  <si>
    <t xml:space="preserve">FERRICURE </t>
  </si>
  <si>
    <t>LAIT MATERNEL</t>
  </si>
  <si>
    <t>LAIT MATERNEL + HMF 1%</t>
  </si>
  <si>
    <t>LAIT MATERNEL + HMF 2%</t>
  </si>
  <si>
    <t>LAIT MATERNEL + HMF 3%</t>
  </si>
  <si>
    <t>LAIT MATERNEL + HMF 4%</t>
  </si>
  <si>
    <t>LAIT MATERNEL CARTE</t>
  </si>
  <si>
    <t>NAN PRO 1</t>
  </si>
  <si>
    <t>NUTRILON 1</t>
  </si>
  <si>
    <t>NUTRILON EX PRÉMA</t>
  </si>
  <si>
    <t>NUTRILON HA 1</t>
  </si>
  <si>
    <t>Quantité</t>
  </si>
  <si>
    <t>DOSE</t>
  </si>
  <si>
    <t>BACTROBAN ONGUENT</t>
  </si>
  <si>
    <t>TOBREX COLLYRE</t>
  </si>
  <si>
    <t xml:space="preserve">SOL STABLE PROTEINES PLASMATIQUES </t>
  </si>
  <si>
    <t>SANG (CONCENTRÉ GR)</t>
  </si>
  <si>
    <t>PLAQUETTES</t>
  </si>
  <si>
    <t>PLASMA FRAIS CONGELÉ</t>
  </si>
  <si>
    <t>Biberon</t>
  </si>
  <si>
    <t>Unités/Kg/temps</t>
  </si>
  <si>
    <t>Notes</t>
  </si>
  <si>
    <t>Unité</t>
  </si>
  <si>
    <t>mg</t>
  </si>
  <si>
    <t>I.V. 30 Min</t>
  </si>
  <si>
    <t xml:space="preserve"> I.V. 1 Min</t>
  </si>
  <si>
    <t>Parentérale</t>
  </si>
  <si>
    <t>Entérale</t>
  </si>
  <si>
    <t>gttes</t>
  </si>
  <si>
    <t>mL</t>
  </si>
  <si>
    <t>6 Heures</t>
  </si>
  <si>
    <t>3 Heures</t>
  </si>
  <si>
    <t>8 Heures</t>
  </si>
  <si>
    <t>4 Heures</t>
  </si>
  <si>
    <t>12 Heures</t>
  </si>
  <si>
    <t>18 Heures</t>
  </si>
  <si>
    <t>24 Heures</t>
  </si>
  <si>
    <t>30 Heures</t>
  </si>
  <si>
    <t>36 Heures</t>
  </si>
  <si>
    <t>42 Heures</t>
  </si>
  <si>
    <t>148 Heures</t>
  </si>
  <si>
    <t>CAFEINE  CHARGE</t>
  </si>
  <si>
    <t>CAFEINE  ENTRETIEN</t>
  </si>
  <si>
    <t>ZOVIRAX</t>
  </si>
  <si>
    <t>I.V. 10 Min</t>
  </si>
  <si>
    <t>CAPTOPRIL</t>
  </si>
  <si>
    <t>DIAZOXIDE</t>
  </si>
  <si>
    <t>DIGOXIN</t>
  </si>
  <si>
    <t>DIFLUCAN</t>
  </si>
  <si>
    <t>LASIX</t>
  </si>
  <si>
    <t>OMEPRAZOLE</t>
  </si>
  <si>
    <t>PENTAZOLE</t>
  </si>
  <si>
    <t>I.V.  30 Min</t>
  </si>
  <si>
    <t>mEq</t>
  </si>
  <si>
    <t>EPANUTIN / PHENYTOINE</t>
  </si>
  <si>
    <t>CYMEVENE / GANCICLOVIR</t>
  </si>
  <si>
    <t>U</t>
  </si>
  <si>
    <t>DIPRIVAN / PROPOFOL</t>
  </si>
  <si>
    <t>dose</t>
  </si>
  <si>
    <t>2 Heures</t>
  </si>
  <si>
    <t>1x /24h</t>
  </si>
  <si>
    <t>2x /24h</t>
  </si>
  <si>
    <t>3x /24h</t>
  </si>
  <si>
    <t>4x /24h</t>
  </si>
  <si>
    <t>5x /24h</t>
  </si>
  <si>
    <t>6x /24h</t>
  </si>
  <si>
    <t>8x /24h</t>
  </si>
  <si>
    <t>12x /24h</t>
  </si>
  <si>
    <t>F</t>
  </si>
  <si>
    <t>SUPPORT RESPIRATOIRE</t>
  </si>
  <si>
    <t>SURFACTANT</t>
  </si>
  <si>
    <t>g</t>
  </si>
  <si>
    <t>Volume</t>
  </si>
  <si>
    <t>mL/h</t>
  </si>
  <si>
    <t>48 Heures</t>
  </si>
  <si>
    <t>APNEO (ALIM. PARENT. PÉD2)</t>
  </si>
  <si>
    <t>SMOF lipid 200mg/mL</t>
  </si>
  <si>
    <t>Flacon 100mL</t>
  </si>
  <si>
    <t>Flacon 20g/100mL</t>
  </si>
  <si>
    <t>EAU POUR INJECTION</t>
  </si>
  <si>
    <t>Nutripoche 250mL/210g</t>
  </si>
  <si>
    <t>Flacon 250mL</t>
  </si>
  <si>
    <t>Poche 100mL</t>
  </si>
  <si>
    <t>Poche 500mL</t>
  </si>
  <si>
    <t>LIQUIDE PHYSIOLOGIQUE NaCL 0,9%</t>
  </si>
  <si>
    <t>PRIMÈNE 10%</t>
  </si>
  <si>
    <t>KCL 1mEq/mL</t>
  </si>
  <si>
    <t>NaCL 1mEq/mL (Natriclo)</t>
  </si>
  <si>
    <t>Ampoule 10mL</t>
  </si>
  <si>
    <t>Ampoule 5mL</t>
  </si>
  <si>
    <t xml:space="preserve">GLUCOSE 30% </t>
  </si>
  <si>
    <t>GLUCOSE 50%</t>
  </si>
  <si>
    <t>Flacon 500mL</t>
  </si>
  <si>
    <t>Ampoule 20mL</t>
  </si>
  <si>
    <t>VITALIPID INFANT</t>
  </si>
  <si>
    <t>SOLUVIT</t>
  </si>
  <si>
    <t>Flacon poudre/10mL G5%</t>
  </si>
  <si>
    <t>BICARBONATE DE Na 8,4% 1mEq/mL</t>
  </si>
  <si>
    <t>LACTATE SODIQUE</t>
  </si>
  <si>
    <t>Flacon 5mL</t>
  </si>
  <si>
    <t>GLUCONATE de Ca</t>
  </si>
  <si>
    <t>GLYCOPHOS (glycerophosphate Na 216mg/mL)</t>
  </si>
  <si>
    <t>K2HPO4 / phosphate de K-</t>
  </si>
  <si>
    <t>Flapule 10mL</t>
  </si>
  <si>
    <t>Flapule 20mL</t>
  </si>
  <si>
    <t>Flapule 20mL (7,45%)</t>
  </si>
  <si>
    <t>VITAMINE C  (100mg/mL)</t>
  </si>
  <si>
    <t>Nutripoche 300mL</t>
  </si>
  <si>
    <t>NUMETZAH  G13%E 3-en-1</t>
  </si>
  <si>
    <t>Nutripoche 240mL</t>
  </si>
  <si>
    <t>NUMETZAH G13%E 2-en-1</t>
  </si>
  <si>
    <t>H</t>
  </si>
  <si>
    <t>mL/H</t>
  </si>
  <si>
    <t>Dilution</t>
  </si>
  <si>
    <t>ALBUMINE HUM 20%</t>
  </si>
  <si>
    <t>BICARBONATE Na 8,4%</t>
  </si>
  <si>
    <t>Administration</t>
  </si>
  <si>
    <t>Compléments TPN</t>
  </si>
  <si>
    <t>LIQUIDE PHYSIOL NaCL 0,9%</t>
  </si>
  <si>
    <t>AUTRES TRAITEMENTS</t>
  </si>
  <si>
    <t>DERIVES SANGUINS</t>
  </si>
  <si>
    <t>KT Central</t>
  </si>
  <si>
    <t>KT périphérique</t>
  </si>
  <si>
    <t>APNEO</t>
  </si>
  <si>
    <t>PRIMENE</t>
  </si>
  <si>
    <t>PEDITRACE</t>
  </si>
  <si>
    <t>EAU STERILE</t>
  </si>
  <si>
    <t>J1</t>
  </si>
  <si>
    <t>J2</t>
  </si>
  <si>
    <t>J3</t>
  </si>
  <si>
    <t>J4</t>
  </si>
  <si>
    <t>J5</t>
  </si>
  <si>
    <t>J6</t>
  </si>
  <si>
    <t>CLINOLEIC</t>
  </si>
  <si>
    <t>+</t>
  </si>
  <si>
    <t>VITALIPID</t>
  </si>
  <si>
    <t>Ajouts dans la TPN</t>
  </si>
  <si>
    <t>KCL 7,45%</t>
  </si>
  <si>
    <t>Phosphate de K</t>
  </si>
  <si>
    <t>Glycophos</t>
  </si>
  <si>
    <t>Autres produits</t>
  </si>
  <si>
    <t>Soluvit</t>
  </si>
  <si>
    <t>Vitamine C</t>
  </si>
  <si>
    <t>J</t>
  </si>
  <si>
    <t>IBUPROFEN Charge</t>
  </si>
  <si>
    <t>IBUPROFEN Entretien</t>
  </si>
  <si>
    <t>PEDEA Entretien</t>
  </si>
  <si>
    <t>inj. sous cutanée</t>
  </si>
  <si>
    <t>inj. I.M.</t>
  </si>
  <si>
    <t>appl. Ophtalm.</t>
  </si>
  <si>
    <t xml:space="preserve">nasale </t>
  </si>
  <si>
    <t>occulaire</t>
  </si>
  <si>
    <t>intrarectale</t>
  </si>
  <si>
    <t>appl. nasale</t>
  </si>
  <si>
    <t>1 dose</t>
  </si>
  <si>
    <t>Nom</t>
  </si>
  <si>
    <t>D.N.</t>
  </si>
  <si>
    <t>ampoule 1mg/mL</t>
  </si>
  <si>
    <t>flacon 100 mL</t>
  </si>
  <si>
    <t>ampoule 150mg/3mL</t>
  </si>
  <si>
    <t>ampoule 200mg/ 20mL</t>
  </si>
  <si>
    <t>sac perf 200mg/100mL</t>
  </si>
  <si>
    <t>ampoule 250mg/20mL</t>
  </si>
  <si>
    <t xml:space="preserve">ampoule 200mg/5mL </t>
  </si>
  <si>
    <t>ampoule 100mg/ 5mL</t>
  </si>
  <si>
    <t>ampoule 5mg/5mL</t>
  </si>
  <si>
    <t>ampoule 0,1mg/2mL</t>
  </si>
  <si>
    <t>flacon de 1UI/mL</t>
  </si>
  <si>
    <t>flacon de 20mL</t>
  </si>
  <si>
    <t>flapule de 20mL</t>
  </si>
  <si>
    <t>flacon 1mEq/ mL</t>
  </si>
  <si>
    <t>ampoule 20mg/2mL</t>
  </si>
  <si>
    <t>ampoule 0,5mg/ 5mL</t>
  </si>
  <si>
    <t>ampoule 10mL</t>
  </si>
  <si>
    <t xml:space="preserve"> ampoule 10mg/ 5mL</t>
  </si>
  <si>
    <t>ampoule 8mg/4mL</t>
  </si>
  <si>
    <t>ampoule 0,5mg/ mL</t>
  </si>
  <si>
    <t>ampoule 5mg/ 5mL</t>
  </si>
  <si>
    <t>ampoule 5 gamma/ mL</t>
  </si>
  <si>
    <t>ampoule 2,5g/ 5mL</t>
  </si>
  <si>
    <t>ampoule 500 gamma/ mL</t>
  </si>
  <si>
    <t>jrs</t>
  </si>
  <si>
    <t>2x</t>
  </si>
  <si>
    <t>4x</t>
  </si>
  <si>
    <t>ou</t>
  </si>
  <si>
    <t>Infusion libre</t>
  </si>
  <si>
    <t>Infusion 30 min</t>
  </si>
  <si>
    <t>Infusion 1h</t>
  </si>
  <si>
    <t>Infusion 2h</t>
  </si>
  <si>
    <t>Infusion continue</t>
  </si>
  <si>
    <t>Sein / Infusion libre</t>
  </si>
  <si>
    <t>3x</t>
  </si>
  <si>
    <t>6x</t>
  </si>
  <si>
    <t>8x</t>
  </si>
  <si>
    <t>12x</t>
  </si>
  <si>
    <t>24x</t>
  </si>
  <si>
    <t>A JEUN</t>
  </si>
  <si>
    <t>2 H</t>
  </si>
  <si>
    <t>3 H</t>
  </si>
  <si>
    <t>4 H</t>
  </si>
  <si>
    <t>6 H</t>
  </si>
  <si>
    <t>8 H</t>
  </si>
  <si>
    <t>12 H</t>
  </si>
  <si>
    <t>18 H</t>
  </si>
  <si>
    <t>24 H</t>
  </si>
  <si>
    <t>30 H</t>
  </si>
  <si>
    <t>36 H</t>
  </si>
  <si>
    <t>42 H</t>
  </si>
  <si>
    <t>48 H</t>
  </si>
  <si>
    <t>72 H</t>
  </si>
  <si>
    <t>1 H</t>
  </si>
  <si>
    <t>1 Sem</t>
  </si>
  <si>
    <t>5x/sem</t>
  </si>
  <si>
    <t>1  dose</t>
  </si>
  <si>
    <t>I.V. 1 H</t>
  </si>
  <si>
    <t>Microgr</t>
  </si>
  <si>
    <t>Protéines</t>
  </si>
  <si>
    <t>2400U.I./mL</t>
  </si>
  <si>
    <t>solution 5mg/mL</t>
  </si>
  <si>
    <t>solution 100mg/5mL</t>
  </si>
  <si>
    <t>ampoule 50mg/2mL</t>
  </si>
  <si>
    <t>sirop 250mg/5mL</t>
  </si>
  <si>
    <t>250mg/5mL</t>
  </si>
  <si>
    <t>0,15mg/mL</t>
  </si>
  <si>
    <t>1 fois</t>
  </si>
  <si>
    <t>Calories</t>
  </si>
  <si>
    <t>Kcal/100mL</t>
  </si>
  <si>
    <t>Kcal/mL</t>
  </si>
  <si>
    <t>Prot/100mL</t>
  </si>
  <si>
    <t>Prot/mL</t>
  </si>
  <si>
    <t>APP1</t>
  </si>
  <si>
    <t>APP2</t>
  </si>
  <si>
    <t>Glucosé 5%</t>
  </si>
  <si>
    <t>Glucosé 10%</t>
  </si>
  <si>
    <t>Vitalipid</t>
  </si>
  <si>
    <t>Ac. Clinoléique</t>
  </si>
  <si>
    <t>Primène</t>
  </si>
  <si>
    <t>Maternel</t>
  </si>
  <si>
    <t>LM+1%HMF</t>
  </si>
  <si>
    <t>LM+2%HMF</t>
  </si>
  <si>
    <t>LM+3%HMF</t>
  </si>
  <si>
    <t>LM+4%HMF</t>
  </si>
  <si>
    <t>Prénan Stage 1 15%</t>
  </si>
  <si>
    <t>Prénan Stage 1 17%</t>
  </si>
  <si>
    <t>Prénan Stage 2 15%</t>
  </si>
  <si>
    <t>Prénan Stage 2 17%</t>
  </si>
  <si>
    <t>Nan AR</t>
  </si>
  <si>
    <t>Nan Pro 1</t>
  </si>
  <si>
    <t>Nan HA1</t>
  </si>
  <si>
    <t xml:space="preserve">Enfamil AR </t>
  </si>
  <si>
    <t>Nutrilon AR1</t>
  </si>
  <si>
    <t>Nutrilon Ex préma</t>
  </si>
  <si>
    <t>Nutrilon 1 standard</t>
  </si>
  <si>
    <t>Nutrilon prem 17%</t>
  </si>
  <si>
    <t>ISOBÉTADINE ONGUENT</t>
  </si>
  <si>
    <t xml:space="preserve">ENGERIX B JUNIOR </t>
  </si>
  <si>
    <t>CLEXANE SOLUTION</t>
  </si>
  <si>
    <t xml:space="preserve">IMMUNOGLOBULINES ANTITÉTANIQUES </t>
  </si>
  <si>
    <t>TARGOCID</t>
  </si>
  <si>
    <t>VALIUM = DIAZEPAM</t>
  </si>
  <si>
    <t>HEPATEC  IMMUNO HÉP B</t>
  </si>
  <si>
    <t>I.V.D.</t>
  </si>
  <si>
    <t>mg/Kg/H</t>
  </si>
  <si>
    <t>UI/Kg/H</t>
  </si>
  <si>
    <t>mL/Kg/H</t>
  </si>
  <si>
    <t>I.V. 5 Min</t>
  </si>
  <si>
    <t>ALIMENTATION ENTERALE</t>
  </si>
  <si>
    <t>Fréquence / Volume</t>
  </si>
  <si>
    <t>Médicaments Per Os</t>
  </si>
  <si>
    <r>
      <t xml:space="preserve">Médecin prescripteur
(cachet + paraphe) </t>
    </r>
    <r>
      <rPr>
        <sz val="11"/>
        <color theme="1"/>
        <rFont val="Symbol"/>
        <family val="1"/>
        <charset val="2"/>
      </rPr>
      <t>®</t>
    </r>
  </si>
  <si>
    <t>DIFLUCAN Charge</t>
  </si>
  <si>
    <t>DIFLUCAN Entretien</t>
  </si>
  <si>
    <t>PRENAN 1</t>
  </si>
  <si>
    <t>PRENAN 2</t>
  </si>
  <si>
    <t>caps 10mg</t>
  </si>
  <si>
    <r>
      <t xml:space="preserve">AMUKIN    </t>
    </r>
    <r>
      <rPr>
        <sz val="11"/>
        <color theme="1"/>
        <rFont val="Calibri"/>
        <family val="2"/>
        <scheme val="minor"/>
      </rPr>
      <t>=ou</t>
    </r>
    <r>
      <rPr>
        <sz val="11"/>
        <color theme="1"/>
        <rFont val="Calibri"/>
        <family val="2"/>
        <scheme val="minor"/>
      </rPr>
      <t>&gt;</t>
    </r>
    <r>
      <rPr>
        <sz val="11"/>
        <color theme="1"/>
        <rFont val="Calibri"/>
        <family val="2"/>
        <scheme val="minor"/>
      </rPr>
      <t>34 S (15mg/kg)</t>
    </r>
  </si>
  <si>
    <t>AMUKIN   28-30 S (18mg/kg)</t>
  </si>
  <si>
    <t>AMUKIN   31-33 S (16mg/kg)</t>
  </si>
  <si>
    <t>AMUKIN   &lt;ou=27 S (18mg/kg)</t>
  </si>
  <si>
    <r>
      <t xml:space="preserve">Week-end/férié : </t>
    </r>
    <r>
      <rPr>
        <b/>
        <i/>
        <sz val="13"/>
        <color rgb="FF0000FF"/>
        <rFont val="Calibri"/>
        <family val="2"/>
        <scheme val="minor"/>
      </rPr>
      <t>Prescription pour le</t>
    </r>
  </si>
  <si>
    <t>PEDEA Charge</t>
  </si>
  <si>
    <t>à</t>
  </si>
  <si>
    <t>h</t>
  </si>
  <si>
    <t>min</t>
  </si>
  <si>
    <t>Monitoring thérapeutique &gt;&gt;</t>
  </si>
  <si>
    <t>Peditrace</t>
  </si>
  <si>
    <t>Prépatation/Modalité</t>
  </si>
  <si>
    <t>ajouter dans la metriset TPN 1x/24H</t>
  </si>
  <si>
    <t>mL/kg/24H</t>
  </si>
  <si>
    <t>Liquides totaux :</t>
  </si>
  <si>
    <t>LAIT de MERE</t>
  </si>
  <si>
    <t>LAIT de MERE + HMF 1%</t>
  </si>
  <si>
    <t>LAIT de MERE + HMF 2%</t>
  </si>
  <si>
    <t>LAIT de MERE + HMF 3%</t>
  </si>
  <si>
    <t>LAIT de MERE + HMF 4%</t>
  </si>
  <si>
    <t>LAIT de MERE CARTE</t>
  </si>
  <si>
    <t>LAIT de LACTARIUM</t>
  </si>
  <si>
    <t>LAIT de LACTARIUM + HMF 1%</t>
  </si>
  <si>
    <t>LAIT de LACTARIUM + HMF 2%</t>
  </si>
  <si>
    <t>LAIT de LACTARIUM + HMF 3%</t>
  </si>
  <si>
    <t>LAIT de LACTARIUM + HMF 4%</t>
  </si>
  <si>
    <t>PRENAN Stage 1</t>
  </si>
  <si>
    <t>PRENAN Stage 2</t>
  </si>
  <si>
    <t>NUTRILON PREMA</t>
  </si>
  <si>
    <t>ENFAMIL AR 1</t>
  </si>
  <si>
    <t>NUTRAMIGEN</t>
  </si>
  <si>
    <t>NEOCATE</t>
  </si>
  <si>
    <t>INFARIX Hexa</t>
  </si>
  <si>
    <t>PREVENAR</t>
  </si>
  <si>
    <t>NÉOBACITRACINE nasal</t>
  </si>
  <si>
    <t>NEOBACITRACINE ophtalm</t>
  </si>
  <si>
    <t xml:space="preserve">oculaire </t>
  </si>
  <si>
    <t>2x/24 H</t>
  </si>
  <si>
    <t>1x/24 H</t>
  </si>
  <si>
    <t>3x/24 H</t>
  </si>
  <si>
    <t>CLAFORAN  par 8 heures</t>
  </si>
  <si>
    <t>CLAFORAN par 6 heures</t>
  </si>
  <si>
    <t>CLAFORAN  par 12 heures</t>
  </si>
  <si>
    <t>4x/24 H</t>
  </si>
  <si>
    <t>PENTREXYL 4x/24 H</t>
  </si>
  <si>
    <t>PENTREXYL 3x/24 H</t>
  </si>
  <si>
    <t>PENTREXYL 2x/24 H</t>
  </si>
  <si>
    <t>1x/36 H</t>
  </si>
  <si>
    <t>1x/48 H</t>
  </si>
  <si>
    <t>Compensation des pertes &gt;&gt;</t>
  </si>
  <si>
    <t xml:space="preserve">FLAGYL 1x/24 H </t>
  </si>
  <si>
    <t xml:space="preserve">FLAGYL 2x/24 H </t>
  </si>
  <si>
    <t xml:space="preserve">FLAGYL 3x/24 H </t>
  </si>
  <si>
    <t xml:space="preserve">FLAGYL 1x/48 H </t>
  </si>
  <si>
    <t>I.V. 60 Min</t>
  </si>
  <si>
    <t>I.R.</t>
  </si>
  <si>
    <t>CORDARONE</t>
  </si>
  <si>
    <t>DIGOXINE</t>
  </si>
  <si>
    <t>DYTENZIDE</t>
  </si>
  <si>
    <t>ENTEROL</t>
  </si>
  <si>
    <t>FLOXAPEN</t>
  </si>
  <si>
    <t>FUROSEMIDE</t>
  </si>
  <si>
    <t>L-THYROXINE</t>
  </si>
  <si>
    <t>SILDENAFIL</t>
  </si>
  <si>
    <t>SPIRONOLACTONE</t>
  </si>
  <si>
    <t>TAMBOCOR</t>
  </si>
  <si>
    <t>URSOCHOL</t>
  </si>
  <si>
    <t>ADENOSINE = ADENOCOR</t>
  </si>
  <si>
    <t>I.V. 30 min</t>
  </si>
  <si>
    <t>CLEXANE</t>
  </si>
  <si>
    <t>s/cutané</t>
  </si>
  <si>
    <t>I.V. lente</t>
  </si>
  <si>
    <t xml:space="preserve">SOLUVIT </t>
  </si>
  <si>
    <t>flacon poudre</t>
  </si>
  <si>
    <t>I.V. 20 Min</t>
  </si>
  <si>
    <t>SULFATE Mg</t>
  </si>
  <si>
    <t>I.V.D</t>
  </si>
  <si>
    <t>GLYCOPHOS</t>
  </si>
  <si>
    <t>gélule</t>
  </si>
  <si>
    <t>gélule 25 mg</t>
  </si>
  <si>
    <t>GLYCEROL (GLYCERINE LIQ)</t>
  </si>
  <si>
    <t>PHENOBARBITAL</t>
  </si>
  <si>
    <t>MORPHINE HCl SIROP</t>
  </si>
  <si>
    <t>solution à 0,5mg/mL</t>
  </si>
  <si>
    <t>PERDOLAN SUPPO 100 mg</t>
  </si>
  <si>
    <t>PARACETAMOL SUPPO 30 mg</t>
  </si>
  <si>
    <t>PARACETAMOL SUPPO 50 mg</t>
  </si>
  <si>
    <t>suppositoire 30 mg</t>
  </si>
  <si>
    <t>suppositoire 50 mg</t>
  </si>
  <si>
    <t>suppositoire 100 mg</t>
  </si>
  <si>
    <t>1x</t>
  </si>
  <si>
    <t>ISOBÉTADINE DERMIQUE</t>
  </si>
  <si>
    <t>ISOBÉTADINE OCULAIRE</t>
  </si>
  <si>
    <t>fiole de 10 mg</t>
  </si>
  <si>
    <t>tube onguent</t>
  </si>
  <si>
    <t>appl. Cutanée</t>
  </si>
  <si>
    <t>2 dose</t>
  </si>
  <si>
    <t>DAKTARIN CREME</t>
  </si>
  <si>
    <t>tube de 20g</t>
  </si>
  <si>
    <t>100 UI/2mL</t>
  </si>
  <si>
    <t>250UI/1mL</t>
  </si>
  <si>
    <t>seringue de 500 U/ 0,3mL)</t>
  </si>
  <si>
    <t xml:space="preserve">seringue 0,300 mg/ O,5mL) </t>
  </si>
  <si>
    <t>ampoule 10mg/2mL</t>
  </si>
  <si>
    <t>seringue 0,5mL</t>
  </si>
  <si>
    <t>seringue 10 gamma/0,5mL</t>
  </si>
  <si>
    <t>tube de 2%</t>
  </si>
  <si>
    <t>INOTYOL CREME</t>
  </si>
  <si>
    <t>tube crème</t>
  </si>
  <si>
    <t>NEOBACITRACINE pommade</t>
  </si>
  <si>
    <t>applic. Cutanée</t>
  </si>
  <si>
    <t>tube de 20 g</t>
  </si>
  <si>
    <t>flacon de 10 mL</t>
  </si>
  <si>
    <t>falcon de 10 mL</t>
  </si>
  <si>
    <t>TERRAMYCINE ONGUENT</t>
  </si>
  <si>
    <t>tube</t>
  </si>
  <si>
    <t>NESIVINE bébé</t>
  </si>
  <si>
    <t>solution à 0,01%</t>
  </si>
  <si>
    <t>soln pr inhal à 5 mg/ml</t>
  </si>
  <si>
    <t>VENTOLIN SOLUTION</t>
  </si>
  <si>
    <t>inhalation</t>
  </si>
  <si>
    <t>Vitamine E (tocophérol)</t>
  </si>
  <si>
    <t>flapule 1 mEq/mL</t>
  </si>
  <si>
    <t>CELESTONE</t>
  </si>
  <si>
    <t>solution 4mg/mL</t>
  </si>
  <si>
    <t>flacon poudre lyophilisé</t>
  </si>
  <si>
    <t>I.V. 3 H</t>
  </si>
  <si>
    <t>ALBUMINE HUMAINE</t>
  </si>
  <si>
    <t>poche</t>
  </si>
  <si>
    <t>poche 200 mL</t>
  </si>
  <si>
    <t>N°</t>
  </si>
  <si>
    <r>
      <t xml:space="preserve">Si modification de la prescription </t>
    </r>
    <r>
      <rPr>
        <b/>
        <sz val="8"/>
        <color rgb="FFFF00FF"/>
        <rFont val="Wingdings 3"/>
        <family val="1"/>
        <charset val="2"/>
      </rPr>
      <t>Æ</t>
    </r>
  </si>
  <si>
    <t>J de vie :</t>
  </si>
  <si>
    <t>Poids de réf. :</t>
  </si>
  <si>
    <t xml:space="preserve">A.G.: </t>
  </si>
  <si>
    <t>P.N.:</t>
  </si>
  <si>
    <t>A.P.C.:</t>
  </si>
  <si>
    <t>LAIT DE LACTARIUM</t>
  </si>
  <si>
    <t>NAN AR 1</t>
  </si>
  <si>
    <t>NUTRILON AR 1</t>
  </si>
  <si>
    <t>BEBA 1</t>
  </si>
  <si>
    <t>GUIGOZ 1</t>
  </si>
  <si>
    <t>8x/24 H</t>
  </si>
  <si>
    <t>I.M.</t>
  </si>
  <si>
    <t>KONAKION I.M.</t>
  </si>
  <si>
    <t>Prescription du</t>
  </si>
  <si>
    <t>en IV lente  1x/24H</t>
  </si>
  <si>
    <t>en IV lente 1x/24H</t>
  </si>
  <si>
    <t>Poids :</t>
  </si>
  <si>
    <t>LAIT DE LACTARIUM + HMF 1%</t>
  </si>
  <si>
    <t>LAIT DE LACTARIUM + HMF 2%</t>
  </si>
  <si>
    <t>LAIT DE LACTARIUM + HMF 3%</t>
  </si>
  <si>
    <t>LAIT DE LACTARIUM + HMF 4%</t>
  </si>
  <si>
    <t>mg/kg/H</t>
  </si>
  <si>
    <t>DOPRAM CHARGE</t>
  </si>
  <si>
    <t>poche 500 mL</t>
  </si>
  <si>
    <t>RESPIRATOIRE</t>
  </si>
  <si>
    <t>DERIVES SANG</t>
  </si>
  <si>
    <t>ENTERALE</t>
  </si>
  <si>
    <t>PAS DE TPN</t>
  </si>
  <si>
    <t>APNEO Standard KT Central</t>
  </si>
  <si>
    <t>APNEO Personnalisé KT Central</t>
  </si>
  <si>
    <t>APNEO Personnalisé KT Périphérique</t>
  </si>
  <si>
    <t>MEDICAMENTS per Os</t>
  </si>
  <si>
    <r>
      <t xml:space="preserve">AUTRES </t>
    </r>
    <r>
      <rPr>
        <b/>
        <sz val="14"/>
        <rFont val="Calibri"/>
        <family val="2"/>
        <scheme val="minor"/>
      </rPr>
      <t>MEDICAMENTS</t>
    </r>
  </si>
  <si>
    <t>MEDICAMENTS IV</t>
  </si>
  <si>
    <t>Photothérapie simple</t>
  </si>
  <si>
    <t>Photothérapie double</t>
  </si>
  <si>
    <t>Photothérapie intesive</t>
  </si>
  <si>
    <t>Kiné respiratoire</t>
  </si>
  <si>
    <t>Kiné posturale</t>
  </si>
  <si>
    <t>Stimulations oro-faciales</t>
  </si>
  <si>
    <t>Drainage pleural</t>
  </si>
  <si>
    <t>Lavement rectal LP</t>
  </si>
  <si>
    <t>Lavement stomie</t>
  </si>
  <si>
    <t>Soins du nez au LP</t>
  </si>
  <si>
    <t>Autres traitements</t>
  </si>
  <si>
    <t xml:space="preserve">Date : </t>
  </si>
  <si>
    <t>Date :</t>
  </si>
  <si>
    <t>Type de lait</t>
  </si>
  <si>
    <t>Fréq / Vol</t>
  </si>
  <si>
    <t>ajout dans la metriset</t>
  </si>
  <si>
    <t>Mode alimentation</t>
  </si>
  <si>
    <t>PARENTERALE</t>
  </si>
  <si>
    <t>flapule 20mL (7,45%)</t>
  </si>
  <si>
    <t>flapule 20mL</t>
  </si>
  <si>
    <t>flacon poudre/10mL G5%</t>
  </si>
  <si>
    <t>ampoule 5mL</t>
  </si>
  <si>
    <t>vial 10 mL</t>
  </si>
  <si>
    <t>flacon 250mL</t>
  </si>
  <si>
    <t>poche 100mL</t>
  </si>
  <si>
    <t>poche 500mL</t>
  </si>
  <si>
    <t>ampoule 20mL</t>
  </si>
  <si>
    <t>flacon 500mL</t>
  </si>
  <si>
    <t>flapule  6mg/2mL</t>
  </si>
  <si>
    <t>ampoule 1mg/1mL</t>
  </si>
  <si>
    <t>flacon 100mg/2mL</t>
  </si>
  <si>
    <t>solution 2,5g/250 mL</t>
  </si>
  <si>
    <t>ampoule 0,25mg/mL</t>
  </si>
  <si>
    <t>ampoule 25mg/2mL</t>
  </si>
  <si>
    <t>ampoule 1g/10mL</t>
  </si>
  <si>
    <t>ampoule 4mg/mL</t>
  </si>
  <si>
    <t>flacon 200 mg/100 mL</t>
  </si>
  <si>
    <t>seringue 20mg/0,2 mL</t>
  </si>
  <si>
    <t>ampoule 10 mg/mL</t>
  </si>
  <si>
    <t>flacon 200 mg/100mL</t>
  </si>
  <si>
    <t>ampoule 250mg/ 5mL</t>
  </si>
  <si>
    <t>ampoule 80mg/ 5mL</t>
  </si>
  <si>
    <t>solution 500 mg/100 mL</t>
  </si>
  <si>
    <t>flacon 80 mg/ 2mL</t>
  </si>
  <si>
    <t>flacon 5000 U/ mL</t>
  </si>
  <si>
    <t>ampoule 20 mg/10mL</t>
  </si>
  <si>
    <t>fiole 10mg/ mL</t>
  </si>
  <si>
    <t>300mg/ 3mL</t>
  </si>
  <si>
    <t>ampoule 0,4mg/ mL</t>
  </si>
  <si>
    <t>fiole 10mg/ 2mL</t>
  </si>
  <si>
    <t>flacon 500mg/ 50mL</t>
  </si>
  <si>
    <t>flacon 20mg/ mL</t>
  </si>
  <si>
    <t>ampoule 5000 U.I./ 5mL</t>
  </si>
  <si>
    <t>flacon 200mg/ 20mL</t>
  </si>
  <si>
    <t>flacon 200mg/ 100mL</t>
  </si>
  <si>
    <t>ampoule 1g/ 6mL</t>
  </si>
  <si>
    <t>ampoule 100mg/5mL</t>
  </si>
  <si>
    <t>ampoule 0,5g/ 5mL</t>
  </si>
  <si>
    <t>ampoule 50mg/ 2mL</t>
  </si>
  <si>
    <t>NaCL 1 mEq/mL</t>
  </si>
  <si>
    <t>Mode support respiratoire</t>
  </si>
  <si>
    <r>
      <rPr>
        <b/>
        <sz val="11"/>
        <color theme="0" tint="-0.34998626667073579"/>
        <rFont val="Wingdings"/>
        <charset val="2"/>
      </rPr>
      <t>l</t>
    </r>
    <r>
      <rPr>
        <b/>
        <sz val="12.1"/>
        <rFont val="Calibri"/>
        <family val="2"/>
      </rPr>
      <t xml:space="preserve"> </t>
    </r>
    <r>
      <rPr>
        <b/>
        <sz val="11"/>
        <rFont val="Calibri"/>
        <family val="2"/>
        <scheme val="minor"/>
      </rPr>
      <t>AUTRES PERFUSIONS</t>
    </r>
  </si>
  <si>
    <r>
      <rPr>
        <b/>
        <sz val="11"/>
        <color theme="0" tint="-0.34998626667073579"/>
        <rFont val="Wingdings"/>
        <charset val="2"/>
      </rPr>
      <t>l</t>
    </r>
    <r>
      <rPr>
        <b/>
        <sz val="12.1"/>
        <rFont val="Calibri"/>
        <family val="2"/>
      </rPr>
      <t xml:space="preserve"> </t>
    </r>
    <r>
      <rPr>
        <b/>
        <sz val="11"/>
        <rFont val="Calibri"/>
        <family val="2"/>
        <scheme val="minor"/>
      </rPr>
      <t xml:space="preserve">LIPIDES : </t>
    </r>
    <r>
      <rPr>
        <b/>
        <sz val="11"/>
        <rFont val="Symbol"/>
        <family val="1"/>
        <charset val="2"/>
      </rPr>
      <t>®</t>
    </r>
  </si>
  <si>
    <r>
      <t xml:space="preserve">Voie </t>
    </r>
    <r>
      <rPr>
        <b/>
        <u/>
        <sz val="10"/>
        <rFont val="Symbol"/>
        <family val="1"/>
        <charset val="2"/>
      </rPr>
      <t>¯</t>
    </r>
  </si>
  <si>
    <r>
      <rPr>
        <b/>
        <sz val="11"/>
        <color theme="0" tint="-0.34998626667073579"/>
        <rFont val="Wingdings 2"/>
        <family val="1"/>
        <charset val="2"/>
      </rPr>
      <t xml:space="preserve"> </t>
    </r>
    <r>
      <rPr>
        <b/>
        <sz val="11"/>
        <color theme="1"/>
        <rFont val="Calibri"/>
        <family val="2"/>
        <scheme val="minor"/>
      </rPr>
      <t>I.V. Conti</t>
    </r>
    <r>
      <rPr>
        <b/>
        <sz val="10"/>
        <color theme="1"/>
        <rFont val="Calibri"/>
        <family val="2"/>
        <scheme val="minor"/>
      </rPr>
      <t>nue</t>
    </r>
  </si>
  <si>
    <r>
      <rPr>
        <b/>
        <sz val="11"/>
        <color theme="0" tint="-0.34998626667073579"/>
        <rFont val="Wingdings 2"/>
        <family val="1"/>
        <charset val="2"/>
      </rPr>
      <t xml:space="preserve"> </t>
    </r>
    <r>
      <rPr>
        <b/>
        <sz val="12.1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  <scheme val="minor"/>
      </rPr>
      <t>I.V. Discontinue</t>
    </r>
  </si>
  <si>
    <t>ERYTHROCINE</t>
  </si>
  <si>
    <t>gamma</t>
  </si>
  <si>
    <t>gamma/Kg/Min</t>
  </si>
  <si>
    <t xml:space="preserve">HYDROCORTISONE </t>
  </si>
  <si>
    <t>SOLU-MEDROL</t>
  </si>
  <si>
    <t xml:space="preserve">LIDOCAINE = XYLO 1% </t>
  </si>
  <si>
    <t>GEOMYCIN = GENTA</t>
  </si>
  <si>
    <t>PHENOBARBITAL Entretien</t>
  </si>
  <si>
    <t>flacon 100mL</t>
  </si>
  <si>
    <t>PRIMENE 10%</t>
  </si>
  <si>
    <t>MILRINONE (COROTROPE)</t>
  </si>
  <si>
    <t>COROTROPE (MILRINONE)</t>
  </si>
  <si>
    <t>8x/24H</t>
  </si>
  <si>
    <t>I.V.</t>
  </si>
  <si>
    <t>KEPPRA Charge</t>
  </si>
  <si>
    <t>KEPPRA Entretien</t>
  </si>
  <si>
    <t>NUMETZAH G16 3-en-1 Standard KT Central</t>
  </si>
  <si>
    <t>NUMETZAH G16 3-en-1 Personnalisé KT Central</t>
  </si>
  <si>
    <t>NUMETZAH G16 2-en-1 Standard KT Central</t>
  </si>
  <si>
    <t>NUMETZAH G16 2-en-1 Personnalisé KT Central</t>
  </si>
  <si>
    <t>NUMETZAH G16 2-en-1 Personnalisé KT Périphérique</t>
  </si>
  <si>
    <t>NUMETZAH G16 3-en-1 Personnalisé KT Périphérique</t>
  </si>
  <si>
    <t>Liquide</t>
  </si>
  <si>
    <t>mL/kg/j</t>
  </si>
  <si>
    <t>g/kg/j</t>
  </si>
  <si>
    <t>kcal/kg/j</t>
  </si>
  <si>
    <t>Energie</t>
  </si>
  <si>
    <t>Apport APNEO standard</t>
  </si>
  <si>
    <t>Apport APNEO Personnalisé</t>
  </si>
  <si>
    <t>Apport NUMETZAH 3-en-1 standard</t>
  </si>
  <si>
    <t>Apport NUMETZAH 3-en-1 personnalisé</t>
  </si>
  <si>
    <t>Apport NUMETZAH 2-en-1 standard</t>
  </si>
  <si>
    <t>Apport NUMETZAH 2-en-1 personnalisé</t>
  </si>
  <si>
    <t>Apport Primène standard</t>
  </si>
  <si>
    <t>Apport Primène personnalisé</t>
  </si>
  <si>
    <t>Apport Primène en Y</t>
  </si>
  <si>
    <t>Apport lipides standard</t>
  </si>
  <si>
    <t>Apport lipides personnalisés</t>
  </si>
  <si>
    <t>Apport G10% en Y</t>
  </si>
  <si>
    <t>Apport G30% en Y</t>
  </si>
  <si>
    <t>Apport G50% en Y</t>
  </si>
  <si>
    <t>Apport LM/LL</t>
  </si>
  <si>
    <t>Apport LM/LL + 1% HMF</t>
  </si>
  <si>
    <t>Apport LM/LL + 2% HMF</t>
  </si>
  <si>
    <t>Apport LM/LL + 3% HMF</t>
  </si>
  <si>
    <t>Apport LM/LL + 4% HMF</t>
  </si>
  <si>
    <t>Apport Nutrilon Prématuré</t>
  </si>
  <si>
    <t>Apport PreNan 1</t>
  </si>
  <si>
    <t>Apport Nutrilon Ex-Prématuré</t>
  </si>
  <si>
    <t>Apport PreNan 2</t>
  </si>
  <si>
    <t>Apport Nutrilon 1</t>
  </si>
  <si>
    <t>Apport NanPro 1</t>
  </si>
  <si>
    <t>ENFAMIL 1 AR</t>
  </si>
  <si>
    <t>NUTRILON EX PREMA</t>
  </si>
  <si>
    <t>Apport Nan HA1</t>
  </si>
  <si>
    <t>Apport Nan AR1</t>
  </si>
  <si>
    <t>Apport Guigoz 1</t>
  </si>
  <si>
    <t>Apport BEBA 1</t>
  </si>
  <si>
    <t>Apport Nutrilon HA 1</t>
  </si>
  <si>
    <t>Apport Nutrilon AR 1</t>
  </si>
  <si>
    <t>Apport Nutramigen</t>
  </si>
  <si>
    <t>Apport Neocate</t>
  </si>
  <si>
    <t>CYSTILAC</t>
  </si>
  <si>
    <t>Apport Cystilac</t>
  </si>
  <si>
    <r>
      <t>ou</t>
    </r>
    <r>
      <rPr>
        <sz val="11"/>
        <color theme="1"/>
        <rFont val="Calibri"/>
        <family val="2"/>
      </rPr>
      <t>→</t>
    </r>
  </si>
  <si>
    <r>
      <t>et</t>
    </r>
    <r>
      <rPr>
        <sz val="11"/>
        <color theme="1"/>
        <rFont val="Calibri"/>
        <family val="2"/>
      </rPr>
      <t>→</t>
    </r>
  </si>
  <si>
    <t>Apport Unique</t>
  </si>
  <si>
    <t>Apport Unique 2</t>
  </si>
  <si>
    <t>Apport 2 types ensemble</t>
  </si>
  <si>
    <t>Apport 2 types choix</t>
  </si>
  <si>
    <t>Apport LM</t>
  </si>
  <si>
    <t>Apport LL</t>
  </si>
  <si>
    <t>Apport LM + 1% HMF</t>
  </si>
  <si>
    <t>Apport LL + 1% HMF</t>
  </si>
  <si>
    <t>Apport LM + 2% HMF</t>
  </si>
  <si>
    <t>Apport LL + 2H HMF</t>
  </si>
  <si>
    <t>Apport LM + 3% HMF</t>
  </si>
  <si>
    <t>Apport LL+ 3% HMF</t>
  </si>
  <si>
    <t>Apport LM + 4% HMF</t>
  </si>
  <si>
    <t>Apport LL + 4% HMF</t>
  </si>
  <si>
    <t>Apport Enfamil AR 1</t>
  </si>
  <si>
    <t>Entéral choix 3</t>
  </si>
  <si>
    <t>Paraphe infirmier(e)</t>
  </si>
  <si>
    <t xml:space="preserve">Paraphe infirmier(e) </t>
  </si>
  <si>
    <t>PAS D'AJOUT DE LIPIDES</t>
  </si>
  <si>
    <t>Glucose</t>
  </si>
  <si>
    <t>Lipides</t>
  </si>
  <si>
    <t xml:space="preserve">Na+ </t>
  </si>
  <si>
    <t>mEq/kg/j</t>
  </si>
  <si>
    <t>ou→</t>
  </si>
  <si>
    <t>Na+</t>
  </si>
  <si>
    <t>Entéral ensemble 1</t>
  </si>
  <si>
    <t>Entéral ensemble 2</t>
  </si>
  <si>
    <t>Apports BicarNa</t>
  </si>
  <si>
    <t>Apports Lactate Na</t>
  </si>
  <si>
    <t>Apports LP en Y</t>
  </si>
  <si>
    <t>Apports NaCl 1meq/ml en Y</t>
  </si>
  <si>
    <t>S. PHYSIOL NaCl 0,9%</t>
  </si>
  <si>
    <t>NaCl 1mEq/mL (Natriclo)</t>
  </si>
  <si>
    <t>gamma/Kg/H</t>
  </si>
  <si>
    <t>NaCl 1mEq/mL 8x</t>
  </si>
  <si>
    <t>solution 1mEq/mL</t>
  </si>
  <si>
    <t>flapule de 20 mL</t>
  </si>
  <si>
    <t>solution orale 20mg/mL</t>
  </si>
  <si>
    <t>NaCl 1mEq/mL 6x</t>
  </si>
  <si>
    <t>NaCl 1mEq/mL 4x</t>
  </si>
  <si>
    <t>Apport NaCl 1meq/ml 4x</t>
  </si>
  <si>
    <t>Apport NaCl 1meq/ml 6x</t>
  </si>
  <si>
    <t>Apport NaCl 1meq/ml 8x</t>
  </si>
  <si>
    <t>LAIT ENTERAL</t>
  </si>
  <si>
    <t>APPORTS ENTERAUX</t>
  </si>
  <si>
    <t>APPORTS PARENTERAUX</t>
  </si>
  <si>
    <t>Somme lait entéral avec choix</t>
  </si>
  <si>
    <t>Somme lait entéral ensemble</t>
  </si>
  <si>
    <t>Total apports entéraux</t>
  </si>
  <si>
    <t>Total lait entéral</t>
  </si>
  <si>
    <t>LACTATE de Na</t>
  </si>
  <si>
    <t>mg/Kg/Jour</t>
  </si>
  <si>
    <t>mg/Kh/H</t>
  </si>
  <si>
    <t>ampoule 10mg/5mL</t>
  </si>
  <si>
    <t>fiole 10mg/mL</t>
  </si>
  <si>
    <t>ampoule 0,2mg/mL</t>
  </si>
  <si>
    <t>flacon 500 mg/5mL</t>
  </si>
  <si>
    <t>flacon 10 mL</t>
  </si>
  <si>
    <t>ampoule 0,5mg/2mL</t>
  </si>
  <si>
    <t>ampoule 20 mg/2mL</t>
  </si>
  <si>
    <t>flacon 5000 000U</t>
  </si>
  <si>
    <t>ampoule 10mg/ 5mL</t>
  </si>
  <si>
    <t>flacon 10 mg/mL</t>
  </si>
  <si>
    <t>ampoule 2,5g/ 5 mL</t>
  </si>
  <si>
    <t>ampoule 4mg/ mL</t>
  </si>
  <si>
    <t xml:space="preserve">flacon 0,38 mEq/mL </t>
  </si>
  <si>
    <t>flacon</t>
  </si>
  <si>
    <t xml:space="preserve">solution 20mg/0,2mL </t>
  </si>
  <si>
    <t>fiole poudre/ser 0,5mL</t>
  </si>
  <si>
    <t>flacon 1g /20mL</t>
  </si>
  <si>
    <t>flacon 100ml à 4%</t>
  </si>
  <si>
    <t>solution 3mg/ ml</t>
  </si>
  <si>
    <t>flacon 500 unités</t>
  </si>
  <si>
    <t>Lavement rectal Lysomucil</t>
  </si>
  <si>
    <t>I.V. en</t>
  </si>
  <si>
    <t>-</t>
  </si>
  <si>
    <t>VANCOMYCINE</t>
  </si>
  <si>
    <t>ACTILYSE Charge</t>
  </si>
  <si>
    <t>I.V.&lt; 1 Min</t>
  </si>
  <si>
    <t>ACTILYSE Entretien</t>
  </si>
  <si>
    <t>I.V. 3 Heures</t>
  </si>
  <si>
    <t>CORDARONE Charge</t>
  </si>
  <si>
    <t>CORDARONE Entretien</t>
  </si>
  <si>
    <t>UROKINASE Entretien</t>
  </si>
  <si>
    <t>UROKINASE Charge</t>
  </si>
  <si>
    <t>ISUPREL</t>
  </si>
  <si>
    <t>flacon 5mg/mL</t>
  </si>
  <si>
    <t>I.V. 2 Heures</t>
  </si>
  <si>
    <t>ABELCET = AMPHOTERICINE B</t>
  </si>
  <si>
    <t>AUGMENTIN dose méningée</t>
  </si>
  <si>
    <t>CALCIUM GLUCONATE 10%</t>
  </si>
  <si>
    <t>Apport G5% en Y</t>
  </si>
  <si>
    <t>flacon 2g/10mL</t>
  </si>
  <si>
    <t>ampoule 200mg/20mL</t>
  </si>
  <si>
    <t>I.V. 12 Heures</t>
  </si>
  <si>
    <t>EPANUTIN / PHENYTOINE Charge</t>
  </si>
  <si>
    <t>FLOXAPEN 25mg/Kg</t>
  </si>
  <si>
    <t>AMUKIN    =ou&gt;34 S (15mg/Kg)</t>
  </si>
  <si>
    <t>AMUKIN   28-30 S (18mg/Kg)</t>
  </si>
  <si>
    <t>AMUKIN   31-33 S (16mg/Kg)</t>
  </si>
  <si>
    <t>AMUKIN   &lt;ou=27 S (18mg/Kg)</t>
  </si>
  <si>
    <t>FLOXAPEN 50mg/Kg (inf° sévère)</t>
  </si>
  <si>
    <t>I.V. 6 Heures</t>
  </si>
  <si>
    <t>S.C./I.M.</t>
  </si>
  <si>
    <t>I.T.</t>
  </si>
  <si>
    <t>KIOVIG (Ig 1g/10mL)</t>
  </si>
  <si>
    <t>I.V. 4 Heures</t>
  </si>
  <si>
    <t>MORPHINE Charge</t>
  </si>
  <si>
    <t>MORPHINE Entretien</t>
  </si>
  <si>
    <t>NEGABAN</t>
  </si>
  <si>
    <t>NIMBEX Charge</t>
  </si>
  <si>
    <t>NIMBEX Entretien</t>
  </si>
  <si>
    <t xml:space="preserve">PENTOTHAL </t>
  </si>
  <si>
    <t>I.V. 15 Mn</t>
  </si>
  <si>
    <t>PHENOBARBITAL Charge</t>
  </si>
  <si>
    <t>TARGOCID 1er jour</t>
  </si>
  <si>
    <t>1x/sem</t>
  </si>
  <si>
    <r>
      <rPr>
        <b/>
        <sz val="11"/>
        <color theme="0" tint="-0.34998626667073579"/>
        <rFont val="Wingdings"/>
        <charset val="2"/>
      </rPr>
      <t>l</t>
    </r>
    <r>
      <rPr>
        <b/>
        <sz val="12.1"/>
        <color theme="0" tint="-0.34998626667073579"/>
        <rFont val="Calibri"/>
        <family val="2"/>
      </rPr>
      <t xml:space="preserve"> </t>
    </r>
    <r>
      <rPr>
        <b/>
        <sz val="11"/>
        <color theme="1"/>
        <rFont val="Calibri"/>
        <family val="2"/>
        <scheme val="minor"/>
      </rPr>
      <t xml:space="preserve">TPN  </t>
    </r>
    <r>
      <rPr>
        <b/>
        <sz val="11"/>
        <color theme="1"/>
        <rFont val="Symbol"/>
        <family val="1"/>
        <charset val="2"/>
      </rPr>
      <t>®</t>
    </r>
  </si>
  <si>
    <r>
      <t xml:space="preserve">Médecin prescripteur
(cachet + paraphe) </t>
    </r>
    <r>
      <rPr>
        <sz val="9"/>
        <color theme="0" tint="-0.499984740745262"/>
        <rFont val="Symbol"/>
        <family val="1"/>
        <charset val="2"/>
      </rPr>
      <t>®</t>
    </r>
  </si>
  <si>
    <t>NOM</t>
  </si>
  <si>
    <t>Dr Renaud VIELLEVOYE 1.68008.93.690</t>
  </si>
  <si>
    <t>Dr Catherine PIELTAIN 1.66276.79.690</t>
  </si>
  <si>
    <t>Dr Sandra EIRAS DA SILVA 1.97174.27.069</t>
  </si>
  <si>
    <t>Dr Nathalie KREINS      1.68784.93.069</t>
  </si>
  <si>
    <t>Dr Julie FUDVOYE      1.68886.88.069</t>
  </si>
  <si>
    <t>Dr Marion DELBOS      1.93674.35.069</t>
  </si>
  <si>
    <t>Dr Isabelle BROUX      1.67945.59.690</t>
  </si>
  <si>
    <t>Dr Tania MARINI           1.68766.14.069</t>
  </si>
  <si>
    <t>Dr Julie PIERART         1.68228.67.690</t>
  </si>
  <si>
    <t>Dr Vincent RIGO         1.67170.58.690</t>
  </si>
  <si>
    <t>-----</t>
  </si>
  <si>
    <t>Dr Thierry DECORTIS  1.63414.31.690</t>
  </si>
  <si>
    <t>Dr Virginie de HALLEUX 1.58234.70.690</t>
  </si>
  <si>
    <t>Dr Masendu KALENGA 1.66811.29.690</t>
  </si>
  <si>
    <t>Dr Thibault SENTERRE 1.67036.95.690</t>
  </si>
  <si>
    <t>Total</t>
  </si>
  <si>
    <t>APPORTS NUTRITIONNELS</t>
  </si>
  <si>
    <t>I.V. pompe</t>
  </si>
  <si>
    <t>Codes</t>
  </si>
  <si>
    <t>//</t>
  </si>
  <si>
    <t>X</t>
  </si>
  <si>
    <t>/</t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</si>
</sst>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0.0"/>
    <numFmt numFmtId="166" formatCode=";;;"/>
  </numFmts>
  <fonts count="9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6"/>
      <color rgb="FF0000FF"/>
      <name val="Calibri"/>
      <family val="2"/>
      <scheme val="minor"/>
    </font>
    <font>
      <sz val="11"/>
      <color theme="1"/>
      <name val="Symbol"/>
      <family val="1"/>
      <charset val="2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7"/>
      <color theme="1" tint="0.1499984740745262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7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color indexed="33"/>
      <name val="Tahoma"/>
      <family val="2"/>
    </font>
    <font>
      <sz val="9"/>
      <name val="Calibri"/>
      <family val="2"/>
      <scheme val="minor"/>
    </font>
    <font>
      <i/>
      <sz val="8"/>
      <color indexed="14"/>
      <name val="Tahoma"/>
      <family val="2"/>
    </font>
    <font>
      <i/>
      <sz val="8"/>
      <color indexed="33"/>
      <name val="Tahoma"/>
      <family val="2"/>
    </font>
    <font>
      <b/>
      <sz val="12"/>
      <color rgb="FFC0000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sz val="12"/>
      <color rgb="FFC0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b/>
      <sz val="16"/>
      <color theme="0" tint="-0.34998626667073579"/>
      <name val="Calibri"/>
      <family val="2"/>
      <scheme val="minor"/>
    </font>
    <font>
      <sz val="14"/>
      <color theme="0" tint="-0.34998626667073579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i/>
      <sz val="13"/>
      <color rgb="FF0000FF"/>
      <name val="Calibri"/>
      <family val="2"/>
      <scheme val="minor"/>
    </font>
    <font>
      <b/>
      <i/>
      <sz val="13"/>
      <color rgb="FF0000FF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Calibri"/>
      <family val="2"/>
      <scheme val="minor"/>
    </font>
    <font>
      <b/>
      <sz val="8"/>
      <color rgb="FFFF00FF"/>
      <name val="Calibri"/>
      <family val="2"/>
      <scheme val="minor"/>
    </font>
    <font>
      <b/>
      <sz val="8"/>
      <color rgb="FFFF00FF"/>
      <name val="Wingdings 3"/>
      <family val="1"/>
      <charset val="2"/>
    </font>
    <font>
      <b/>
      <sz val="13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3"/>
      <color rgb="FF0000FF"/>
      <name val="Calibri"/>
      <family val="2"/>
      <scheme val="minor"/>
    </font>
    <font>
      <b/>
      <sz val="16"/>
      <name val="Calibri"/>
      <family val="2"/>
      <scheme val="minor"/>
    </font>
    <font>
      <b/>
      <sz val="12.1"/>
      <color theme="1"/>
      <name val="Calibri"/>
      <family val="2"/>
    </font>
    <font>
      <b/>
      <sz val="14"/>
      <name val="Calibri"/>
      <family val="2"/>
      <scheme val="minor"/>
    </font>
    <font>
      <b/>
      <sz val="12.1"/>
      <name val="Calibri"/>
      <family val="2"/>
    </font>
    <font>
      <b/>
      <sz val="11"/>
      <name val="Symbol"/>
      <family val="1"/>
      <charset val="2"/>
    </font>
    <font>
      <b/>
      <sz val="11"/>
      <color rgb="FFC00000"/>
      <name val="Calibri"/>
      <family val="2"/>
      <scheme val="minor"/>
    </font>
    <font>
      <i/>
      <sz val="14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8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i/>
      <sz val="12"/>
      <color theme="0" tint="-0.34998626667073579"/>
      <name val="Calibri"/>
      <family val="2"/>
      <scheme val="minor"/>
    </font>
    <font>
      <b/>
      <sz val="11"/>
      <color theme="0" tint="-0.34998626667073579"/>
      <name val="Wingdings"/>
      <charset val="2"/>
    </font>
    <font>
      <b/>
      <u/>
      <sz val="10"/>
      <name val="Symbol"/>
      <family val="1"/>
      <charset val="2"/>
    </font>
    <font>
      <b/>
      <sz val="11"/>
      <color theme="0" tint="-0.34998626667073579"/>
      <name val="Wingdings 2"/>
      <family val="1"/>
      <charset val="2"/>
    </font>
    <font>
      <b/>
      <i/>
      <u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3"/>
      <name val="Calibri"/>
      <family val="2"/>
      <scheme val="minor"/>
    </font>
    <font>
      <b/>
      <i/>
      <u/>
      <sz val="10"/>
      <name val="Calibri"/>
      <family val="2"/>
      <scheme val="minor"/>
    </font>
    <font>
      <sz val="7"/>
      <name val="Calibri"/>
      <family val="2"/>
      <scheme val="minor"/>
    </font>
    <font>
      <b/>
      <i/>
      <sz val="9"/>
      <color theme="0" tint="-0.499984740745262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sz val="12.1"/>
      <color theme="0" tint="-0.34998626667073579"/>
      <name val="Calibri"/>
      <family val="2"/>
    </font>
    <font>
      <sz val="9"/>
      <color theme="0" tint="-0.499984740745262"/>
      <name val="Symbol"/>
      <family val="1"/>
      <charset val="2"/>
    </font>
    <font>
      <sz val="8"/>
      <color indexed="81"/>
      <name val="Tahoma"/>
      <family val="2"/>
    </font>
    <font>
      <sz val="12"/>
      <color rgb="FF0000FF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8E8E8"/>
        <bgColor theme="0" tint="-0.34998626667073579"/>
      </patternFill>
    </fill>
    <fill>
      <patternFill patternType="solid">
        <fgColor rgb="FFE8E8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B9B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EDF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rgb="FFFF00FF"/>
        <bgColor auto="1"/>
      </patternFill>
    </fill>
    <fill>
      <patternFill patternType="solid">
        <fgColor rgb="FFD9EDF3"/>
        <bgColor indexed="64"/>
      </patternFill>
    </fill>
    <fill>
      <patternFill patternType="gray0625">
        <fgColor rgb="FFFFB3FF"/>
        <bgColor theme="0" tint="-0.14999847407452621"/>
      </patternFill>
    </fill>
    <fill>
      <patternFill patternType="gray0625">
        <fgColor rgb="FFFF00FF"/>
        <bgColor rgb="FFFFF7FF"/>
      </patternFill>
    </fill>
    <fill>
      <patternFill patternType="solid">
        <fgColor auto="1"/>
        <bgColor rgb="FFFF00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theme="0"/>
        <bgColor theme="0" tint="-0.34998626667073579"/>
      </patternFill>
    </fill>
    <fill>
      <patternFill patternType="solid">
        <fgColor rgb="FFFFFFC9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EAEAEA"/>
        <bgColor theme="0" tint="-0.34998626667073579"/>
      </patternFill>
    </fill>
  </fills>
  <borders count="4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theme="1" tint="0.24994659260841701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1" tint="0.24994659260841701"/>
      </left>
      <right style="thin">
        <color theme="0" tint="-0.34998626667073579"/>
      </right>
      <top style="medium">
        <color theme="1" tint="0.24994659260841701"/>
      </top>
      <bottom style="medium">
        <color theme="1" tint="0.24994659260841701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1" tint="0.24994659260841701"/>
      </left>
      <right style="medium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/>
      <right style="medium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34998626667073579"/>
      </left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theme="1" tint="0.24994659260841701"/>
      </left>
      <right style="medium">
        <color auto="1"/>
      </right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auto="1"/>
      </right>
      <top style="thin">
        <color theme="1" tint="0.24994659260841701"/>
      </top>
      <bottom style="thin">
        <color theme="1" tint="0.2499465926084170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FF"/>
      </left>
      <right/>
      <top style="medium">
        <color rgb="FFFF00FF"/>
      </top>
      <bottom style="medium">
        <color rgb="FFFF00FF"/>
      </bottom>
      <diagonal/>
    </border>
    <border>
      <left/>
      <right/>
      <top style="medium">
        <color rgb="FFFF00FF"/>
      </top>
      <bottom style="medium">
        <color rgb="FFFF00F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indexed="64"/>
      </top>
      <bottom style="medium">
        <color auto="1"/>
      </bottom>
      <diagonal/>
    </border>
    <border>
      <left style="thin">
        <color theme="1" tint="0.24994659260841701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dashed">
        <color theme="1" tint="0.24994659260841701"/>
      </left>
      <right/>
      <top/>
      <bottom style="dashed">
        <color theme="1" tint="0.24994659260841701"/>
      </bottom>
      <diagonal/>
    </border>
    <border>
      <left/>
      <right/>
      <top/>
      <bottom style="dashed">
        <color theme="1" tint="0.24994659260841701"/>
      </bottom>
      <diagonal/>
    </border>
    <border>
      <left/>
      <right style="dashed">
        <color theme="1" tint="0.24994659260841701"/>
      </right>
      <top/>
      <bottom style="dashed">
        <color theme="1" tint="0.24994659260841701"/>
      </bottom>
      <diagonal/>
    </border>
    <border>
      <left style="dashed">
        <color theme="1" tint="0.24994659260841701"/>
      </left>
      <right/>
      <top/>
      <bottom/>
      <diagonal/>
    </border>
    <border>
      <left/>
      <right style="dashed">
        <color theme="1" tint="0.24994659260841701"/>
      </right>
      <top/>
      <bottom/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 style="thin">
        <color theme="1" tint="0.24994659260841701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24994659260841701"/>
      </right>
      <top style="thin">
        <color indexed="64"/>
      </top>
      <bottom/>
      <diagonal/>
    </border>
    <border>
      <left style="thin">
        <color theme="1" tint="0.24994659260841701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theme="1" tint="0.24994659260841701"/>
      </right>
      <top style="thin">
        <color indexed="64"/>
      </top>
      <bottom style="medium">
        <color auto="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auto="1"/>
      </top>
      <bottom style="medium">
        <color theme="1" tint="0.24994659260841701"/>
      </bottom>
      <diagonal/>
    </border>
    <border>
      <left style="thin">
        <color theme="1" tint="0.24994659260841701"/>
      </left>
      <right style="thick">
        <color theme="1" tint="0.24994659260841701"/>
      </right>
      <top style="medium">
        <color auto="1"/>
      </top>
      <bottom style="medium">
        <color theme="1" tint="0.24994659260841701"/>
      </bottom>
      <diagonal/>
    </border>
    <border>
      <left/>
      <right style="thin">
        <color theme="1" tint="0.24994659260841701"/>
      </right>
      <top style="medium">
        <color auto="1"/>
      </top>
      <bottom style="medium">
        <color theme="1" tint="0.24994659260841701"/>
      </bottom>
      <diagonal/>
    </border>
    <border>
      <left style="thin">
        <color theme="1" tint="0.24994659260841701"/>
      </left>
      <right style="thin">
        <color theme="0" tint="-0.34998626667073579"/>
      </right>
      <top style="medium">
        <color auto="1"/>
      </top>
      <bottom style="medium">
        <color theme="1" tint="0.24994659260841701"/>
      </bottom>
      <diagonal/>
    </border>
    <border>
      <left style="thin">
        <color theme="0" tint="-0.34998626667073579"/>
      </left>
      <right/>
      <top style="medium">
        <color auto="1"/>
      </top>
      <bottom style="medium">
        <color theme="1" tint="0.24994659260841701"/>
      </bottom>
      <diagonal/>
    </border>
    <border>
      <left style="thick">
        <color theme="1" tint="0.24994659260841701"/>
      </left>
      <right style="thin">
        <color theme="1" tint="0.24994659260841701"/>
      </right>
      <top style="medium">
        <color auto="1"/>
      </top>
      <bottom style="medium">
        <color theme="1" tint="0.24994659260841701"/>
      </bottom>
      <diagonal/>
    </border>
    <border>
      <left style="thin">
        <color theme="1" tint="0.24994659260841701"/>
      </left>
      <right style="medium">
        <color auto="1"/>
      </right>
      <top style="medium">
        <color auto="1"/>
      </top>
      <bottom style="medium">
        <color theme="1" tint="0.24994659260841701"/>
      </bottom>
      <diagonal/>
    </border>
    <border>
      <left style="thin">
        <color rgb="FFFF00FF"/>
      </left>
      <right/>
      <top style="dashed">
        <color rgb="FFFF00FF"/>
      </top>
      <bottom style="dashed">
        <color rgb="FFFF00FF"/>
      </bottom>
      <diagonal/>
    </border>
    <border>
      <left/>
      <right/>
      <top style="dashed">
        <color rgb="FFFF00FF"/>
      </top>
      <bottom style="dashed">
        <color rgb="FFFF00FF"/>
      </bottom>
      <diagonal/>
    </border>
    <border>
      <left/>
      <right/>
      <top style="dashed">
        <color rgb="FFFF00FF"/>
      </top>
      <bottom style="medium">
        <color indexed="64"/>
      </bottom>
      <diagonal/>
    </border>
    <border>
      <left/>
      <right/>
      <top style="medium">
        <color theme="1" tint="0.24994659260841701"/>
      </top>
      <bottom style="dashed">
        <color theme="1" tint="0.24994659260841701"/>
      </bottom>
      <diagonal/>
    </border>
    <border>
      <left/>
      <right/>
      <top style="dashed">
        <color theme="1" tint="0.24994659260841701"/>
      </top>
      <bottom style="medium">
        <color auto="1"/>
      </bottom>
      <diagonal/>
    </border>
    <border>
      <left style="thin">
        <color theme="1" tint="0.24994659260841701"/>
      </left>
      <right/>
      <top style="dashed">
        <color theme="1" tint="0.24994659260841701"/>
      </top>
      <bottom style="medium">
        <color auto="1"/>
      </bottom>
      <diagonal/>
    </border>
    <border>
      <left style="thin">
        <color rgb="FFFF00FF"/>
      </left>
      <right style="dashed">
        <color rgb="FFFF00FF"/>
      </right>
      <top style="medium">
        <color theme="1" tint="0.24994659260841701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medium">
        <color theme="1" tint="0.24994659260841701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medium">
        <color theme="1" tint="0.24994659260841701"/>
      </top>
      <bottom style="dashed">
        <color theme="1" tint="0.24994659260841701"/>
      </bottom>
      <diagonal/>
    </border>
    <border>
      <left style="thin">
        <color rgb="FFFF00FF"/>
      </left>
      <right style="dashed">
        <color rgb="FFFF00FF"/>
      </right>
      <top style="dashed">
        <color rgb="FFFF00FF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dashed">
        <color rgb="FFFF00FF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dashed">
        <color theme="1" tint="0.24994659260841701"/>
      </top>
      <bottom style="dashed">
        <color theme="1" tint="0.24994659260841701"/>
      </bottom>
      <diagonal/>
    </border>
    <border>
      <left style="thin">
        <color auto="1"/>
      </left>
      <right style="dashed">
        <color indexed="64"/>
      </right>
      <top/>
      <bottom style="medium">
        <color rgb="FFFF00FF"/>
      </bottom>
      <diagonal/>
    </border>
    <border>
      <left style="dashed">
        <color indexed="64"/>
      </left>
      <right style="dashed">
        <color indexed="64"/>
      </right>
      <top/>
      <bottom style="medium">
        <color rgb="FFFF00FF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theme="1" tint="0.24994659260841701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theme="1" tint="0.24994659260841701"/>
      </bottom>
      <diagonal/>
    </border>
    <border>
      <left style="thin">
        <color rgb="FFFF00FF"/>
      </left>
      <right style="dashed">
        <color rgb="FFFF00FF"/>
      </right>
      <top style="dashed">
        <color rgb="FFFF00FF"/>
      </top>
      <bottom style="medium">
        <color rgb="FFFF00FF"/>
      </bottom>
      <diagonal/>
    </border>
    <border>
      <left style="dashed">
        <color rgb="FFFF00FF"/>
      </left>
      <right style="dashed">
        <color rgb="FFFF00FF"/>
      </right>
      <top style="dashed">
        <color rgb="FFFF00FF"/>
      </top>
      <bottom style="medium">
        <color rgb="FFFF00FF"/>
      </bottom>
      <diagonal/>
    </border>
    <border>
      <left style="dashed">
        <color rgb="FFFF00FF"/>
      </left>
      <right style="dashed">
        <color rgb="FFFF00FF"/>
      </right>
      <top style="dashed">
        <color rgb="FFFF00FF"/>
      </top>
      <bottom style="medium">
        <color indexed="64"/>
      </bottom>
      <diagonal/>
    </border>
    <border>
      <left style="dashed">
        <color rgb="FFFF00FF"/>
      </left>
      <right style="thin">
        <color theme="1" tint="0.24994659260841701"/>
      </right>
      <top style="dashed">
        <color rgb="FFFF00FF"/>
      </top>
      <bottom/>
      <diagonal/>
    </border>
    <border>
      <left style="dashed">
        <color indexed="64"/>
      </left>
      <right style="dashed">
        <color rgb="FFFF00FF"/>
      </right>
      <top style="medium">
        <color rgb="FFFF00FF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medium">
        <color rgb="FFFF00FF"/>
      </top>
      <bottom style="dashed">
        <color rgb="FFFF00FF"/>
      </bottom>
      <diagonal/>
    </border>
    <border>
      <left style="dashed">
        <color rgb="FFFF00FF"/>
      </left>
      <right/>
      <top style="medium">
        <color rgb="FFFF00FF"/>
      </top>
      <bottom style="dashed">
        <color rgb="FFFF00FF"/>
      </bottom>
      <diagonal/>
    </border>
    <border>
      <left style="dashed">
        <color indexed="64"/>
      </left>
      <right style="dashed">
        <color rgb="FFFF00FF"/>
      </right>
      <top style="dashed">
        <color rgb="FFFF00FF"/>
      </top>
      <bottom style="medium">
        <color indexed="64"/>
      </bottom>
      <diagonal/>
    </border>
    <border>
      <left style="dashed">
        <color rgb="FFFF00FF"/>
      </left>
      <right/>
      <top style="dashed">
        <color rgb="FFFF00FF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indexed="64"/>
      </top>
      <bottom style="medium">
        <color auto="1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auto="1"/>
      </bottom>
      <diagonal/>
    </border>
    <border>
      <left style="dashed">
        <color indexed="64"/>
      </left>
      <right/>
      <top style="dashed">
        <color indexed="64"/>
      </top>
      <bottom style="medium">
        <color auto="1"/>
      </bottom>
      <diagonal/>
    </border>
    <border>
      <left style="dashed">
        <color rgb="FFFF00FF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rgb="FFFF00FF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rgb="FFFF00FF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thin">
        <color rgb="FFFF00FF"/>
      </left>
      <right style="medium">
        <color indexed="64"/>
      </right>
      <top style="medium">
        <color indexed="64"/>
      </top>
      <bottom style="dashed">
        <color rgb="FFFF00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rgb="FFFF00FF"/>
      </bottom>
      <diagonal/>
    </border>
    <border>
      <left style="medium">
        <color indexed="64"/>
      </left>
      <right style="dashed">
        <color rgb="FFFF00FF"/>
      </right>
      <top style="medium">
        <color indexed="64"/>
      </top>
      <bottom style="dashed">
        <color rgb="FFFF00FF"/>
      </bottom>
      <diagonal/>
    </border>
    <border>
      <left style="thin">
        <color rgb="FFFF00FF"/>
      </left>
      <right/>
      <top style="medium">
        <color indexed="64"/>
      </top>
      <bottom style="dashed">
        <color rgb="FFFF00FF"/>
      </bottom>
      <diagonal/>
    </border>
    <border>
      <left/>
      <right/>
      <top style="medium">
        <color indexed="64"/>
      </top>
      <bottom style="dashed">
        <color rgb="FFFF00FF"/>
      </bottom>
      <diagonal/>
    </border>
    <border>
      <left/>
      <right style="dashed">
        <color rgb="FFFF00FF"/>
      </right>
      <top style="medium">
        <color indexed="64"/>
      </top>
      <bottom style="dashed">
        <color rgb="FFFF00FF"/>
      </bottom>
      <diagonal/>
    </border>
    <border>
      <left/>
      <right style="dashed">
        <color rgb="FFFF00FF"/>
      </right>
      <top style="dashed">
        <color rgb="FFFF00FF"/>
      </top>
      <bottom style="dashed">
        <color rgb="FFFF00FF"/>
      </bottom>
      <diagonal/>
    </border>
    <border>
      <left style="thin">
        <color rgb="FFFF00FF"/>
      </left>
      <right/>
      <top style="dashed">
        <color rgb="FFFF00FF"/>
      </top>
      <bottom style="medium">
        <color indexed="64"/>
      </bottom>
      <diagonal/>
    </border>
    <border>
      <left/>
      <right style="dashed">
        <color rgb="FFFF00FF"/>
      </right>
      <top style="dashed">
        <color rgb="FFFF00FF"/>
      </top>
      <bottom style="medium">
        <color indexed="64"/>
      </bottom>
      <diagonal/>
    </border>
    <border>
      <left style="thin">
        <color rgb="FFFF00FF"/>
      </left>
      <right/>
      <top style="dashed">
        <color rgb="FFFF00FF"/>
      </top>
      <bottom style="medium">
        <color rgb="FFFF00FF"/>
      </bottom>
      <diagonal/>
    </border>
    <border>
      <left/>
      <right/>
      <top style="dashed">
        <color rgb="FFFF00FF"/>
      </top>
      <bottom style="medium">
        <color rgb="FFFF00FF"/>
      </bottom>
      <diagonal/>
    </border>
    <border>
      <left/>
      <right style="dashed">
        <color rgb="FFFF00FF"/>
      </right>
      <top style="dashed">
        <color rgb="FFFF00FF"/>
      </top>
      <bottom style="medium">
        <color rgb="FFFF00FF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dashed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dashed">
        <color indexed="64"/>
      </bottom>
      <diagonal/>
    </border>
    <border>
      <left style="thin">
        <color theme="1" tint="0.24994659260841701"/>
      </left>
      <right style="medium">
        <color theme="1" tint="0.24994659260841701"/>
      </right>
      <top style="thin">
        <color theme="1" tint="0.24994659260841701"/>
      </top>
      <bottom style="dashed">
        <color indexed="64"/>
      </bottom>
      <diagonal/>
    </border>
    <border>
      <left style="thin">
        <color theme="1" tint="0.24994659260841701"/>
      </left>
      <right style="medium">
        <color auto="1"/>
      </right>
      <top style="thin">
        <color theme="1" tint="0.24994659260841701"/>
      </top>
      <bottom style="dashed">
        <color indexed="64"/>
      </bottom>
      <diagonal/>
    </border>
    <border>
      <left/>
      <right style="thin">
        <color theme="1" tint="0.24994659260841701"/>
      </right>
      <top style="dashed">
        <color indexed="64"/>
      </top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dashed">
        <color indexed="64"/>
      </top>
      <bottom style="thin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dashed">
        <color indexed="64"/>
      </top>
      <bottom style="thin">
        <color theme="1" tint="0.24994659260841701"/>
      </bottom>
      <diagonal/>
    </border>
    <border>
      <left style="thin">
        <color theme="1" tint="0.24994659260841701"/>
      </left>
      <right style="medium">
        <color auto="1"/>
      </right>
      <top style="dashed">
        <color indexed="64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dashed">
        <color auto="1"/>
      </top>
      <bottom style="medium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dashed">
        <color auto="1"/>
      </top>
      <bottom style="medium">
        <color indexed="64"/>
      </bottom>
      <diagonal/>
    </border>
    <border>
      <left style="thin">
        <color theme="1" tint="0.24994659260841701"/>
      </left>
      <right style="medium">
        <color theme="1" tint="0.24994659260841701"/>
      </right>
      <top style="dashed">
        <color auto="1"/>
      </top>
      <bottom style="medium">
        <color indexed="64"/>
      </bottom>
      <diagonal/>
    </border>
    <border>
      <left style="thin">
        <color theme="1" tint="0.2499465926084170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 style="thin">
        <color theme="1" tint="0.24994659260841701"/>
      </right>
      <top style="dashed">
        <color indexed="64"/>
      </top>
      <bottom style="dashed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dashed">
        <color indexed="64"/>
      </top>
      <bottom style="dashed">
        <color indexed="64"/>
      </bottom>
      <diagonal/>
    </border>
    <border>
      <left style="thin">
        <color theme="1" tint="0.24994659260841701"/>
      </left>
      <right style="medium">
        <color theme="1" tint="0.24994659260841701"/>
      </right>
      <top style="dashed">
        <color indexed="64"/>
      </top>
      <bottom style="dashed">
        <color indexed="64"/>
      </bottom>
      <diagonal/>
    </border>
    <border>
      <left style="thin">
        <color theme="1" tint="0.2499465926084170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/>
      <right style="thin">
        <color theme="1" tint="0.24994659260841701"/>
      </right>
      <top style="dashed">
        <color indexed="64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dashed">
        <color indexed="64"/>
      </top>
      <bottom/>
      <diagonal/>
    </border>
    <border>
      <left style="thin">
        <color theme="1" tint="0.24994659260841701"/>
      </left>
      <right/>
      <top style="dashed">
        <color indexed="64"/>
      </top>
      <bottom/>
      <diagonal/>
    </border>
    <border>
      <left/>
      <right style="medium">
        <color theme="1" tint="0.24994659260841701"/>
      </right>
      <top style="dashed">
        <color indexed="64"/>
      </top>
      <bottom/>
      <diagonal/>
    </border>
    <border>
      <left style="thin">
        <color theme="1" tint="0.24994659260841701"/>
      </left>
      <right style="medium">
        <color auto="1"/>
      </right>
      <top style="dashed">
        <color indexed="64"/>
      </top>
      <bottom/>
      <diagonal/>
    </border>
    <border>
      <left/>
      <right style="thin">
        <color theme="1" tint="0.24994659260841701"/>
      </right>
      <top/>
      <bottom style="dashed">
        <color auto="1"/>
      </bottom>
      <diagonal/>
    </border>
    <border>
      <left style="thin">
        <color theme="1" tint="0.24994659260841701"/>
      </left>
      <right style="thin">
        <color theme="1" tint="0.24994659260841701"/>
      </right>
      <top/>
      <bottom style="dashed">
        <color auto="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 tint="0.24994659260841701"/>
      </top>
      <bottom style="dashed">
        <color auto="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 tint="0.24994659260841701"/>
      </top>
      <bottom style="dashed">
        <color auto="1"/>
      </bottom>
      <diagonal/>
    </border>
    <border>
      <left/>
      <right style="thin">
        <color theme="1" tint="0.24994659260841701"/>
      </right>
      <top style="medium">
        <color theme="1" tint="0.24994659260841701"/>
      </top>
      <bottom style="dashed">
        <color auto="1"/>
      </bottom>
      <diagonal/>
    </border>
    <border>
      <left style="thin">
        <color theme="1" tint="0.24994659260841701"/>
      </left>
      <right style="medium">
        <color auto="1"/>
      </right>
      <top/>
      <bottom style="dashed">
        <color auto="1"/>
      </bottom>
      <diagonal/>
    </border>
    <border>
      <left style="thin">
        <color theme="1" tint="0.24994659260841701"/>
      </left>
      <right/>
      <top style="medium">
        <color auto="1"/>
      </top>
      <bottom style="medium">
        <color theme="1" tint="0.24994659260841701"/>
      </bottom>
      <diagonal/>
    </border>
    <border>
      <left style="dashed">
        <color rgb="FFFF00FF"/>
      </left>
      <right/>
      <top style="medium">
        <color theme="1" tint="0.24994659260841701"/>
      </top>
      <bottom style="dashed">
        <color theme="1" tint="0.24994659260841701"/>
      </bottom>
      <diagonal/>
    </border>
    <border>
      <left style="dashed">
        <color rgb="FFFF00FF"/>
      </left>
      <right/>
      <top style="dashed">
        <color theme="1" tint="0.24994659260841701"/>
      </top>
      <bottom style="dashed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auto="1"/>
      </bottom>
      <diagonal/>
    </border>
    <border>
      <left/>
      <right/>
      <top style="dashed">
        <color theme="1" tint="0.2499465926084170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ashed">
        <color theme="1" tint="0.24994659260841701"/>
      </left>
      <right/>
      <top style="dashed">
        <color theme="1" tint="0.24994659260841701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FF33CC"/>
      </left>
      <right/>
      <top style="thin">
        <color rgb="FFFF33CC"/>
      </top>
      <bottom/>
      <diagonal/>
    </border>
    <border>
      <left/>
      <right/>
      <top style="thin">
        <color rgb="FFFF33CC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1" tint="0.24994659260841701"/>
      </right>
      <top style="dashed">
        <color theme="1" tint="0.24994659260841701"/>
      </top>
      <bottom/>
      <diagonal/>
    </border>
    <border>
      <left style="hair">
        <color auto="1"/>
      </left>
      <right style="medium">
        <color theme="1" tint="0.24994659260841701"/>
      </right>
      <top style="hair">
        <color auto="1"/>
      </top>
      <bottom style="hair">
        <color auto="1"/>
      </bottom>
      <diagonal/>
    </border>
    <border>
      <left/>
      <right style="medium">
        <color theme="1" tint="0.24994659260841701"/>
      </right>
      <top/>
      <bottom style="hair">
        <color auto="1"/>
      </bottom>
      <diagonal/>
    </border>
    <border>
      <left/>
      <right style="medium">
        <color theme="1" tint="0.24994659260841701"/>
      </right>
      <top style="hair">
        <color auto="1"/>
      </top>
      <bottom/>
      <diagonal/>
    </border>
    <border>
      <left style="dashed">
        <color theme="1" tint="0.2499465926084170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medium">
        <color theme="1" tint="0.24994659260841701"/>
      </right>
      <top style="hair">
        <color auto="1"/>
      </top>
      <bottom style="hair">
        <color auto="1"/>
      </bottom>
      <diagonal/>
    </border>
    <border>
      <left style="medium">
        <color theme="1" tint="0.499984740745262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ashDotDot">
        <color theme="1" tint="0.499984740745262"/>
      </left>
      <right/>
      <top style="hair">
        <color auto="1"/>
      </top>
      <bottom style="dashDotDot">
        <color theme="1" tint="0.499984740745262"/>
      </bottom>
      <diagonal/>
    </border>
    <border>
      <left/>
      <right/>
      <top style="hair">
        <color auto="1"/>
      </top>
      <bottom style="dashDotDot">
        <color theme="1" tint="0.499984740745262"/>
      </bottom>
      <diagonal/>
    </border>
    <border>
      <left/>
      <right style="dashDotDot">
        <color theme="1" tint="0.499984740745262"/>
      </right>
      <top style="hair">
        <color auto="1"/>
      </top>
      <bottom style="dashDotDot">
        <color theme="1" tint="0.499984740745262"/>
      </bottom>
      <diagonal/>
    </border>
    <border>
      <left style="medium">
        <color theme="1" tint="0.499984740745262"/>
      </left>
      <right/>
      <top style="hair">
        <color auto="1"/>
      </top>
      <bottom/>
      <diagonal/>
    </border>
    <border>
      <left style="medium">
        <color theme="1" tint="0.499984740745262"/>
      </left>
      <right/>
      <top/>
      <bottom style="hair">
        <color auto="1"/>
      </bottom>
      <diagonal/>
    </border>
    <border>
      <left/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 style="dashed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499984740745262"/>
      </top>
      <bottom style="dashed">
        <color theme="1" tint="0.2499465926084170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theme="1" tint="0.499984740745262"/>
      </bottom>
      <diagonal/>
    </border>
    <border>
      <left/>
      <right/>
      <top style="hair">
        <color auto="1"/>
      </top>
      <bottom style="thin">
        <color theme="1" tint="0.499984740745262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double">
        <color theme="0" tint="-0.499984740745262"/>
      </right>
      <top style="hair">
        <color auto="1"/>
      </top>
      <bottom style="hair">
        <color auto="1"/>
      </bottom>
      <diagonal/>
    </border>
    <border>
      <left style="double">
        <color theme="0" tint="-0.499984740745262"/>
      </left>
      <right/>
      <top style="hair">
        <color auto="1"/>
      </top>
      <bottom/>
      <diagonal/>
    </border>
    <border>
      <left/>
      <right style="double">
        <color theme="0" tint="-0.499984740745262"/>
      </right>
      <top style="hair">
        <color auto="1"/>
      </top>
      <bottom/>
      <diagonal/>
    </border>
    <border>
      <left style="double">
        <color theme="0" tint="-0.499984740745262"/>
      </left>
      <right/>
      <top/>
      <bottom/>
      <diagonal/>
    </border>
    <border>
      <left/>
      <right style="double">
        <color theme="0" tint="-0.499984740745262"/>
      </right>
      <top/>
      <bottom/>
      <diagonal/>
    </border>
    <border>
      <left/>
      <right/>
      <top style="hair">
        <color auto="1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auto="1"/>
      </bottom>
      <diagonal/>
    </border>
    <border>
      <left style="double">
        <color theme="0" tint="-0.499984740745262"/>
      </left>
      <right/>
      <top/>
      <bottom style="hair">
        <color auto="1"/>
      </bottom>
      <diagonal/>
    </border>
    <border>
      <left/>
      <right style="dotted">
        <color auto="1"/>
      </right>
      <top/>
      <bottom/>
      <diagonal/>
    </border>
    <border>
      <left style="thin">
        <color theme="0" tint="-0.24994659260841701"/>
      </left>
      <right/>
      <top/>
      <bottom style="hair">
        <color auto="1"/>
      </bottom>
      <diagonal/>
    </border>
    <border>
      <left/>
      <right style="thin">
        <color theme="0" tint="-0.24994659260841701"/>
      </right>
      <top/>
      <bottom style="hair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hair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1" tint="0.499984740745262"/>
      </top>
      <bottom style="thin">
        <color theme="0" tint="-0.499984740745262"/>
      </bottom>
      <diagonal/>
    </border>
    <border>
      <left style="hair">
        <color auto="1"/>
      </left>
      <right/>
      <top style="hair">
        <color theme="1" tint="0.499984740745262"/>
      </top>
      <bottom style="hair">
        <color auto="1"/>
      </bottom>
      <diagonal/>
    </border>
    <border>
      <left/>
      <right style="hair">
        <color auto="1"/>
      </right>
      <top style="hair">
        <color theme="1" tint="0.499984740745262"/>
      </top>
      <bottom style="hair">
        <color auto="1"/>
      </bottom>
      <diagonal/>
    </border>
    <border>
      <left/>
      <right/>
      <top style="hair">
        <color auto="1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thin">
        <color rgb="FFFF33CC"/>
      </top>
      <bottom/>
      <diagonal/>
    </border>
    <border>
      <left style="hair">
        <color auto="1"/>
      </left>
      <right style="thin">
        <color theme="1" tint="0.499984740745262"/>
      </right>
      <top style="hair">
        <color auto="1"/>
      </top>
      <bottom style="hair">
        <color auto="1"/>
      </bottom>
      <diagonal/>
    </border>
    <border>
      <left style="double">
        <color theme="0" tint="-0.499984740745262"/>
      </left>
      <right/>
      <top style="hair">
        <color theme="1" tint="0.499984740745262"/>
      </top>
      <bottom style="hair">
        <color auto="1"/>
      </bottom>
      <diagonal/>
    </border>
    <border>
      <left/>
      <right style="double">
        <color theme="0" tint="-0.499984740745262"/>
      </right>
      <top style="hair">
        <color theme="1" tint="0.499984740745262"/>
      </top>
      <bottom style="hair">
        <color auto="1"/>
      </bottom>
      <diagonal/>
    </border>
    <border>
      <left style="mediumDashed">
        <color theme="0" tint="-0.34998626667073579"/>
      </left>
      <right/>
      <top style="hair">
        <color theme="1" tint="0.499984740745262"/>
      </top>
      <bottom style="hair">
        <color auto="1"/>
      </bottom>
      <diagonal/>
    </border>
    <border>
      <left/>
      <right style="mediumDashed">
        <color theme="0" tint="-0.34998626667073579"/>
      </right>
      <top style="hair">
        <color theme="1" tint="0.499984740745262"/>
      </top>
      <bottom style="hair">
        <color auto="1"/>
      </bottom>
      <diagonal/>
    </border>
    <border>
      <left style="mediumDashed">
        <color theme="0" tint="-0.34998626667073579"/>
      </left>
      <right/>
      <top style="hair">
        <color auto="1"/>
      </top>
      <bottom/>
      <diagonal/>
    </border>
    <border>
      <left/>
      <right style="mediumDashed">
        <color theme="0" tint="-0.34998626667073579"/>
      </right>
      <top style="hair">
        <color auto="1"/>
      </top>
      <bottom style="hair">
        <color auto="1"/>
      </bottom>
      <diagonal/>
    </border>
    <border>
      <left/>
      <right style="mediumDashed">
        <color theme="0" tint="-0.34998626667073579"/>
      </right>
      <top style="hair">
        <color auto="1"/>
      </top>
      <bottom/>
      <diagonal/>
    </border>
    <border>
      <left style="mediumDashed">
        <color theme="0" tint="-0.34998626667073579"/>
      </left>
      <right/>
      <top/>
      <bottom/>
      <diagonal/>
    </border>
    <border>
      <left/>
      <right style="mediumDashed">
        <color theme="0" tint="-0.34998626667073579"/>
      </right>
      <top/>
      <bottom/>
      <diagonal/>
    </border>
    <border>
      <left style="mediumDashed">
        <color theme="0" tint="-0.34998626667073579"/>
      </left>
      <right/>
      <top style="hair">
        <color auto="1"/>
      </top>
      <bottom style="hair">
        <color auto="1"/>
      </bottom>
      <diagonal/>
    </border>
    <border>
      <left/>
      <right style="mediumDashed">
        <color theme="0" tint="-0.34998626667073579"/>
      </right>
      <top style="hair">
        <color auto="1"/>
      </top>
      <bottom style="thin">
        <color theme="1" tint="0.499984740745262"/>
      </bottom>
      <diagonal/>
    </border>
    <border>
      <left style="mediumDashed">
        <color theme="0" tint="-0.34998626667073579"/>
      </left>
      <right/>
      <top style="thin">
        <color theme="1" tint="0.499984740745262"/>
      </top>
      <bottom style="thin">
        <color theme="0" tint="-0.499984740745262"/>
      </bottom>
      <diagonal/>
    </border>
    <border>
      <left/>
      <right style="mediumDashed">
        <color theme="0" tint="-0.34998626667073579"/>
      </right>
      <top style="thin">
        <color theme="1" tint="0.499984740745262"/>
      </top>
      <bottom style="thin">
        <color theme="0" tint="-0.499984740745262"/>
      </bottom>
      <diagonal/>
    </border>
    <border>
      <left style="mediumDashed">
        <color theme="0" tint="-0.34998626667073579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Dashed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auto="1"/>
      </left>
      <right style="mediumDashed">
        <color theme="0" tint="-0.34998626667073579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theme="1" tint="0.499984740745262"/>
      </right>
      <top style="hair">
        <color auto="1"/>
      </top>
      <bottom/>
      <diagonal/>
    </border>
    <border>
      <left/>
      <right style="thin">
        <color theme="1" tint="0.499984740745262"/>
      </right>
      <top/>
      <bottom/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hair">
        <color auto="1"/>
      </right>
      <top style="double">
        <color theme="0" tint="-0.499984740745262"/>
      </top>
      <bottom/>
      <diagonal/>
    </border>
    <border>
      <left style="hair">
        <color auto="1"/>
      </left>
      <right style="hair">
        <color auto="1"/>
      </right>
      <top style="double">
        <color theme="0" tint="-0.499984740745262"/>
      </top>
      <bottom style="hair">
        <color auto="1"/>
      </bottom>
      <diagonal/>
    </border>
    <border>
      <left style="hair">
        <color auto="1"/>
      </left>
      <right style="double">
        <color theme="0" tint="-0.499984740745262"/>
      </right>
      <top style="double">
        <color theme="0" tint="-0.499984740745262"/>
      </top>
      <bottom style="hair">
        <color auto="1"/>
      </bottom>
      <diagonal/>
    </border>
    <border>
      <left style="double">
        <color theme="0" tint="-0.499984740745262"/>
      </left>
      <right style="hair">
        <color auto="1"/>
      </right>
      <top style="hair">
        <color auto="1"/>
      </top>
      <bottom style="double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theme="0" tint="-0.499984740745262"/>
      </bottom>
      <diagonal/>
    </border>
    <border>
      <left style="hair">
        <color auto="1"/>
      </left>
      <right/>
      <top style="hair">
        <color auto="1"/>
      </top>
      <bottom style="double">
        <color theme="0" tint="-0.499984740745262"/>
      </bottom>
      <diagonal/>
    </border>
    <border>
      <left/>
      <right/>
      <top style="hair">
        <color auto="1"/>
      </top>
      <bottom style="double">
        <color theme="0" tint="-0.499984740745262"/>
      </bottom>
      <diagonal/>
    </border>
    <border>
      <left style="hair">
        <color auto="1"/>
      </left>
      <right style="mediumDashed">
        <color theme="0" tint="-0.34998626667073579"/>
      </right>
      <top style="hair">
        <color auto="1"/>
      </top>
      <bottom style="double">
        <color theme="0" tint="-0.499984740745262"/>
      </bottom>
      <diagonal/>
    </border>
    <border>
      <left/>
      <right style="hair">
        <color auto="1"/>
      </right>
      <top style="hair">
        <color auto="1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hair">
        <color auto="1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hair">
        <color theme="1" tint="0.499984740745262"/>
      </bottom>
      <diagonal/>
    </border>
    <border>
      <left/>
      <right/>
      <top style="double">
        <color theme="0" tint="-0.499984740745262"/>
      </top>
      <bottom style="hair">
        <color theme="1" tint="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hair">
        <color theme="1" tint="0.499984740745262"/>
      </bottom>
      <diagonal/>
    </border>
    <border>
      <left style="hair">
        <color auto="1"/>
      </left>
      <right style="double">
        <color theme="0" tint="-0.499984740745262"/>
      </right>
      <top/>
      <bottom style="hair">
        <color auto="1"/>
      </bottom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 style="hair">
        <color auto="1"/>
      </left>
      <right/>
      <top/>
      <bottom style="double">
        <color theme="0" tint="-0.499984740745262"/>
      </bottom>
      <diagonal/>
    </border>
    <border>
      <left style="mediumDashed">
        <color theme="0" tint="-0.34998626667073579"/>
      </left>
      <right/>
      <top style="hair">
        <color auto="1"/>
      </top>
      <bottom style="double">
        <color theme="0" tint="-0.499984740745262"/>
      </bottom>
      <diagonal/>
    </border>
    <border>
      <left/>
      <right style="mediumDashed">
        <color theme="0" tint="-0.34998626667073579"/>
      </right>
      <top style="hair">
        <color auto="1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 style="hair">
        <color auto="1"/>
      </top>
      <bottom style="hair">
        <color theme="0" tint="-0.499984740745262"/>
      </bottom>
      <diagonal/>
    </border>
    <border>
      <left/>
      <right style="double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double">
        <color theme="0" tint="-0.499984740745262"/>
      </left>
      <right/>
      <top style="hair">
        <color auto="1"/>
      </top>
      <bottom style="hair">
        <color theme="1" tint="0.499984740745262"/>
      </bottom>
      <diagonal/>
    </border>
    <border>
      <left/>
      <right style="double">
        <color theme="0" tint="-0.499984740745262"/>
      </right>
      <top style="hair">
        <color theme="0" tint="-0.499984740745262"/>
      </top>
      <bottom style="hair">
        <color theme="1" tint="0.499984740745262"/>
      </bottom>
      <diagonal/>
    </border>
    <border>
      <left style="double">
        <color theme="0" tint="-0.499984740745262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double">
        <color theme="0" tint="-0.499984740745262"/>
      </right>
      <top style="hair">
        <color indexed="64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hair">
        <color auto="1"/>
      </bottom>
      <diagonal/>
    </border>
    <border>
      <left/>
      <right/>
      <top style="double">
        <color theme="0" tint="-0.499984740745262"/>
      </top>
      <bottom style="hair">
        <color auto="1"/>
      </bottom>
      <diagonal/>
    </border>
    <border>
      <left style="hair">
        <color auto="1"/>
      </left>
      <right/>
      <top style="double">
        <color theme="0" tint="-0.499984740745262"/>
      </top>
      <bottom style="hair">
        <color auto="1"/>
      </bottom>
      <diagonal/>
    </border>
    <border>
      <left style="mediumDashed">
        <color theme="0" tint="-0.34998626667073579"/>
      </left>
      <right style="hair">
        <color auto="1"/>
      </right>
      <top style="double">
        <color theme="0" tint="-0.499984740745262"/>
      </top>
      <bottom style="hair">
        <color auto="1"/>
      </bottom>
      <diagonal/>
    </border>
    <border>
      <left/>
      <right style="mediumDashed">
        <color theme="0" tint="-0.34998626667073579"/>
      </right>
      <top style="double">
        <color theme="0" tint="-0.499984740745262"/>
      </top>
      <bottom style="hair">
        <color auto="1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hair">
        <color auto="1"/>
      </bottom>
      <diagonal/>
    </border>
    <border>
      <left style="double">
        <color theme="0" tint="-0.499984740745262"/>
      </left>
      <right style="hair">
        <color auto="1"/>
      </right>
      <top style="hair">
        <color auto="1"/>
      </top>
      <bottom/>
      <diagonal/>
    </border>
    <border>
      <left style="double">
        <color theme="0" tint="-0.499984740745262"/>
      </left>
      <right style="hair">
        <color auto="1"/>
      </right>
      <top/>
      <bottom/>
      <diagonal/>
    </border>
    <border>
      <left style="double">
        <color theme="0" tint="-0.499984740745262"/>
      </left>
      <right style="hair">
        <color auto="1"/>
      </right>
      <top/>
      <bottom style="double">
        <color theme="0" tint="-0.499984740745262"/>
      </bottom>
      <diagonal/>
    </border>
    <border>
      <left style="mediumDashed">
        <color theme="0" tint="-0.34998626667073579"/>
      </left>
      <right/>
      <top style="double">
        <color theme="0" tint="-0.499984740745262"/>
      </top>
      <bottom style="hair">
        <color auto="1"/>
      </bottom>
      <diagonal/>
    </border>
    <border>
      <left/>
      <right style="hair">
        <color auto="1"/>
      </right>
      <top style="double">
        <color theme="0" tint="-0.499984740745262"/>
      </top>
      <bottom style="hair">
        <color auto="1"/>
      </bottom>
      <diagonal/>
    </border>
    <border>
      <left/>
      <right style="hair">
        <color theme="1" tint="0.499984740745262"/>
      </right>
      <top style="double">
        <color theme="0" tint="-0.499984740745262"/>
      </top>
      <bottom style="hair">
        <color auto="1"/>
      </bottom>
      <diagonal/>
    </border>
    <border>
      <left style="hair">
        <color theme="1" tint="0.499984740745262"/>
      </left>
      <right style="hair">
        <color theme="1" tint="0.499984740745262"/>
      </right>
      <top style="double">
        <color theme="0" tint="-0.499984740745262"/>
      </top>
      <bottom style="hair">
        <color auto="1"/>
      </bottom>
      <diagonal/>
    </border>
    <border>
      <left style="hair">
        <color theme="1" tint="0.499984740745262"/>
      </left>
      <right style="double">
        <color theme="0" tint="-0.499984740745262"/>
      </right>
      <top style="double">
        <color theme="0" tint="-0.499984740745262"/>
      </top>
      <bottom style="hair">
        <color auto="1"/>
      </bottom>
      <diagonal/>
    </border>
    <border>
      <left style="medium">
        <color theme="0" tint="-0.499984740745262"/>
      </left>
      <right style="dashed">
        <color rgb="FF0000FF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rgb="FF0000FF"/>
      </left>
      <right style="dashed">
        <color rgb="FF0000FF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rgb="FF0000FF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Dashed">
        <color theme="0" tint="-0.499984740745262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Dashed">
        <color theme="0" tint="-0.499984740745262"/>
      </left>
      <right style="hair">
        <color auto="1"/>
      </right>
      <top style="hair">
        <color auto="1"/>
      </top>
      <bottom style="double">
        <color theme="0" tint="-0.499984740745262"/>
      </bottom>
      <diagonal/>
    </border>
    <border>
      <left style="mediumDashed">
        <color theme="0" tint="-0.34998626667073579"/>
      </left>
      <right/>
      <top/>
      <bottom style="double">
        <color theme="0" tint="-0.499984740745262"/>
      </bottom>
      <diagonal/>
    </border>
    <border>
      <left/>
      <right style="mediumDashed">
        <color theme="0" tint="-0.34998626667073579"/>
      </right>
      <top/>
      <bottom style="double">
        <color theme="0" tint="-0.499984740745262"/>
      </bottom>
      <diagonal/>
    </border>
    <border>
      <left/>
      <right/>
      <top style="mediumDashed">
        <color theme="0" tint="-0.499984740745262"/>
      </top>
      <bottom/>
      <diagonal/>
    </border>
    <border>
      <left style="mediumDashed">
        <color theme="0" tint="-0.499984740745262"/>
      </left>
      <right/>
      <top/>
      <bottom style="mediumDashed">
        <color theme="0" tint="-0.499984740745262"/>
      </bottom>
      <diagonal/>
    </border>
    <border>
      <left/>
      <right/>
      <top/>
      <bottom style="mediumDashed">
        <color theme="0" tint="-0.499984740745262"/>
      </bottom>
      <diagonal/>
    </border>
    <border>
      <left/>
      <right style="mediumDashed">
        <color theme="0" tint="-0.499984740745262"/>
      </right>
      <top/>
      <bottom style="mediumDashed">
        <color theme="0" tint="-0.499984740745262"/>
      </bottom>
      <diagonal/>
    </border>
    <border>
      <left style="double">
        <color theme="0" tint="-0.499984740745262"/>
      </left>
      <right/>
      <top style="hair">
        <color auto="1"/>
      </top>
      <bottom style="double">
        <color theme="0" tint="-0.499984740745262"/>
      </bottom>
      <diagonal/>
    </border>
    <border>
      <left style="mediumDashed">
        <color theme="0" tint="-0.34998626667073579"/>
      </left>
      <right style="hair">
        <color theme="0" tint="-0.34998626667073579"/>
      </right>
      <top style="hair">
        <color auto="1"/>
      </top>
      <bottom style="hair">
        <color auto="1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auto="1"/>
      </top>
      <bottom style="hair">
        <color auto="1"/>
      </bottom>
      <diagonal/>
    </border>
    <border>
      <left style="hair">
        <color theme="0" tint="-0.34998626667073579"/>
      </left>
      <right style="double">
        <color theme="0" tint="-0.499984740745262"/>
      </right>
      <top style="hair">
        <color auto="1"/>
      </top>
      <bottom style="hair">
        <color auto="1"/>
      </bottom>
      <diagonal/>
    </border>
    <border>
      <left style="mediumDashed">
        <color theme="0" tint="-0.34998626667073579"/>
      </left>
      <right style="hair">
        <color theme="0" tint="-0.34998626667073579"/>
      </right>
      <top style="hair">
        <color auto="1"/>
      </top>
      <bottom style="double">
        <color theme="0" tint="-0.499984740745262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auto="1"/>
      </top>
      <bottom style="double">
        <color theme="0" tint="-0.499984740745262"/>
      </bottom>
      <diagonal/>
    </border>
    <border>
      <left style="hair">
        <color theme="0" tint="-0.34998626667073579"/>
      </left>
      <right style="double">
        <color theme="0" tint="-0.499984740745262"/>
      </right>
      <top style="hair">
        <color auto="1"/>
      </top>
      <bottom style="double">
        <color theme="0" tint="-0.499984740745262"/>
      </bottom>
      <diagonal/>
    </border>
    <border>
      <left style="slantDashDot">
        <color theme="1"/>
      </left>
      <right/>
      <top style="medium">
        <color theme="1" tint="0.499984740745262"/>
      </top>
      <bottom style="dashed">
        <color theme="1" tint="0.24994659260841701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 style="mediumDashed">
        <color theme="0" tint="-0.34998626667073579"/>
      </right>
      <top/>
      <bottom style="hair">
        <color auto="1"/>
      </bottom>
      <diagonal/>
    </border>
    <border>
      <left style="mediumDashed">
        <color theme="0" tint="-0.34998626667073579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Dashed">
        <color theme="0" tint="-0.34998626667073579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theme="0" tint="-0.499984740745262"/>
      </bottom>
      <diagonal/>
    </border>
    <border>
      <left/>
      <right/>
      <top style="thin">
        <color auto="1"/>
      </top>
      <bottom style="hair">
        <color theme="0" tint="-0.499984740745262"/>
      </bottom>
      <diagonal/>
    </border>
    <border>
      <left style="mediumDashed">
        <color theme="0" tint="-0.499984740745262"/>
      </left>
      <right style="hair">
        <color auto="1"/>
      </right>
      <top style="thin">
        <color auto="1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theme="0" tint="-0.499984740745262"/>
      </bottom>
      <diagonal/>
    </border>
    <border>
      <left style="mediumDashed">
        <color theme="0" tint="-0.34998626667073579"/>
      </left>
      <right style="hair">
        <color auto="1"/>
      </right>
      <top style="thin">
        <color auto="1"/>
      </top>
      <bottom style="hair">
        <color theme="0" tint="-0.499984740745262"/>
      </bottom>
      <diagonal/>
    </border>
    <border>
      <left style="hair">
        <color auto="1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Dashed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mediumDashed">
        <color theme="0" tint="-0.34998626667073579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theme="0" tint="-0.499984740745262"/>
      </bottom>
      <diagonal/>
    </border>
    <border>
      <left style="mediumDashed">
        <color theme="0" tint="-0.34998626667073579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mediumDashed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 style="hair">
        <color auto="1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/>
      <diagonal/>
    </border>
    <border>
      <left/>
      <right style="mediumDashed">
        <color theme="0" tint="-0.34998626667073579"/>
      </right>
      <top style="hair">
        <color theme="0" tint="-0.499984740745262"/>
      </top>
      <bottom/>
      <diagonal/>
    </border>
    <border>
      <left style="mediumDashed">
        <color theme="0" tint="-0.34998626667073579"/>
      </left>
      <right/>
      <top style="hair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mediumDashed">
        <color theme="0" tint="-0.34998626667073579"/>
      </right>
      <top/>
      <bottom style="thin">
        <color theme="0" tint="-0.499984740745262"/>
      </bottom>
      <diagonal/>
    </border>
    <border>
      <left style="mediumDashed">
        <color theme="0" tint="-0.34998626667073579"/>
      </left>
      <right/>
      <top/>
      <bottom style="thin">
        <color theme="0" tint="-0.499984740745262"/>
      </bottom>
      <diagonal/>
    </border>
    <border>
      <left style="double">
        <color theme="0" tint="-0.499984740745262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/>
      <top style="hair">
        <color auto="1"/>
      </top>
      <bottom style="double">
        <color theme="0" tint="-0.34998626667073579"/>
      </bottom>
      <diagonal/>
    </border>
    <border>
      <left/>
      <right/>
      <top style="hair">
        <color auto="1"/>
      </top>
      <bottom style="double">
        <color theme="0" tint="-0.34998626667073579"/>
      </bottom>
      <diagonal/>
    </border>
    <border>
      <left style="mediumDashed">
        <color theme="0" tint="-0.34998626667073579"/>
      </left>
      <right/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 style="mediumDashed">
        <color theme="0" tint="-0.34998626667073579"/>
      </right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 style="double">
        <color theme="0" tint="-0.499984740745262"/>
      </right>
      <top style="hair">
        <color auto="1"/>
      </top>
      <bottom style="double">
        <color theme="0" tint="-0.34998626667073579"/>
      </bottom>
      <diagonal/>
    </border>
    <border>
      <left/>
      <right style="mediumDashed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mediumDashed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double">
        <color theme="0" tint="-0.34998626667073579"/>
      </left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double">
        <color theme="0" tint="-0.34998626667073579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 style="hair">
        <color auto="1"/>
      </left>
      <right style="hair">
        <color auto="1"/>
      </right>
      <top/>
      <bottom style="hair">
        <color theme="0" tint="-0.499984740745262"/>
      </bottom>
      <diagonal/>
    </border>
    <border>
      <left style="hair">
        <color auto="1"/>
      </left>
      <right style="mediumDashed">
        <color theme="0" tint="-0.34998626667073579"/>
      </right>
      <top/>
      <bottom style="hair">
        <color theme="0" tint="-0.499984740745262"/>
      </bottom>
      <diagonal/>
    </border>
    <border>
      <left/>
      <right style="dotted">
        <color auto="1"/>
      </right>
      <top style="hair">
        <color theme="1" tint="0.499984740745262"/>
      </top>
      <bottom style="hair">
        <color indexed="64"/>
      </bottom>
      <diagonal/>
    </border>
    <border>
      <left/>
      <right style="thin">
        <color theme="0" tint="-0.24994659260841701"/>
      </right>
      <top style="hair">
        <color theme="1" tint="0.499984740745262"/>
      </top>
      <bottom style="hair">
        <color indexed="64"/>
      </bottom>
      <diagonal/>
    </border>
    <border>
      <left/>
      <right style="medium">
        <color theme="0" tint="-0.499984740745262"/>
      </right>
      <top/>
      <bottom style="hair">
        <color auto="1"/>
      </bottom>
      <diagonal/>
    </border>
    <border>
      <left/>
      <right style="slantDashDot">
        <color theme="1"/>
      </right>
      <top/>
      <bottom style="hair">
        <color auto="1"/>
      </bottom>
      <diagonal/>
    </border>
    <border>
      <left/>
      <right style="slantDashDot">
        <color theme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theme="0" tint="-0.499984740745262"/>
      </right>
      <top style="hair">
        <color auto="1"/>
      </top>
      <bottom style="hair">
        <color auto="1"/>
      </bottom>
      <diagonal/>
    </border>
    <border>
      <left/>
      <right style="medium">
        <color theme="0" tint="-0.499984740745262"/>
      </right>
      <top/>
      <bottom/>
      <diagonal/>
    </border>
    <border>
      <left/>
      <right style="slantDashDot">
        <color theme="1"/>
      </right>
      <top style="hair">
        <color auto="1"/>
      </top>
      <bottom/>
      <diagonal/>
    </border>
    <border>
      <left/>
      <right style="medium">
        <color theme="0" tint="-0.499984740745262"/>
      </right>
      <top style="hair">
        <color auto="1"/>
      </top>
      <bottom style="hair">
        <color auto="1"/>
      </bottom>
      <diagonal/>
    </border>
    <border>
      <left/>
      <right style="medium">
        <color theme="0" tint="-0.499984740745262"/>
      </right>
      <top style="hair">
        <color auto="1"/>
      </top>
      <bottom style="dashDotDot">
        <color theme="1" tint="0.499984740745262"/>
      </bottom>
      <diagonal/>
    </border>
    <border>
      <left/>
      <right style="medium">
        <color theme="1" tint="0.499984740745262"/>
      </right>
      <top style="hair">
        <color auto="1"/>
      </top>
      <bottom/>
      <diagonal/>
    </border>
    <border>
      <left style="medium">
        <color theme="0" tint="-0.499984740745262"/>
      </left>
      <right/>
      <top style="hair">
        <color auto="1"/>
      </top>
      <bottom/>
      <diagonal/>
    </border>
    <border>
      <left/>
      <right style="slantDashDot">
        <color theme="1"/>
      </right>
      <top style="medium">
        <color theme="1" tint="0.499984740745262"/>
      </top>
      <bottom style="dashed">
        <color theme="1" tint="0.24994659260841701"/>
      </bottom>
      <diagonal/>
    </border>
    <border>
      <left style="hair">
        <color auto="1"/>
      </left>
      <right style="medium">
        <color theme="0" tint="-0.499984740745262"/>
      </right>
      <top style="hair">
        <color auto="1"/>
      </top>
      <bottom/>
      <diagonal/>
    </border>
    <border>
      <left style="medium">
        <color theme="1" tint="0.499984740745262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theme="1" tint="0.24994659260841701"/>
      </right>
      <top style="hair">
        <color auto="1"/>
      </top>
      <bottom/>
      <diagonal/>
    </border>
    <border>
      <left style="hair">
        <color auto="1"/>
      </left>
      <right style="medium">
        <color theme="0" tint="-0.499984740745262"/>
      </right>
      <top/>
      <bottom style="hair">
        <color auto="1"/>
      </bottom>
      <diagonal/>
    </border>
    <border>
      <left style="medium">
        <color theme="1" tint="0.499984740745262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theme="1" tint="0.249977111117893"/>
      </right>
      <top/>
      <bottom style="hair">
        <color auto="1"/>
      </bottom>
      <diagonal/>
    </border>
    <border>
      <left style="hair">
        <color auto="1"/>
      </left>
      <right style="medium">
        <color theme="1" tint="0.249977111117893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Dashed">
        <color theme="0" tint="-0.499984740745262"/>
      </right>
      <top style="hair">
        <color indexed="64"/>
      </top>
      <bottom style="hair">
        <color theme="0" tint="-0.499984740745262"/>
      </bottom>
      <diagonal/>
    </border>
    <border>
      <left/>
      <right style="mediumDashed">
        <color theme="0" tint="-0.499984740745262"/>
      </right>
      <top style="thin">
        <color auto="1"/>
      </top>
      <bottom/>
      <diagonal/>
    </border>
    <border>
      <left style="mediumDashed">
        <color theme="0" tint="-0.499984740745262"/>
      </left>
      <right/>
      <top style="mediumDashed">
        <color theme="0" tint="-0.499984740745262"/>
      </top>
      <bottom/>
      <diagonal/>
    </border>
    <border>
      <left/>
      <right style="mediumDashed">
        <color theme="0" tint="-0.499984740745262"/>
      </right>
      <top style="mediumDashed">
        <color theme="0" tint="-0.499984740745262"/>
      </top>
      <bottom/>
      <diagonal/>
    </border>
    <border>
      <left style="dotted">
        <color auto="1"/>
      </left>
      <right/>
      <top style="hair">
        <color theme="1" tint="0.499984740745262"/>
      </top>
      <bottom style="thin">
        <color indexed="64"/>
      </bottom>
      <diagonal/>
    </border>
    <border>
      <left/>
      <right/>
      <top style="hair">
        <color theme="1" tint="0.499984740745262"/>
      </top>
      <bottom style="thin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auto="1"/>
      </right>
      <top style="double">
        <color theme="0" tint="-0.34998626667073579"/>
      </top>
      <bottom style="double">
        <color theme="0" tint="-0.499984740745262"/>
      </bottom>
      <diagonal/>
    </border>
    <border>
      <left style="double">
        <color theme="0" tint="-0.499984740745262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theme="0" tint="-0.499984740745262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double">
        <color theme="0" tint="-0.499984740745262"/>
      </top>
      <bottom style="double">
        <color theme="0" tint="-0.499984740745262"/>
      </bottom>
      <diagonal/>
    </border>
    <border>
      <left style="thin">
        <color indexed="64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hair">
        <color auto="1"/>
      </right>
      <top style="double">
        <color theme="0" tint="-0.34998626667073579"/>
      </top>
      <bottom style="double">
        <color theme="0" tint="-0.499984740745262"/>
      </bottom>
      <diagonal/>
    </border>
    <border>
      <left/>
      <right style="hair">
        <color auto="1"/>
      </right>
      <top style="double">
        <color theme="0" tint="-0.499984740745262"/>
      </top>
      <bottom style="double">
        <color theme="0" tint="-0.499984740745262"/>
      </bottom>
      <diagonal/>
    </border>
    <border>
      <left style="hair">
        <color auto="1"/>
      </left>
      <right style="dashDotDot">
        <color theme="1" tint="0.499984740745262"/>
      </right>
      <top style="hair">
        <color indexed="64"/>
      </top>
      <bottom style="hair">
        <color auto="1"/>
      </bottom>
      <diagonal/>
    </border>
    <border>
      <left/>
      <right style="medium">
        <color theme="1" tint="0.249977111117893"/>
      </right>
      <top/>
      <bottom style="hair">
        <color auto="1"/>
      </bottom>
      <diagonal/>
    </border>
    <border>
      <left/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theme="1" tint="0.249977111117893"/>
      </right>
      <top style="hair">
        <color auto="1"/>
      </top>
      <bottom style="thin">
        <color indexed="64"/>
      </bottom>
      <diagonal/>
    </border>
    <border>
      <left/>
      <right style="slantDashDot">
        <color indexed="64"/>
      </right>
      <top style="hair">
        <color auto="1"/>
      </top>
      <bottom style="thin">
        <color indexed="64"/>
      </bottom>
      <diagonal/>
    </border>
    <border>
      <left style="medium">
        <color theme="1" tint="0.249977111117893"/>
      </left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356">
    <xf numFmtId="0" fontId="0" fillId="0" borderId="0" xfId="0"/>
    <xf numFmtId="0" fontId="13" fillId="17" borderId="146" xfId="0" applyFont="1" applyFill="1" applyBorder="1" applyAlignment="1" applyProtection="1">
      <alignment horizontal="left" vertical="center" wrapText="1"/>
      <protection locked="0" hidden="1"/>
    </xf>
    <xf numFmtId="0" fontId="0" fillId="0" borderId="1" xfId="0" applyBorder="1"/>
    <xf numFmtId="0" fontId="2" fillId="0" borderId="0" xfId="0" applyFont="1"/>
    <xf numFmtId="0" fontId="4" fillId="0" borderId="0" xfId="0" applyFont="1"/>
    <xf numFmtId="0" fontId="4" fillId="5" borderId="1" xfId="0" applyFont="1" applyFill="1" applyBorder="1"/>
    <xf numFmtId="0" fontId="4" fillId="5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5" borderId="1" xfId="0" applyFont="1" applyFill="1" applyBorder="1"/>
    <xf numFmtId="0" fontId="2" fillId="0" borderId="1" xfId="0" applyFont="1" applyFill="1" applyBorder="1"/>
    <xf numFmtId="0" fontId="0" fillId="0" borderId="0" xfId="0" applyFill="1"/>
    <xf numFmtId="0" fontId="4" fillId="0" borderId="1" xfId="0" applyFont="1" applyFill="1" applyBorder="1"/>
    <xf numFmtId="0" fontId="4" fillId="0" borderId="0" xfId="0" applyFont="1" applyFill="1"/>
    <xf numFmtId="0" fontId="0" fillId="0" borderId="3" xfId="0" applyBorder="1"/>
    <xf numFmtId="0" fontId="4" fillId="5" borderId="4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10" fillId="0" borderId="4" xfId="0" applyFont="1" applyFill="1" applyBorder="1"/>
    <xf numFmtId="0" fontId="0" fillId="0" borderId="4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4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5" borderId="4" xfId="0" applyFont="1" applyFill="1" applyBorder="1"/>
    <xf numFmtId="0" fontId="4" fillId="5" borderId="5" xfId="0" applyFont="1" applyFill="1" applyBorder="1"/>
    <xf numFmtId="0" fontId="4" fillId="0" borderId="4" xfId="0" applyFont="1" applyFill="1" applyBorder="1"/>
    <xf numFmtId="0" fontId="4" fillId="0" borderId="5" xfId="0" applyFont="1" applyFill="1" applyBorder="1"/>
    <xf numFmtId="0" fontId="2" fillId="5" borderId="4" xfId="0" applyFont="1" applyFill="1" applyBorder="1"/>
    <xf numFmtId="0" fontId="2" fillId="5" borderId="5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0" xfId="0" applyFont="1" applyFill="1"/>
    <xf numFmtId="14" fontId="0" fillId="0" borderId="0" xfId="0" applyNumberFormat="1"/>
    <xf numFmtId="0" fontId="0" fillId="0" borderId="0" xfId="0" applyAlignment="1">
      <alignment horizontal="center"/>
    </xf>
    <xf numFmtId="0" fontId="11" fillId="5" borderId="9" xfId="0" applyFont="1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6" borderId="1" xfId="0" applyFill="1" applyBorder="1"/>
    <xf numFmtId="0" fontId="2" fillId="5" borderId="5" xfId="0" applyNumberFormat="1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2" fillId="9" borderId="5" xfId="0" applyFont="1" applyFill="1" applyBorder="1" applyAlignment="1">
      <alignment horizontal="left"/>
    </xf>
    <xf numFmtId="0" fontId="0" fillId="9" borderId="5" xfId="0" applyFill="1" applyBorder="1" applyAlignment="1">
      <alignment horizontal="left"/>
    </xf>
    <xf numFmtId="0" fontId="0" fillId="0" borderId="1" xfId="0" applyFont="1" applyBorder="1"/>
    <xf numFmtId="0" fontId="0" fillId="0" borderId="2" xfId="0" applyFont="1" applyFill="1" applyBorder="1"/>
    <xf numFmtId="0" fontId="0" fillId="0" borderId="7" xfId="0" applyFont="1" applyBorder="1"/>
    <xf numFmtId="0" fontId="0" fillId="0" borderId="3" xfId="0" applyFont="1" applyBorder="1"/>
    <xf numFmtId="0" fontId="0" fillId="0" borderId="0" xfId="0" applyFont="1"/>
    <xf numFmtId="0" fontId="4" fillId="5" borderId="18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left"/>
    </xf>
    <xf numFmtId="0" fontId="13" fillId="0" borderId="18" xfId="0" applyFont="1" applyBorder="1"/>
    <xf numFmtId="0" fontId="13" fillId="0" borderId="1" xfId="0" applyFont="1" applyBorder="1"/>
    <xf numFmtId="0" fontId="16" fillId="0" borderId="0" xfId="0" applyFont="1" applyAlignment="1">
      <alignment horizontal="center"/>
    </xf>
    <xf numFmtId="0" fontId="17" fillId="0" borderId="0" xfId="0" applyFont="1" applyFill="1" applyAlignment="1">
      <alignment horizontal="left"/>
    </xf>
    <xf numFmtId="0" fontId="18" fillId="0" borderId="0" xfId="0" applyFont="1" applyFill="1" applyAlignment="1">
      <alignment horizontal="center"/>
    </xf>
    <xf numFmtId="0" fontId="17" fillId="0" borderId="0" xfId="0" applyFont="1" applyFill="1"/>
    <xf numFmtId="0" fontId="0" fillId="11" borderId="18" xfId="0" applyFill="1" applyBorder="1" applyAlignment="1">
      <alignment horizontal="center"/>
    </xf>
    <xf numFmtId="165" fontId="0" fillId="0" borderId="23" xfId="0" applyNumberFormat="1" applyBorder="1" applyAlignment="1">
      <alignment horizontal="right"/>
    </xf>
    <xf numFmtId="0" fontId="0" fillId="0" borderId="24" xfId="0" applyBorder="1" applyAlignment="1">
      <alignment horizontal="left"/>
    </xf>
    <xf numFmtId="0" fontId="0" fillId="0" borderId="23" xfId="0" applyBorder="1" applyAlignment="1">
      <alignment horizontal="right"/>
    </xf>
    <xf numFmtId="165" fontId="0" fillId="0" borderId="25" xfId="0" applyNumberFormat="1" applyBorder="1" applyAlignment="1">
      <alignment horizontal="right"/>
    </xf>
    <xf numFmtId="0" fontId="0" fillId="0" borderId="26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11" borderId="27" xfId="0" applyFill="1" applyBorder="1" applyAlignment="1">
      <alignment horizontal="center"/>
    </xf>
    <xf numFmtId="165" fontId="0" fillId="0" borderId="28" xfId="0" applyNumberFormat="1" applyBorder="1" applyAlignment="1">
      <alignment horizontal="right"/>
    </xf>
    <xf numFmtId="0" fontId="0" fillId="0" borderId="29" xfId="0" applyBorder="1" applyAlignment="1">
      <alignment horizontal="left"/>
    </xf>
    <xf numFmtId="0" fontId="0" fillId="0" borderId="28" xfId="0" applyBorder="1" applyAlignment="1">
      <alignment horizontal="right"/>
    </xf>
    <xf numFmtId="0" fontId="3" fillId="10" borderId="3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33" xfId="0" applyNumberFormat="1" applyBorder="1" applyAlignment="1">
      <alignment horizontal="right"/>
    </xf>
    <xf numFmtId="0" fontId="0" fillId="0" borderId="34" xfId="0" applyBorder="1" applyAlignment="1">
      <alignment horizontal="left"/>
    </xf>
    <xf numFmtId="0" fontId="16" fillId="0" borderId="34" xfId="0" applyFont="1" applyBorder="1" applyAlignment="1">
      <alignment horizontal="center"/>
    </xf>
    <xf numFmtId="165" fontId="0" fillId="0" borderId="34" xfId="0" applyNumberFormat="1" applyBorder="1" applyAlignment="1">
      <alignment horizontal="right"/>
    </xf>
    <xf numFmtId="0" fontId="0" fillId="0" borderId="35" xfId="0" applyBorder="1" applyAlignment="1">
      <alignment horizontal="left"/>
    </xf>
    <xf numFmtId="165" fontId="0" fillId="0" borderId="0" xfId="0" applyNumberFormat="1" applyBorder="1" applyAlignment="1">
      <alignment horizontal="center"/>
    </xf>
    <xf numFmtId="165" fontId="0" fillId="0" borderId="0" xfId="0" applyNumberFormat="1"/>
    <xf numFmtId="0" fontId="0" fillId="0" borderId="19" xfId="0" applyBorder="1" applyAlignment="1">
      <alignment horizontal="left"/>
    </xf>
    <xf numFmtId="0" fontId="16" fillId="0" borderId="19" xfId="0" applyFont="1" applyBorder="1" applyAlignment="1">
      <alignment horizontal="center"/>
    </xf>
    <xf numFmtId="165" fontId="0" fillId="0" borderId="19" xfId="0" applyNumberFormat="1" applyBorder="1" applyAlignment="1">
      <alignment horizontal="right"/>
    </xf>
    <xf numFmtId="0" fontId="0" fillId="0" borderId="36" xfId="0" applyBorder="1" applyAlignment="1">
      <alignment horizontal="left"/>
    </xf>
    <xf numFmtId="0" fontId="16" fillId="0" borderId="36" xfId="0" applyFont="1" applyBorder="1" applyAlignment="1">
      <alignment horizontal="center"/>
    </xf>
    <xf numFmtId="165" fontId="0" fillId="0" borderId="36" xfId="0" applyNumberFormat="1" applyBorder="1" applyAlignment="1">
      <alignment horizontal="right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left"/>
    </xf>
    <xf numFmtId="165" fontId="0" fillId="0" borderId="0" xfId="0" applyNumberFormat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41" xfId="0" applyFill="1" applyBorder="1" applyAlignment="1">
      <alignment horizontal="center"/>
    </xf>
    <xf numFmtId="0" fontId="0" fillId="10" borderId="30" xfId="0" applyFill="1" applyBorder="1" applyAlignment="1"/>
    <xf numFmtId="0" fontId="0" fillId="10" borderId="31" xfId="0" applyFill="1" applyBorder="1" applyAlignment="1"/>
    <xf numFmtId="0" fontId="0" fillId="10" borderId="32" xfId="0" applyFill="1" applyBorder="1" applyAlignment="1"/>
    <xf numFmtId="0" fontId="0" fillId="0" borderId="42" xfId="0" applyFill="1" applyBorder="1" applyAlignment="1">
      <alignment horizontal="center"/>
    </xf>
    <xf numFmtId="0" fontId="0" fillId="0" borderId="33" xfId="0" applyBorder="1" applyAlignment="1"/>
    <xf numFmtId="0" fontId="0" fillId="0" borderId="34" xfId="0" applyBorder="1" applyAlignment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19" fillId="0" borderId="0" xfId="0" applyFont="1"/>
    <xf numFmtId="0" fontId="4" fillId="5" borderId="18" xfId="0" applyFont="1" applyFill="1" applyBorder="1" applyAlignment="1">
      <alignment horizontal="center"/>
    </xf>
    <xf numFmtId="0" fontId="0" fillId="0" borderId="0" xfId="0" applyAlignment="1" applyProtection="1">
      <alignment vertical="center"/>
    </xf>
    <xf numFmtId="0" fontId="0" fillId="0" borderId="0" xfId="0" applyFill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0" fillId="0" borderId="0" xfId="0" applyFill="1" applyAlignment="1" applyProtection="1">
      <alignment vertical="center" wrapText="1"/>
    </xf>
    <xf numFmtId="0" fontId="0" fillId="4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1" fillId="0" borderId="51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0" fillId="0" borderId="0" xfId="0" applyFont="1" applyAlignment="1" applyProtection="1">
      <alignment vertical="center"/>
    </xf>
    <xf numFmtId="0" fontId="0" fillId="0" borderId="43" xfId="0" applyFill="1" applyBorder="1"/>
    <xf numFmtId="0" fontId="4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0" fontId="25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0" fillId="10" borderId="30" xfId="0" applyFill="1" applyBorder="1" applyAlignment="1">
      <alignment horizontal="center"/>
    </xf>
    <xf numFmtId="0" fontId="16" fillId="10" borderId="0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3" fillId="0" borderId="0" xfId="0" applyFont="1" applyFill="1" applyAlignment="1" applyProtection="1">
      <alignment vertical="center"/>
    </xf>
    <xf numFmtId="0" fontId="16" fillId="0" borderId="0" xfId="1" applyAlignment="1" applyProtection="1">
      <alignment vertical="center"/>
    </xf>
    <xf numFmtId="0" fontId="0" fillId="0" borderId="20" xfId="0" applyBorder="1" applyAlignment="1">
      <alignment horizontal="left"/>
    </xf>
    <xf numFmtId="0" fontId="38" fillId="0" borderId="0" xfId="0" applyFont="1" applyAlignment="1" applyProtection="1">
      <alignment vertical="center" wrapText="1"/>
    </xf>
    <xf numFmtId="0" fontId="0" fillId="10" borderId="41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0" xfId="0" applyFill="1" applyBorder="1" applyAlignment="1"/>
    <xf numFmtId="0" fontId="0" fillId="0" borderId="41" xfId="0" applyFill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25" xfId="0" applyBorder="1" applyAlignment="1"/>
    <xf numFmtId="0" fontId="0" fillId="0" borderId="26" xfId="0" applyBorder="1" applyAlignment="1">
      <alignment horizontal="left"/>
    </xf>
    <xf numFmtId="0" fontId="0" fillId="0" borderId="19" xfId="0" applyBorder="1" applyAlignment="1">
      <alignment horizontal="center"/>
    </xf>
    <xf numFmtId="1" fontId="0" fillId="0" borderId="33" xfId="0" applyNumberFormat="1" applyBorder="1" applyAlignment="1">
      <alignment horizontal="right"/>
    </xf>
    <xf numFmtId="1" fontId="0" fillId="0" borderId="25" xfId="0" applyNumberFormat="1" applyBorder="1" applyAlignment="1">
      <alignment horizontal="right"/>
    </xf>
    <xf numFmtId="22" fontId="3" fillId="0" borderId="41" xfId="0" applyNumberFormat="1" applyFont="1" applyFill="1" applyBorder="1" applyAlignment="1" applyProtection="1">
      <alignment horizontal="left" vertical="center" wrapText="1"/>
      <protection hidden="1"/>
    </xf>
    <xf numFmtId="0" fontId="0" fillId="0" borderId="41" xfId="0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38" fillId="0" borderId="15" xfId="0" applyFont="1" applyFill="1" applyBorder="1" applyAlignment="1" applyProtection="1">
      <alignment vertical="center" wrapText="1"/>
      <protection hidden="1"/>
    </xf>
    <xf numFmtId="0" fontId="0" fillId="0" borderId="19" xfId="0" applyFont="1" applyBorder="1" applyAlignment="1" applyProtection="1">
      <alignment vertical="center" wrapText="1"/>
      <protection hidden="1"/>
    </xf>
    <xf numFmtId="0" fontId="38" fillId="0" borderId="15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16" fillId="0" borderId="56" xfId="0" applyFont="1" applyBorder="1" applyAlignment="1" applyProtection="1">
      <alignment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39" fillId="0" borderId="15" xfId="0" applyFont="1" applyFill="1" applyBorder="1" applyAlignment="1" applyProtection="1">
      <alignment vertical="center" wrapText="1"/>
      <protection hidden="1"/>
    </xf>
    <xf numFmtId="0" fontId="15" fillId="0" borderId="0" xfId="0" applyFont="1" applyFill="1" applyBorder="1" applyAlignment="1" applyProtection="1">
      <alignment vertical="center" wrapText="1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44" xfId="0" applyFont="1" applyBorder="1" applyAlignment="1" applyProtection="1">
      <alignment horizontal="center" vertical="center"/>
      <protection hidden="1"/>
    </xf>
    <xf numFmtId="0" fontId="14" fillId="3" borderId="0" xfId="0" applyFont="1" applyFill="1" applyBorder="1" applyAlignment="1" applyProtection="1">
      <alignment horizontal="center" vertical="center"/>
      <protection hidden="1"/>
    </xf>
    <xf numFmtId="0" fontId="15" fillId="3" borderId="58" xfId="0" applyFont="1" applyFill="1" applyBorder="1" applyAlignment="1" applyProtection="1">
      <alignment horizontal="center" vertical="center"/>
      <protection hidden="1"/>
    </xf>
    <xf numFmtId="0" fontId="1" fillId="13" borderId="63" xfId="0" applyFont="1" applyFill="1" applyBorder="1" applyAlignment="1" applyProtection="1">
      <alignment horizontal="center" vertical="center" wrapText="1"/>
      <protection hidden="1"/>
    </xf>
    <xf numFmtId="0" fontId="1" fillId="13" borderId="63" xfId="0" applyFont="1" applyFill="1" applyBorder="1" applyAlignment="1" applyProtection="1">
      <alignment vertical="center" wrapText="1"/>
      <protection hidden="1"/>
    </xf>
    <xf numFmtId="0" fontId="6" fillId="0" borderId="21" xfId="0" applyFont="1" applyBorder="1" applyAlignment="1" applyProtection="1">
      <alignment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43" xfId="0" applyFill="1" applyBorder="1" applyAlignment="1" applyProtection="1">
      <alignment horizontal="center" vertical="center"/>
      <protection hidden="1"/>
    </xf>
    <xf numFmtId="0" fontId="0" fillId="0" borderId="47" xfId="0" applyFill="1" applyBorder="1" applyAlignment="1" applyProtection="1">
      <alignment horizontal="center" vertical="center"/>
      <protection hidden="1"/>
    </xf>
    <xf numFmtId="0" fontId="0" fillId="0" borderId="45" xfId="0" applyFill="1" applyBorder="1" applyAlignment="1" applyProtection="1">
      <alignment horizontal="center" vertical="center"/>
      <protection hidden="1"/>
    </xf>
    <xf numFmtId="0" fontId="0" fillId="0" borderId="58" xfId="0" applyFill="1" applyBorder="1" applyAlignment="1" applyProtection="1">
      <alignment horizontal="center" vertical="center"/>
      <protection hidden="1"/>
    </xf>
    <xf numFmtId="0" fontId="38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3" xfId="0" applyFill="1" applyBorder="1" applyAlignment="1" applyProtection="1">
      <alignment horizontal="center" vertical="center" wrapText="1"/>
      <protection hidden="1"/>
    </xf>
    <xf numFmtId="0" fontId="0" fillId="3" borderId="13" xfId="0" applyFill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49" xfId="0" applyBorder="1" applyAlignment="1" applyProtection="1">
      <alignment horizontal="center" vertical="center"/>
      <protection hidden="1"/>
    </xf>
    <xf numFmtId="0" fontId="0" fillId="3" borderId="60" xfId="0" applyFill="1" applyBorder="1" applyAlignment="1" applyProtection="1">
      <alignment horizontal="center" vertical="center"/>
      <protection hidden="1"/>
    </xf>
    <xf numFmtId="0" fontId="13" fillId="0" borderId="48" xfId="0" applyFont="1" applyBorder="1" applyAlignment="1" applyProtection="1">
      <alignment horizontal="center" vertical="center"/>
      <protection hidden="1"/>
    </xf>
    <xf numFmtId="0" fontId="13" fillId="3" borderId="14" xfId="0" applyFont="1" applyFill="1" applyBorder="1" applyAlignment="1" applyProtection="1">
      <alignment horizontal="center" vertical="center"/>
      <protection hidden="1"/>
    </xf>
    <xf numFmtId="0" fontId="12" fillId="4" borderId="17" xfId="0" applyFont="1" applyFill="1" applyBorder="1" applyAlignment="1" applyProtection="1">
      <alignment horizontal="center" vertical="center"/>
      <protection hidden="1"/>
    </xf>
    <xf numFmtId="0" fontId="12" fillId="4" borderId="16" xfId="0" applyFont="1" applyFill="1" applyBorder="1" applyAlignment="1" applyProtection="1">
      <alignment horizontal="center" vertical="center"/>
      <protection hidden="1"/>
    </xf>
    <xf numFmtId="0" fontId="12" fillId="0" borderId="16" xfId="0" applyFont="1" applyFill="1" applyBorder="1" applyAlignment="1" applyProtection="1">
      <alignment horizontal="center" vertical="center"/>
      <protection hidden="1"/>
    </xf>
    <xf numFmtId="0" fontId="12" fillId="4" borderId="46" xfId="0" applyFont="1" applyFill="1" applyBorder="1" applyAlignment="1" applyProtection="1">
      <alignment horizontal="center" vertical="center"/>
      <protection hidden="1"/>
    </xf>
    <xf numFmtId="0" fontId="12" fillId="4" borderId="59" xfId="0" applyFont="1" applyFill="1" applyBorder="1" applyAlignment="1" applyProtection="1">
      <alignment horizontal="center" vertical="center"/>
      <protection hidden="1"/>
    </xf>
    <xf numFmtId="0" fontId="12" fillId="0" borderId="71" xfId="0" applyFont="1" applyFill="1" applyBorder="1" applyAlignment="1" applyProtection="1">
      <alignment horizontal="center" vertical="center"/>
      <protection hidden="1"/>
    </xf>
    <xf numFmtId="0" fontId="12" fillId="4" borderId="72" xfId="0" applyFont="1" applyFill="1" applyBorder="1" applyAlignment="1" applyProtection="1">
      <alignment horizontal="center" vertical="center"/>
      <protection hidden="1"/>
    </xf>
    <xf numFmtId="0" fontId="12" fillId="0" borderId="50" xfId="0" applyFont="1" applyFill="1" applyBorder="1" applyAlignment="1" applyProtection="1">
      <alignment horizontal="center" vertical="center"/>
      <protection hidden="1"/>
    </xf>
    <xf numFmtId="0" fontId="4" fillId="15" borderId="54" xfId="0" applyFont="1" applyFill="1" applyBorder="1" applyAlignment="1" applyProtection="1">
      <alignment vertical="center" textRotation="90" wrapText="1"/>
      <protection hidden="1"/>
    </xf>
    <xf numFmtId="0" fontId="4" fillId="15" borderId="61" xfId="0" applyFont="1" applyFill="1" applyBorder="1" applyAlignment="1" applyProtection="1">
      <alignment vertical="center" textRotation="90" wrapText="1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16" fillId="3" borderId="13" xfId="0" applyFont="1" applyFill="1" applyBorder="1" applyAlignment="1" applyProtection="1">
      <alignment horizontal="center" vertical="center"/>
      <protection hidden="1"/>
    </xf>
    <xf numFmtId="0" fontId="16" fillId="0" borderId="13" xfId="0" applyFont="1" applyBorder="1" applyAlignment="1" applyProtection="1">
      <alignment horizontal="center" vertical="center"/>
      <protection hidden="1"/>
    </xf>
    <xf numFmtId="0" fontId="0" fillId="0" borderId="52" xfId="0" applyFill="1" applyBorder="1" applyAlignment="1" applyProtection="1">
      <alignment vertical="center" wrapText="1"/>
      <protection hidden="1"/>
    </xf>
    <xf numFmtId="0" fontId="12" fillId="4" borderId="88" xfId="0" applyFont="1" applyFill="1" applyBorder="1" applyAlignment="1" applyProtection="1">
      <alignment horizontal="center" vertical="center"/>
      <protection hidden="1"/>
    </xf>
    <xf numFmtId="0" fontId="12" fillId="0" borderId="88" xfId="0" applyFont="1" applyFill="1" applyBorder="1" applyAlignment="1" applyProtection="1">
      <alignment horizontal="center" vertical="center"/>
      <protection hidden="1"/>
    </xf>
    <xf numFmtId="0" fontId="12" fillId="0" borderId="89" xfId="0" applyFont="1" applyFill="1" applyBorder="1" applyAlignment="1" applyProtection="1">
      <alignment horizontal="center" vertical="center"/>
      <protection hidden="1"/>
    </xf>
    <xf numFmtId="0" fontId="12" fillId="4" borderId="90" xfId="0" applyFont="1" applyFill="1" applyBorder="1" applyAlignment="1" applyProtection="1">
      <alignment horizontal="center" vertical="center"/>
      <protection hidden="1"/>
    </xf>
    <xf numFmtId="0" fontId="12" fillId="4" borderId="91" xfId="0" applyFont="1" applyFill="1" applyBorder="1" applyAlignment="1" applyProtection="1">
      <alignment horizontal="center" vertical="center"/>
      <protection hidden="1"/>
    </xf>
    <xf numFmtId="0" fontId="12" fillId="0" borderId="92" xfId="0" applyFont="1" applyFill="1" applyBorder="1" applyAlignment="1" applyProtection="1">
      <alignment horizontal="center" vertical="center"/>
      <protection hidden="1"/>
    </xf>
    <xf numFmtId="0" fontId="12" fillId="4" borderId="93" xfId="0" applyFont="1" applyFill="1" applyBorder="1" applyAlignment="1" applyProtection="1">
      <alignment horizontal="center" vertical="center"/>
      <protection hidden="1"/>
    </xf>
    <xf numFmtId="0" fontId="12" fillId="4" borderId="94" xfId="0" applyFont="1" applyFill="1" applyBorder="1" applyAlignment="1" applyProtection="1">
      <alignment horizontal="center" vertical="center"/>
      <protection hidden="1"/>
    </xf>
    <xf numFmtId="0" fontId="2" fillId="0" borderId="155" xfId="0" applyFont="1" applyFill="1" applyBorder="1" applyAlignment="1" applyProtection="1">
      <alignment horizontal="center" vertical="center" wrapText="1"/>
      <protection hidden="1"/>
    </xf>
    <xf numFmtId="0" fontId="0" fillId="3" borderId="156" xfId="0" applyFont="1" applyFill="1" applyBorder="1" applyAlignment="1" applyProtection="1">
      <alignment horizontal="center" vertical="center"/>
      <protection hidden="1"/>
    </xf>
    <xf numFmtId="0" fontId="0" fillId="0" borderId="156" xfId="0" applyFont="1" applyBorder="1" applyAlignment="1" applyProtection="1">
      <alignment horizontal="center" vertical="center"/>
      <protection hidden="1"/>
    </xf>
    <xf numFmtId="0" fontId="0" fillId="0" borderId="157" xfId="0" applyFont="1" applyBorder="1" applyAlignment="1" applyProtection="1">
      <alignment horizontal="center" vertical="center"/>
      <protection hidden="1"/>
    </xf>
    <xf numFmtId="0" fontId="0" fillId="3" borderId="155" xfId="0" applyFont="1" applyFill="1" applyBorder="1" applyAlignment="1" applyProtection="1">
      <alignment horizontal="center" vertical="center"/>
      <protection hidden="1"/>
    </xf>
    <xf numFmtId="0" fontId="0" fillId="3" borderId="158" xfId="0" applyFont="1" applyFill="1" applyBorder="1" applyAlignment="1" applyProtection="1">
      <alignment horizontal="center" vertical="center"/>
      <protection hidden="1"/>
    </xf>
    <xf numFmtId="0" fontId="2" fillId="0" borderId="159" xfId="0" applyFont="1" applyFill="1" applyBorder="1" applyAlignment="1" applyProtection="1">
      <alignment horizontal="center" vertical="center" wrapText="1"/>
      <protection hidden="1"/>
    </xf>
    <xf numFmtId="0" fontId="0" fillId="3" borderId="160" xfId="0" applyFont="1" applyFill="1" applyBorder="1" applyAlignment="1" applyProtection="1">
      <alignment horizontal="center" vertical="center"/>
      <protection hidden="1"/>
    </xf>
    <xf numFmtId="0" fontId="0" fillId="0" borderId="160" xfId="0" applyFont="1" applyBorder="1" applyAlignment="1" applyProtection="1">
      <alignment horizontal="center" vertical="center"/>
      <protection hidden="1"/>
    </xf>
    <xf numFmtId="0" fontId="0" fillId="0" borderId="161" xfId="0" applyFont="1" applyBorder="1" applyAlignment="1" applyProtection="1">
      <alignment horizontal="center" vertical="center"/>
      <protection hidden="1"/>
    </xf>
    <xf numFmtId="0" fontId="0" fillId="3" borderId="159" xfId="0" applyFont="1" applyFill="1" applyBorder="1" applyAlignment="1" applyProtection="1">
      <alignment horizontal="center" vertical="center"/>
      <protection hidden="1"/>
    </xf>
    <xf numFmtId="0" fontId="0" fillId="3" borderId="162" xfId="0" applyFont="1" applyFill="1" applyBorder="1" applyAlignment="1" applyProtection="1">
      <alignment horizontal="center" vertical="center"/>
      <protection hidden="1"/>
    </xf>
    <xf numFmtId="0" fontId="0" fillId="0" borderId="155" xfId="0" applyFont="1" applyFill="1" applyBorder="1" applyAlignment="1" applyProtection="1">
      <alignment horizontal="center" vertical="center" wrapText="1"/>
      <protection hidden="1"/>
    </xf>
    <xf numFmtId="0" fontId="0" fillId="0" borderId="163" xfId="0" applyFont="1" applyFill="1" applyBorder="1" applyAlignment="1" applyProtection="1">
      <alignment horizontal="center" vertical="center" wrapText="1"/>
      <protection hidden="1"/>
    </xf>
    <xf numFmtId="0" fontId="0" fillId="3" borderId="164" xfId="0" applyFont="1" applyFill="1" applyBorder="1" applyAlignment="1" applyProtection="1">
      <alignment horizontal="center" vertical="center"/>
      <protection hidden="1"/>
    </xf>
    <xf numFmtId="0" fontId="0" fillId="0" borderId="164" xfId="0" applyFont="1" applyBorder="1" applyAlignment="1" applyProtection="1">
      <alignment horizontal="center" vertical="center"/>
      <protection hidden="1"/>
    </xf>
    <xf numFmtId="0" fontId="0" fillId="0" borderId="165" xfId="0" applyFont="1" applyBorder="1" applyAlignment="1" applyProtection="1">
      <alignment horizontal="center" vertical="center"/>
      <protection hidden="1"/>
    </xf>
    <xf numFmtId="0" fontId="0" fillId="3" borderId="163" xfId="0" applyFont="1" applyFill="1" applyBorder="1" applyAlignment="1" applyProtection="1">
      <alignment horizontal="center" vertical="center"/>
      <protection hidden="1"/>
    </xf>
    <xf numFmtId="0" fontId="0" fillId="3" borderId="166" xfId="0" applyFont="1" applyFill="1" applyBorder="1" applyAlignment="1" applyProtection="1">
      <alignment horizontal="center" vertical="center"/>
      <protection hidden="1"/>
    </xf>
    <xf numFmtId="0" fontId="0" fillId="0" borderId="155" xfId="0" applyFont="1" applyFill="1" applyBorder="1" applyAlignment="1" applyProtection="1">
      <alignment horizontal="left" vertical="center" wrapText="1"/>
      <protection hidden="1"/>
    </xf>
    <xf numFmtId="0" fontId="0" fillId="0" borderId="167" xfId="0" applyFont="1" applyFill="1" applyBorder="1" applyAlignment="1" applyProtection="1">
      <alignment horizontal="left" vertical="center" wrapText="1"/>
      <protection hidden="1"/>
    </xf>
    <xf numFmtId="0" fontId="0" fillId="3" borderId="168" xfId="0" applyFont="1" applyFill="1" applyBorder="1" applyAlignment="1" applyProtection="1">
      <alignment horizontal="center" vertical="center"/>
      <protection hidden="1"/>
    </xf>
    <xf numFmtId="0" fontId="0" fillId="0" borderId="168" xfId="0" applyFont="1" applyBorder="1" applyAlignment="1" applyProtection="1">
      <alignment horizontal="center" vertical="center"/>
      <protection hidden="1"/>
    </xf>
    <xf numFmtId="0" fontId="0" fillId="0" borderId="169" xfId="0" applyFont="1" applyBorder="1" applyAlignment="1" applyProtection="1">
      <alignment horizontal="center" vertical="center"/>
      <protection hidden="1"/>
    </xf>
    <xf numFmtId="0" fontId="0" fillId="3" borderId="167" xfId="0" applyFont="1" applyFill="1" applyBorder="1" applyAlignment="1" applyProtection="1">
      <alignment horizontal="center" vertical="center"/>
      <protection hidden="1"/>
    </xf>
    <xf numFmtId="0" fontId="0" fillId="3" borderId="170" xfId="0" applyFont="1" applyFill="1" applyBorder="1" applyAlignment="1" applyProtection="1">
      <alignment horizontal="center" vertical="center"/>
      <protection hidden="1"/>
    </xf>
    <xf numFmtId="0" fontId="0" fillId="0" borderId="167" xfId="0" applyFont="1" applyFill="1" applyBorder="1" applyAlignment="1" applyProtection="1">
      <alignment horizontal="center" vertical="center" wrapText="1"/>
      <protection hidden="1"/>
    </xf>
    <xf numFmtId="0" fontId="16" fillId="0" borderId="171" xfId="1" applyFill="1" applyBorder="1" applyAlignment="1" applyProtection="1">
      <alignment horizontal="center" vertical="center" wrapText="1"/>
      <protection hidden="1"/>
    </xf>
    <xf numFmtId="0" fontId="16" fillId="3" borderId="172" xfId="1" applyFill="1" applyBorder="1" applyAlignment="1" applyProtection="1">
      <alignment horizontal="center" vertical="center"/>
      <protection hidden="1"/>
    </xf>
    <xf numFmtId="0" fontId="16" fillId="0" borderId="172" xfId="1" applyBorder="1" applyAlignment="1" applyProtection="1">
      <alignment horizontal="center" vertical="center"/>
      <protection hidden="1"/>
    </xf>
    <xf numFmtId="0" fontId="16" fillId="0" borderId="161" xfId="1" applyBorder="1" applyAlignment="1" applyProtection="1">
      <alignment horizontal="center" vertical="center"/>
      <protection hidden="1"/>
    </xf>
    <xf numFmtId="0" fontId="16" fillId="3" borderId="159" xfId="1" applyFill="1" applyBorder="1" applyAlignment="1" applyProtection="1">
      <alignment horizontal="center" vertical="center"/>
      <protection hidden="1"/>
    </xf>
    <xf numFmtId="0" fontId="16" fillId="3" borderId="173" xfId="1" applyFill="1" applyBorder="1" applyAlignment="1" applyProtection="1">
      <alignment horizontal="center" vertical="center"/>
      <protection hidden="1"/>
    </xf>
    <xf numFmtId="0" fontId="16" fillId="0" borderId="174" xfId="1" applyBorder="1" applyAlignment="1" applyProtection="1">
      <alignment horizontal="center" vertical="center"/>
      <protection hidden="1"/>
    </xf>
    <xf numFmtId="0" fontId="16" fillId="3" borderId="171" xfId="1" applyFill="1" applyBorder="1" applyAlignment="1" applyProtection="1">
      <alignment horizontal="center" vertical="center"/>
      <protection hidden="1"/>
    </xf>
    <xf numFmtId="0" fontId="16" fillId="3" borderId="175" xfId="1" applyFill="1" applyBorder="1" applyAlignment="1" applyProtection="1">
      <alignment horizontal="center" vertical="center"/>
      <protection hidden="1"/>
    </xf>
    <xf numFmtId="0" fontId="0" fillId="0" borderId="159" xfId="0" applyFont="1" applyFill="1" applyBorder="1" applyAlignment="1" applyProtection="1">
      <alignment horizontal="center" vertical="center" wrapText="1"/>
      <protection hidden="1"/>
    </xf>
    <xf numFmtId="0" fontId="0" fillId="0" borderId="155" xfId="0" applyFill="1" applyBorder="1" applyAlignment="1" applyProtection="1">
      <alignment horizontal="center" vertical="center" wrapText="1"/>
      <protection hidden="1"/>
    </xf>
    <xf numFmtId="0" fontId="0" fillId="3" borderId="156" xfId="0" applyFill="1" applyBorder="1" applyAlignment="1" applyProtection="1">
      <alignment horizontal="center" vertical="center"/>
      <protection hidden="1"/>
    </xf>
    <xf numFmtId="0" fontId="0" fillId="0" borderId="156" xfId="0" applyBorder="1" applyAlignment="1" applyProtection="1">
      <alignment horizontal="center" vertical="center"/>
      <protection hidden="1"/>
    </xf>
    <xf numFmtId="0" fontId="0" fillId="0" borderId="157" xfId="0" applyBorder="1" applyAlignment="1" applyProtection="1">
      <alignment horizontal="center" vertical="center"/>
      <protection hidden="1"/>
    </xf>
    <xf numFmtId="0" fontId="0" fillId="3" borderId="155" xfId="0" applyFill="1" applyBorder="1" applyAlignment="1" applyProtection="1">
      <alignment horizontal="center" vertical="center"/>
      <protection hidden="1"/>
    </xf>
    <xf numFmtId="0" fontId="0" fillId="3" borderId="158" xfId="0" applyFill="1" applyBorder="1" applyAlignment="1" applyProtection="1">
      <alignment horizontal="center" vertical="center"/>
      <protection hidden="1"/>
    </xf>
    <xf numFmtId="0" fontId="0" fillId="3" borderId="168" xfId="0" applyFill="1" applyBorder="1" applyAlignment="1" applyProtection="1">
      <alignment horizontal="center" vertical="center"/>
      <protection hidden="1"/>
    </xf>
    <xf numFmtId="0" fontId="0" fillId="0" borderId="168" xfId="0" applyBorder="1" applyAlignment="1" applyProtection="1">
      <alignment horizontal="center" vertical="center"/>
      <protection hidden="1"/>
    </xf>
    <xf numFmtId="0" fontId="0" fillId="0" borderId="169" xfId="0" applyBorder="1" applyAlignment="1" applyProtection="1">
      <alignment horizontal="center" vertical="center"/>
      <protection hidden="1"/>
    </xf>
    <xf numFmtId="0" fontId="0" fillId="3" borderId="167" xfId="0" applyFill="1" applyBorder="1" applyAlignment="1" applyProtection="1">
      <alignment horizontal="center" vertical="center"/>
      <protection hidden="1"/>
    </xf>
    <xf numFmtId="0" fontId="0" fillId="3" borderId="170" xfId="0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0" fontId="0" fillId="3" borderId="58" xfId="0" applyFill="1" applyBorder="1" applyAlignment="1" applyProtection="1">
      <alignment horizontal="center" vertical="center"/>
      <protection hidden="1"/>
    </xf>
    <xf numFmtId="0" fontId="0" fillId="0" borderId="159" xfId="0" applyFill="1" applyBorder="1" applyAlignment="1" applyProtection="1">
      <alignment horizontal="center" vertical="center" wrapText="1"/>
      <protection hidden="1"/>
    </xf>
    <xf numFmtId="0" fontId="0" fillId="3" borderId="160" xfId="0" applyFill="1" applyBorder="1" applyAlignment="1" applyProtection="1">
      <alignment horizontal="center" vertical="center"/>
      <protection hidden="1"/>
    </xf>
    <xf numFmtId="0" fontId="0" fillId="0" borderId="160" xfId="0" applyBorder="1" applyAlignment="1" applyProtection="1">
      <alignment horizontal="center" vertical="center"/>
      <protection hidden="1"/>
    </xf>
    <xf numFmtId="0" fontId="0" fillId="0" borderId="161" xfId="0" applyBorder="1" applyAlignment="1" applyProtection="1">
      <alignment horizontal="center" vertical="center"/>
      <protection hidden="1"/>
    </xf>
    <xf numFmtId="0" fontId="0" fillId="3" borderId="159" xfId="0" applyFill="1" applyBorder="1" applyAlignment="1" applyProtection="1">
      <alignment horizontal="center" vertical="center"/>
      <protection hidden="1"/>
    </xf>
    <xf numFmtId="0" fontId="0" fillId="3" borderId="162" xfId="0" applyFill="1" applyBorder="1" applyAlignment="1" applyProtection="1">
      <alignment horizontal="center" vertical="center"/>
      <protection hidden="1"/>
    </xf>
    <xf numFmtId="0" fontId="2" fillId="0" borderId="176" xfId="0" applyFont="1" applyFill="1" applyBorder="1" applyAlignment="1" applyProtection="1">
      <alignment horizontal="left" vertical="center" wrapText="1"/>
      <protection hidden="1"/>
    </xf>
    <xf numFmtId="0" fontId="0" fillId="3" borderId="177" xfId="0" applyFill="1" applyBorder="1" applyAlignment="1" applyProtection="1">
      <alignment horizontal="center" vertical="center"/>
      <protection hidden="1"/>
    </xf>
    <xf numFmtId="0" fontId="0" fillId="0" borderId="177" xfId="0" applyBorder="1" applyAlignment="1" applyProtection="1">
      <alignment horizontal="center" vertical="center"/>
      <protection hidden="1"/>
    </xf>
    <xf numFmtId="0" fontId="0" fillId="0" borderId="178" xfId="0" applyBorder="1" applyAlignment="1" applyProtection="1">
      <alignment horizontal="center" vertical="center"/>
      <protection hidden="1"/>
    </xf>
    <xf numFmtId="0" fontId="0" fillId="3" borderId="178" xfId="0" applyFill="1" applyBorder="1" applyAlignment="1" applyProtection="1">
      <alignment horizontal="center" vertical="center"/>
      <protection hidden="1"/>
    </xf>
    <xf numFmtId="0" fontId="0" fillId="0" borderId="179" xfId="0" applyBorder="1" applyAlignment="1" applyProtection="1">
      <alignment horizontal="center" vertical="center"/>
      <protection hidden="1"/>
    </xf>
    <xf numFmtId="0" fontId="0" fillId="3" borderId="180" xfId="0" applyFill="1" applyBorder="1" applyAlignment="1" applyProtection="1">
      <alignment horizontal="center" vertical="center"/>
      <protection hidden="1"/>
    </xf>
    <xf numFmtId="0" fontId="0" fillId="3" borderId="181" xfId="0" applyFill="1" applyBorder="1" applyAlignment="1" applyProtection="1">
      <alignment horizontal="center" vertical="center"/>
      <protection hidden="1"/>
    </xf>
    <xf numFmtId="0" fontId="2" fillId="0" borderId="167" xfId="0" applyFont="1" applyFill="1" applyBorder="1" applyAlignment="1" applyProtection="1">
      <alignment horizontal="left" vertical="center" wrapText="1"/>
      <protection hidden="1"/>
    </xf>
    <xf numFmtId="0" fontId="2" fillId="0" borderId="159" xfId="0" applyFont="1" applyFill="1" applyBorder="1" applyAlignment="1" applyProtection="1">
      <alignment horizontal="left" vertical="center" wrapText="1"/>
      <protection hidden="1"/>
    </xf>
    <xf numFmtId="22" fontId="40" fillId="2" borderId="39" xfId="0" applyNumberFormat="1" applyFont="1" applyFill="1" applyBorder="1" applyAlignment="1" applyProtection="1">
      <alignment horizontal="center" vertical="center" wrapText="1"/>
      <protection hidden="1"/>
    </xf>
    <xf numFmtId="0" fontId="41" fillId="2" borderId="185" xfId="0" applyFont="1" applyFill="1" applyBorder="1" applyAlignment="1" applyProtection="1">
      <alignment horizontal="left" vertical="center" wrapText="1"/>
      <protection hidden="1"/>
    </xf>
    <xf numFmtId="0" fontId="41" fillId="2" borderId="128" xfId="0" applyFont="1" applyFill="1" applyBorder="1" applyAlignment="1" applyProtection="1">
      <alignment horizontal="left" vertical="center" wrapText="1"/>
      <protection hidden="1"/>
    </xf>
    <xf numFmtId="0" fontId="41" fillId="2" borderId="130" xfId="0" applyFont="1" applyFill="1" applyBorder="1" applyAlignment="1" applyProtection="1">
      <alignment horizontal="left" vertical="center" wrapText="1"/>
      <protection hidden="1"/>
    </xf>
    <xf numFmtId="0" fontId="38" fillId="2" borderId="126" xfId="0" applyFont="1" applyFill="1" applyBorder="1" applyAlignment="1" applyProtection="1">
      <alignment horizontal="center" vertical="center" wrapText="1"/>
      <protection hidden="1"/>
    </xf>
    <xf numFmtId="0" fontId="38" fillId="2" borderId="130" xfId="0" applyFont="1" applyFill="1" applyBorder="1" applyAlignment="1" applyProtection="1">
      <alignment horizontal="center" vertical="center" wrapText="1"/>
      <protection hidden="1"/>
    </xf>
    <xf numFmtId="0" fontId="38" fillId="2" borderId="185" xfId="0" applyFont="1" applyFill="1" applyBorder="1" applyAlignment="1" applyProtection="1">
      <alignment horizontal="center" vertical="center" wrapText="1"/>
      <protection hidden="1"/>
    </xf>
    <xf numFmtId="0" fontId="38" fillId="2" borderId="128" xfId="0" applyFont="1" applyFill="1" applyBorder="1" applyAlignment="1" applyProtection="1">
      <alignment horizontal="center" vertical="center" wrapText="1"/>
      <protection hidden="1"/>
    </xf>
    <xf numFmtId="0" fontId="38" fillId="2" borderId="126" xfId="0" applyFont="1" applyFill="1" applyBorder="1" applyAlignment="1" applyProtection="1">
      <alignment horizontal="left" vertical="center" wrapText="1"/>
      <protection hidden="1"/>
    </xf>
    <xf numFmtId="0" fontId="38" fillId="2" borderId="128" xfId="0" applyFont="1" applyFill="1" applyBorder="1" applyAlignment="1" applyProtection="1">
      <alignment horizontal="left" vertical="center" wrapText="1"/>
      <protection hidden="1"/>
    </xf>
    <xf numFmtId="22" fontId="40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3" fillId="2" borderId="186" xfId="1" applyFont="1" applyFill="1" applyBorder="1" applyAlignment="1" applyProtection="1">
      <alignment horizontal="center" vertical="center" wrapText="1"/>
      <protection hidden="1"/>
    </xf>
    <xf numFmtId="0" fontId="42" fillId="0" borderId="82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20" fillId="14" borderId="64" xfId="0" applyFont="1" applyFill="1" applyBorder="1" applyAlignment="1" applyProtection="1">
      <alignment horizontal="center" vertical="center" wrapText="1"/>
      <protection locked="0" hidden="1"/>
    </xf>
    <xf numFmtId="0" fontId="38" fillId="2" borderId="52" xfId="0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/>
    <xf numFmtId="0" fontId="0" fillId="0" borderId="6" xfId="0" applyFill="1" applyBorder="1"/>
    <xf numFmtId="0" fontId="10" fillId="0" borderId="1" xfId="0" applyFont="1" applyFill="1" applyBorder="1"/>
    <xf numFmtId="0" fontId="0" fillId="0" borderId="2" xfId="0" applyFill="1" applyBorder="1"/>
    <xf numFmtId="0" fontId="8" fillId="5" borderId="1" xfId="0" applyFont="1" applyFill="1" applyBorder="1"/>
    <xf numFmtId="0" fontId="0" fillId="0" borderId="2" xfId="0" applyBorder="1"/>
    <xf numFmtId="0" fontId="0" fillId="0" borderId="192" xfId="0" applyFill="1" applyBorder="1"/>
    <xf numFmtId="0" fontId="0" fillId="0" borderId="20" xfId="0" applyBorder="1"/>
    <xf numFmtId="0" fontId="50" fillId="0" borderId="195" xfId="0" applyFont="1" applyFill="1" applyBorder="1" applyAlignment="1" applyProtection="1">
      <alignment vertical="center" wrapText="1"/>
    </xf>
    <xf numFmtId="0" fontId="12" fillId="4" borderId="193" xfId="0" applyFont="1" applyFill="1" applyBorder="1" applyAlignment="1" applyProtection="1">
      <alignment horizontal="center" vertical="center"/>
      <protection hidden="1"/>
    </xf>
    <xf numFmtId="0" fontId="12" fillId="0" borderId="193" xfId="0" applyFont="1" applyFill="1" applyBorder="1" applyAlignment="1" applyProtection="1">
      <alignment horizontal="center" vertical="center"/>
      <protection hidden="1"/>
    </xf>
    <xf numFmtId="0" fontId="0" fillId="3" borderId="193" xfId="0" applyFill="1" applyBorder="1" applyAlignment="1" applyProtection="1">
      <alignment horizontal="center" vertical="center"/>
      <protection hidden="1"/>
    </xf>
    <xf numFmtId="0" fontId="0" fillId="0" borderId="193" xfId="0" applyBorder="1" applyAlignment="1" applyProtection="1">
      <alignment horizontal="center" vertical="center"/>
      <protection hidden="1"/>
    </xf>
    <xf numFmtId="0" fontId="16" fillId="0" borderId="193" xfId="1" applyFill="1" applyBorder="1" applyAlignment="1" applyProtection="1">
      <alignment horizontal="center" vertical="center" wrapText="1"/>
      <protection hidden="1"/>
    </xf>
    <xf numFmtId="0" fontId="16" fillId="0" borderId="193" xfId="1" applyBorder="1" applyAlignment="1" applyProtection="1">
      <alignment horizontal="center" vertical="center"/>
      <protection hidden="1"/>
    </xf>
    <xf numFmtId="0" fontId="13" fillId="0" borderId="193" xfId="0" applyFont="1" applyFill="1" applyBorder="1" applyAlignment="1" applyProtection="1">
      <alignment horizontal="center" vertical="center" wrapText="1"/>
      <protection hidden="1"/>
    </xf>
    <xf numFmtId="0" fontId="13" fillId="3" borderId="193" xfId="0" applyFont="1" applyFill="1" applyBorder="1" applyAlignment="1" applyProtection="1">
      <alignment horizontal="center" vertical="center"/>
      <protection hidden="1"/>
    </xf>
    <xf numFmtId="0" fontId="13" fillId="0" borderId="193" xfId="0" applyFont="1" applyBorder="1" applyAlignment="1" applyProtection="1">
      <alignment horizontal="center" vertical="center"/>
      <protection hidden="1"/>
    </xf>
    <xf numFmtId="0" fontId="2" fillId="0" borderId="193" xfId="0" applyFont="1" applyFill="1" applyBorder="1" applyAlignment="1" applyProtection="1">
      <alignment horizontal="left" vertical="center" wrapText="1"/>
      <protection hidden="1"/>
    </xf>
    <xf numFmtId="0" fontId="12" fillId="0" borderId="199" xfId="0" applyFont="1" applyFill="1" applyBorder="1" applyAlignment="1" applyProtection="1">
      <alignment horizontal="center" vertical="center"/>
      <protection hidden="1"/>
    </xf>
    <xf numFmtId="0" fontId="0" fillId="0" borderId="199" xfId="0" applyBorder="1" applyAlignment="1" applyProtection="1">
      <alignment horizontal="center" vertical="center"/>
      <protection hidden="1"/>
    </xf>
    <xf numFmtId="0" fontId="13" fillId="0" borderId="199" xfId="0" applyFont="1" applyBorder="1" applyAlignment="1" applyProtection="1">
      <alignment horizontal="center" vertical="center"/>
      <protection hidden="1"/>
    </xf>
    <xf numFmtId="0" fontId="12" fillId="4" borderId="203" xfId="0" applyFont="1" applyFill="1" applyBorder="1" applyAlignment="1" applyProtection="1">
      <alignment horizontal="center" vertical="center"/>
      <protection hidden="1"/>
    </xf>
    <xf numFmtId="0" fontId="0" fillId="3" borderId="203" xfId="0" applyFill="1" applyBorder="1" applyAlignment="1" applyProtection="1">
      <alignment horizontal="center" vertical="center"/>
      <protection hidden="1"/>
    </xf>
    <xf numFmtId="0" fontId="13" fillId="3" borderId="203" xfId="0" applyFont="1" applyFill="1" applyBorder="1" applyAlignment="1" applyProtection="1">
      <alignment horizontal="center" vertical="center"/>
      <protection hidden="1"/>
    </xf>
    <xf numFmtId="0" fontId="1" fillId="0" borderId="54" xfId="0" applyFont="1" applyFill="1" applyBorder="1" applyAlignment="1" applyProtection="1">
      <alignment vertical="center"/>
    </xf>
    <xf numFmtId="0" fontId="0" fillId="0" borderId="54" xfId="0" applyFill="1" applyBorder="1" applyAlignment="1" applyProtection="1">
      <alignment vertical="center"/>
    </xf>
    <xf numFmtId="0" fontId="13" fillId="0" borderId="54" xfId="0" applyFont="1" applyFill="1" applyBorder="1" applyAlignment="1" applyProtection="1">
      <alignment vertical="center"/>
    </xf>
    <xf numFmtId="0" fontId="0" fillId="0" borderId="54" xfId="0" applyBorder="1" applyAlignment="1" applyProtection="1">
      <alignment vertical="center"/>
    </xf>
    <xf numFmtId="0" fontId="0" fillId="0" borderId="193" xfId="0" applyFont="1" applyFill="1" applyBorder="1" applyAlignment="1" applyProtection="1">
      <alignment horizontal="center" vertical="center" wrapText="1"/>
      <protection hidden="1"/>
    </xf>
    <xf numFmtId="0" fontId="0" fillId="0" borderId="193" xfId="0" applyFont="1" applyBorder="1" applyAlignment="1" applyProtection="1">
      <alignment horizontal="center" vertical="center"/>
      <protection hidden="1"/>
    </xf>
    <xf numFmtId="0" fontId="0" fillId="3" borderId="193" xfId="0" applyFont="1" applyFill="1" applyBorder="1" applyAlignment="1" applyProtection="1">
      <alignment horizontal="center" vertical="center"/>
      <protection hidden="1"/>
    </xf>
    <xf numFmtId="0" fontId="0" fillId="3" borderId="203" xfId="0" applyFont="1" applyFill="1" applyBorder="1" applyAlignment="1" applyProtection="1">
      <alignment horizontal="center" vertical="center"/>
      <protection hidden="1"/>
    </xf>
    <xf numFmtId="0" fontId="0" fillId="0" borderId="199" xfId="0" applyFont="1" applyBorder="1" applyAlignment="1" applyProtection="1">
      <alignment horizontal="center" vertical="center"/>
      <protection hidden="1"/>
    </xf>
    <xf numFmtId="0" fontId="0" fillId="0" borderId="200" xfId="0" applyFill="1" applyBorder="1" applyAlignment="1" applyProtection="1">
      <alignment horizontal="center" vertical="center" wrapText="1"/>
      <protection hidden="1"/>
    </xf>
    <xf numFmtId="0" fontId="0" fillId="0" borderId="200" xfId="0" applyFill="1" applyBorder="1" applyAlignment="1" applyProtection="1">
      <alignment horizontal="center" vertical="center"/>
      <protection hidden="1"/>
    </xf>
    <xf numFmtId="0" fontId="0" fillId="0" borderId="209" xfId="0" applyFill="1" applyBorder="1" applyAlignment="1" applyProtection="1">
      <alignment horizontal="center" vertical="center"/>
      <protection hidden="1"/>
    </xf>
    <xf numFmtId="0" fontId="56" fillId="0" borderId="209" xfId="0" applyFont="1" applyFill="1" applyBorder="1" applyAlignment="1" applyProtection="1">
      <alignment vertical="center"/>
      <protection hidden="1"/>
    </xf>
    <xf numFmtId="0" fontId="0" fillId="3" borderId="213" xfId="0" applyFont="1" applyFill="1" applyBorder="1" applyAlignment="1" applyProtection="1">
      <alignment horizontal="center" vertical="center"/>
      <protection hidden="1"/>
    </xf>
    <xf numFmtId="0" fontId="0" fillId="0" borderId="209" xfId="0" applyFont="1" applyBorder="1" applyAlignment="1" applyProtection="1">
      <alignment horizontal="center" vertical="center"/>
      <protection hidden="1"/>
    </xf>
    <xf numFmtId="0" fontId="0" fillId="0" borderId="193" xfId="0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204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</xf>
    <xf numFmtId="0" fontId="12" fillId="4" borderId="214" xfId="0" applyFont="1" applyFill="1" applyBorder="1" applyAlignment="1" applyProtection="1">
      <alignment horizontal="center" vertical="center"/>
      <protection hidden="1"/>
    </xf>
    <xf numFmtId="0" fontId="0" fillId="3" borderId="214" xfId="0" applyFill="1" applyBorder="1" applyAlignment="1" applyProtection="1">
      <alignment horizontal="center" vertical="center"/>
      <protection hidden="1"/>
    </xf>
    <xf numFmtId="0" fontId="0" fillId="3" borderId="214" xfId="0" applyFont="1" applyFill="1" applyBorder="1" applyAlignment="1" applyProtection="1">
      <alignment horizontal="center" vertical="center"/>
      <protection hidden="1"/>
    </xf>
    <xf numFmtId="0" fontId="13" fillId="3" borderId="214" xfId="0" applyFont="1" applyFill="1" applyBorder="1" applyAlignment="1" applyProtection="1">
      <alignment horizontal="center" vertical="center"/>
      <protection hidden="1"/>
    </xf>
    <xf numFmtId="0" fontId="0" fillId="0" borderId="219" xfId="0" applyFill="1" applyBorder="1" applyAlignment="1" applyProtection="1">
      <alignment horizontal="center" vertical="center"/>
      <protection hidden="1"/>
    </xf>
    <xf numFmtId="0" fontId="3" fillId="0" borderId="209" xfId="0" applyFont="1" applyFill="1" applyBorder="1" applyAlignment="1" applyProtection="1">
      <alignment vertical="center" wrapText="1"/>
      <protection hidden="1"/>
    </xf>
    <xf numFmtId="0" fontId="3" fillId="0" borderId="196" xfId="0" applyFont="1" applyFill="1" applyBorder="1" applyAlignment="1" applyProtection="1">
      <alignment vertical="center" wrapText="1"/>
      <protection hidden="1"/>
    </xf>
    <xf numFmtId="0" fontId="16" fillId="0" borderId="196" xfId="0" applyFont="1" applyFill="1" applyBorder="1" applyAlignment="1" applyProtection="1">
      <alignment vertical="center" wrapText="1"/>
      <protection hidden="1"/>
    </xf>
    <xf numFmtId="0" fontId="4" fillId="0" borderId="199" xfId="0" applyFont="1" applyFill="1" applyBorder="1" applyAlignment="1" applyProtection="1">
      <alignment horizontal="center" vertical="center" wrapText="1"/>
      <protection hidden="1"/>
    </xf>
    <xf numFmtId="0" fontId="71" fillId="0" borderId="0" xfId="0" applyFont="1" applyAlignment="1" applyProtection="1">
      <alignment vertical="center"/>
    </xf>
    <xf numFmtId="0" fontId="71" fillId="0" borderId="209" xfId="0" applyFont="1" applyFill="1" applyBorder="1" applyAlignment="1" applyProtection="1">
      <alignment horizontal="center" vertical="center" wrapText="1"/>
      <protection hidden="1"/>
    </xf>
    <xf numFmtId="0" fontId="71" fillId="3" borderId="193" xfId="0" applyFont="1" applyFill="1" applyBorder="1" applyAlignment="1" applyProtection="1">
      <alignment horizontal="center" vertical="center"/>
      <protection hidden="1"/>
    </xf>
    <xf numFmtId="0" fontId="71" fillId="0" borderId="209" xfId="0" applyFont="1" applyFill="1" applyBorder="1" applyAlignment="1" applyProtection="1">
      <alignment horizontal="center" vertical="center"/>
      <protection hidden="1"/>
    </xf>
    <xf numFmtId="0" fontId="71" fillId="0" borderId="209" xfId="0" applyFont="1" applyFill="1" applyBorder="1" applyAlignment="1" applyProtection="1">
      <alignment vertical="center"/>
      <protection hidden="1"/>
    </xf>
    <xf numFmtId="0" fontId="71" fillId="3" borderId="214" xfId="0" applyFont="1" applyFill="1" applyBorder="1" applyAlignment="1" applyProtection="1">
      <alignment horizontal="center" vertical="center"/>
      <protection hidden="1"/>
    </xf>
    <xf numFmtId="0" fontId="71" fillId="3" borderId="213" xfId="0" applyFont="1" applyFill="1" applyBorder="1" applyAlignment="1" applyProtection="1">
      <alignment horizontal="center" vertical="center"/>
      <protection hidden="1"/>
    </xf>
    <xf numFmtId="0" fontId="20" fillId="0" borderId="201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/>
    <xf numFmtId="0" fontId="13" fillId="0" borderId="256" xfId="0" applyFont="1" applyFill="1" applyBorder="1" applyAlignment="1" applyProtection="1">
      <alignment vertical="center" wrapText="1"/>
      <protection locked="0" hidden="1"/>
    </xf>
    <xf numFmtId="0" fontId="1" fillId="0" borderId="207" xfId="0" applyFont="1" applyFill="1" applyBorder="1" applyAlignment="1" applyProtection="1">
      <alignment horizontal="center" vertical="center" wrapText="1"/>
      <protection hidden="1"/>
    </xf>
    <xf numFmtId="0" fontId="1" fillId="0" borderId="207" xfId="0" applyFont="1" applyFill="1" applyBorder="1" applyAlignment="1" applyProtection="1">
      <alignment vertical="center" wrapText="1"/>
      <protection hidden="1"/>
    </xf>
    <xf numFmtId="0" fontId="4" fillId="0" borderId="211" xfId="0" applyFont="1" applyFill="1" applyBorder="1" applyAlignment="1" applyProtection="1">
      <alignment horizontal="center" vertical="center" wrapText="1"/>
      <protection hidden="1"/>
    </xf>
    <xf numFmtId="0" fontId="16" fillId="0" borderId="226" xfId="0" applyFont="1" applyFill="1" applyBorder="1" applyAlignment="1" applyProtection="1">
      <alignment vertical="center" wrapText="1"/>
      <protection hidden="1"/>
    </xf>
    <xf numFmtId="0" fontId="7" fillId="9" borderId="281" xfId="0" applyFont="1" applyFill="1" applyBorder="1" applyAlignment="1" applyProtection="1">
      <alignment vertical="center" wrapText="1"/>
      <protection locked="0" hidden="1"/>
    </xf>
    <xf numFmtId="0" fontId="26" fillId="0" borderId="258" xfId="0" applyFont="1" applyFill="1" applyBorder="1" applyAlignment="1" applyProtection="1">
      <alignment vertical="center" wrapText="1"/>
      <protection hidden="1"/>
    </xf>
    <xf numFmtId="0" fontId="13" fillId="0" borderId="320" xfId="0" applyFont="1" applyFill="1" applyBorder="1" applyAlignment="1" applyProtection="1">
      <alignment vertical="center" wrapText="1"/>
      <protection locked="0" hidden="1"/>
    </xf>
    <xf numFmtId="0" fontId="20" fillId="0" borderId="287" xfId="0" applyFont="1" applyFill="1" applyBorder="1" applyAlignment="1" applyProtection="1">
      <alignment horizontal="center" vertical="center" wrapText="1"/>
      <protection hidden="1"/>
    </xf>
    <xf numFmtId="0" fontId="26" fillId="0" borderId="321" xfId="0" applyFont="1" applyFill="1" applyBorder="1" applyAlignment="1" applyProtection="1">
      <alignment vertical="center" wrapText="1"/>
      <protection hidden="1"/>
    </xf>
    <xf numFmtId="0" fontId="76" fillId="0" borderId="0" xfId="0" applyFont="1" applyFill="1" applyBorder="1" applyAlignment="1" applyProtection="1">
      <alignment vertical="center" wrapText="1"/>
      <protection hidden="1"/>
    </xf>
    <xf numFmtId="0" fontId="76" fillId="0" borderId="0" xfId="0" applyFont="1" applyFill="1" applyBorder="1" applyAlignment="1" applyProtection="1">
      <alignment horizontal="center" vertical="center" wrapText="1"/>
      <protection hidden="1"/>
    </xf>
    <xf numFmtId="0" fontId="76" fillId="0" borderId="200" xfId="0" applyFont="1" applyFill="1" applyBorder="1" applyAlignment="1" applyProtection="1">
      <alignment horizontal="center" vertical="center" wrapText="1"/>
      <protection hidden="1"/>
    </xf>
    <xf numFmtId="22" fontId="77" fillId="2" borderId="196" xfId="0" applyNumberFormat="1" applyFont="1" applyFill="1" applyBorder="1" applyAlignment="1" applyProtection="1">
      <alignment horizontal="center" vertical="center" wrapText="1"/>
      <protection hidden="1"/>
    </xf>
    <xf numFmtId="0" fontId="76" fillId="2" borderId="196" xfId="0" applyFont="1" applyFill="1" applyBorder="1" applyAlignment="1" applyProtection="1">
      <alignment horizontal="left" vertical="center" wrapText="1"/>
      <protection hidden="1"/>
    </xf>
    <xf numFmtId="0" fontId="76" fillId="2" borderId="196" xfId="0" applyFont="1" applyFill="1" applyBorder="1" applyAlignment="1" applyProtection="1">
      <alignment horizontal="center" vertical="center" wrapText="1"/>
      <protection hidden="1"/>
    </xf>
    <xf numFmtId="0" fontId="77" fillId="2" borderId="196" xfId="1" applyFont="1" applyFill="1" applyBorder="1" applyAlignment="1" applyProtection="1">
      <alignment horizontal="center" vertical="center" wrapText="1"/>
      <protection hidden="1"/>
    </xf>
    <xf numFmtId="0" fontId="76" fillId="0" borderId="0" xfId="0" applyFont="1" applyAlignment="1" applyProtection="1">
      <alignment vertical="center" wrapText="1"/>
    </xf>
    <xf numFmtId="0" fontId="78" fillId="2" borderId="196" xfId="0" applyFont="1" applyFill="1" applyBorder="1" applyAlignment="1" applyProtection="1">
      <alignment horizontal="center" vertical="center" wrapText="1"/>
      <protection hidden="1"/>
    </xf>
    <xf numFmtId="22" fontId="77" fillId="2" borderId="196" xfId="1" applyNumberFormat="1" applyFont="1" applyFill="1" applyBorder="1" applyAlignment="1" applyProtection="1">
      <alignment horizontal="center" vertical="center" wrapText="1"/>
      <protection hidden="1"/>
    </xf>
    <xf numFmtId="0" fontId="16" fillId="0" borderId="209" xfId="0" applyFont="1" applyFill="1" applyBorder="1" applyAlignment="1" applyProtection="1">
      <alignment vertical="center" wrapText="1"/>
      <protection hidden="1"/>
    </xf>
    <xf numFmtId="0" fontId="2" fillId="0" borderId="212" xfId="0" applyFont="1" applyFill="1" applyBorder="1" applyAlignment="1" applyProtection="1">
      <alignment wrapText="1"/>
      <protection hidden="1"/>
    </xf>
    <xf numFmtId="0" fontId="0" fillId="0" borderId="269" xfId="0" applyFill="1" applyBorder="1" applyAlignment="1" applyProtection="1">
      <alignment vertical="center"/>
    </xf>
    <xf numFmtId="0" fontId="4" fillId="0" borderId="325" xfId="0" applyFont="1" applyFill="1" applyBorder="1" applyAlignment="1" applyProtection="1">
      <alignment vertical="center"/>
      <protection hidden="1"/>
    </xf>
    <xf numFmtId="0" fontId="0" fillId="0" borderId="1" xfId="0" applyFill="1" applyBorder="1" applyAlignment="1">
      <alignment horizontal="center"/>
    </xf>
    <xf numFmtId="0" fontId="12" fillId="0" borderId="196" xfId="0" applyFont="1" applyFill="1" applyBorder="1" applyAlignment="1" applyProtection="1">
      <alignment horizontal="center" vertical="center"/>
      <protection hidden="1"/>
    </xf>
    <xf numFmtId="0" fontId="0" fillId="0" borderId="196" xfId="0" applyBorder="1" applyAlignment="1" applyProtection="1">
      <alignment horizontal="center" vertical="center"/>
      <protection hidden="1"/>
    </xf>
    <xf numFmtId="0" fontId="13" fillId="0" borderId="196" xfId="0" applyFont="1" applyBorder="1" applyAlignment="1" applyProtection="1">
      <alignment horizontal="center" vertical="center"/>
      <protection hidden="1"/>
    </xf>
    <xf numFmtId="0" fontId="0" fillId="0" borderId="196" xfId="0" applyFont="1" applyBorder="1" applyAlignment="1" applyProtection="1">
      <alignment horizontal="center" vertical="center"/>
      <protection hidden="1"/>
    </xf>
    <xf numFmtId="0" fontId="16" fillId="0" borderId="196" xfId="1" applyBorder="1" applyAlignment="1" applyProtection="1">
      <alignment horizontal="center" vertical="center"/>
      <protection hidden="1"/>
    </xf>
    <xf numFmtId="0" fontId="20" fillId="0" borderId="43" xfId="0" applyFont="1" applyFill="1" applyBorder="1" applyAlignment="1" applyProtection="1">
      <alignment vertical="center"/>
    </xf>
    <xf numFmtId="0" fontId="20" fillId="2" borderId="196" xfId="0" applyFont="1" applyFill="1" applyBorder="1" applyAlignment="1" applyProtection="1">
      <alignment horizontal="center" vertical="center" wrapText="1"/>
      <protection hidden="1"/>
    </xf>
    <xf numFmtId="0" fontId="13" fillId="0" borderId="209" xfId="0" applyFont="1" applyFill="1" applyBorder="1" applyAlignment="1" applyProtection="1">
      <alignment horizontal="center" vertical="center" wrapText="1"/>
      <protection hidden="1"/>
    </xf>
    <xf numFmtId="0" fontId="13" fillId="0" borderId="209" xfId="0" applyFont="1" applyBorder="1" applyAlignment="1" applyProtection="1">
      <alignment horizontal="center" vertical="center"/>
      <protection hidden="1"/>
    </xf>
    <xf numFmtId="0" fontId="13" fillId="3" borderId="213" xfId="0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Alignment="1" applyProtection="1">
      <alignment vertical="center"/>
    </xf>
    <xf numFmtId="22" fontId="47" fillId="2" borderId="196" xfId="0" applyNumberFormat="1" applyFont="1" applyFill="1" applyBorder="1" applyAlignment="1" applyProtection="1">
      <alignment horizontal="center" vertical="center" wrapText="1"/>
      <protection hidden="1"/>
    </xf>
    <xf numFmtId="0" fontId="60" fillId="0" borderId="54" xfId="0" applyFont="1" applyFill="1" applyBorder="1" applyAlignment="1" applyProtection="1">
      <alignment horizontal="center" vertical="center" textRotation="90" wrapText="1"/>
      <protection hidden="1"/>
    </xf>
    <xf numFmtId="0" fontId="60" fillId="0" borderId="210" xfId="0" applyFont="1" applyFill="1" applyBorder="1" applyAlignment="1" applyProtection="1">
      <alignment horizontal="center" vertical="center" textRotation="90" wrapText="1"/>
      <protection hidden="1"/>
    </xf>
    <xf numFmtId="0" fontId="13" fillId="9" borderId="201" xfId="0" applyFont="1" applyFill="1" applyBorder="1" applyAlignment="1" applyProtection="1">
      <alignment horizontal="center" vertical="center" wrapText="1"/>
      <protection locked="0" hidden="1"/>
    </xf>
    <xf numFmtId="0" fontId="13" fillId="9" borderId="287" xfId="0" applyFont="1" applyFill="1" applyBorder="1" applyAlignment="1" applyProtection="1">
      <alignment horizontal="center" vertical="center" wrapText="1"/>
      <protection locked="0" hidden="1"/>
    </xf>
    <xf numFmtId="0" fontId="87" fillId="0" borderId="283" xfId="0" applyFont="1" applyFill="1" applyBorder="1" applyAlignment="1" applyProtection="1">
      <alignment horizontal="left" vertical="center"/>
      <protection hidden="1"/>
    </xf>
    <xf numFmtId="0" fontId="87" fillId="0" borderId="284" xfId="0" applyFont="1" applyFill="1" applyBorder="1" applyAlignment="1" applyProtection="1">
      <alignment horizontal="left" vertical="center"/>
      <protection hidden="1"/>
    </xf>
    <xf numFmtId="0" fontId="0" fillId="0" borderId="192" xfId="0" applyBorder="1"/>
    <xf numFmtId="0" fontId="71" fillId="13" borderId="0" xfId="0" applyFont="1" applyFill="1" applyAlignment="1" applyProtection="1">
      <alignment vertical="center"/>
    </xf>
    <xf numFmtId="0" fontId="90" fillId="0" borderId="0" xfId="0" applyFont="1"/>
    <xf numFmtId="166" fontId="50" fillId="0" borderId="0" xfId="0" applyNumberFormat="1" applyFont="1" applyBorder="1" applyAlignment="1" applyProtection="1">
      <alignment vertical="center"/>
    </xf>
    <xf numFmtId="166" fontId="50" fillId="0" borderId="232" xfId="0" applyNumberFormat="1" applyFont="1" applyBorder="1" applyAlignment="1" applyProtection="1">
      <alignment vertical="center"/>
    </xf>
    <xf numFmtId="0" fontId="60" fillId="0" borderId="0" xfId="0" applyFont="1" applyFill="1" applyBorder="1" applyAlignment="1" applyProtection="1">
      <alignment vertical="center" textRotation="90" wrapText="1"/>
      <protection hidden="1"/>
    </xf>
    <xf numFmtId="166" fontId="20" fillId="0" borderId="234" xfId="0" applyNumberFormat="1" applyFont="1" applyFill="1" applyBorder="1" applyAlignment="1" applyProtection="1">
      <alignment vertical="center"/>
    </xf>
    <xf numFmtId="166" fontId="20" fillId="0" borderId="374" xfId="0" applyNumberFormat="1" applyFont="1" applyFill="1" applyBorder="1" applyAlignment="1" applyProtection="1">
      <alignment vertical="center"/>
    </xf>
    <xf numFmtId="0" fontId="0" fillId="0" borderId="376" xfId="0" applyFill="1" applyBorder="1" applyAlignment="1" applyProtection="1">
      <alignment horizontal="center" vertical="center"/>
      <protection hidden="1"/>
    </xf>
    <xf numFmtId="0" fontId="12" fillId="4" borderId="377" xfId="0" applyFont="1" applyFill="1" applyBorder="1" applyAlignment="1" applyProtection="1">
      <alignment horizontal="center" vertical="center"/>
      <protection hidden="1"/>
    </xf>
    <xf numFmtId="0" fontId="0" fillId="3" borderId="377" xfId="0" applyFill="1" applyBorder="1" applyAlignment="1" applyProtection="1">
      <alignment horizontal="center" vertical="center"/>
      <protection hidden="1"/>
    </xf>
    <xf numFmtId="0" fontId="0" fillId="0" borderId="375" xfId="0" applyFill="1" applyBorder="1" applyAlignment="1" applyProtection="1">
      <alignment horizontal="center" vertical="center"/>
      <protection hidden="1"/>
    </xf>
    <xf numFmtId="0" fontId="12" fillId="0" borderId="378" xfId="0" applyFont="1" applyFill="1" applyBorder="1" applyAlignment="1" applyProtection="1">
      <alignment horizontal="center" vertical="center"/>
      <protection hidden="1"/>
    </xf>
    <xf numFmtId="0" fontId="0" fillId="0" borderId="378" xfId="0" applyBorder="1" applyAlignment="1" applyProtection="1">
      <alignment horizontal="center" vertical="center"/>
      <protection hidden="1"/>
    </xf>
    <xf numFmtId="0" fontId="0" fillId="3" borderId="377" xfId="0" applyFont="1" applyFill="1" applyBorder="1" applyAlignment="1" applyProtection="1">
      <alignment horizontal="center" vertical="center"/>
      <protection hidden="1"/>
    </xf>
    <xf numFmtId="0" fontId="71" fillId="3" borderId="377" xfId="0" applyFont="1" applyFill="1" applyBorder="1" applyAlignment="1" applyProtection="1">
      <alignment horizontal="center" vertical="center"/>
      <protection hidden="1"/>
    </xf>
    <xf numFmtId="0" fontId="13" fillId="3" borderId="377" xfId="0" applyFont="1" applyFill="1" applyBorder="1" applyAlignment="1" applyProtection="1">
      <alignment horizontal="center" vertical="center"/>
      <protection hidden="1"/>
    </xf>
    <xf numFmtId="0" fontId="0" fillId="3" borderId="380" xfId="0" applyFont="1" applyFill="1" applyBorder="1" applyAlignment="1" applyProtection="1">
      <alignment horizontal="center" vertical="center"/>
      <protection hidden="1"/>
    </xf>
    <xf numFmtId="0" fontId="0" fillId="0" borderId="381" xfId="0" applyFill="1" applyBorder="1" applyAlignment="1" applyProtection="1">
      <alignment horizontal="center" vertical="center"/>
      <protection hidden="1"/>
    </xf>
    <xf numFmtId="0" fontId="71" fillId="0" borderId="381" xfId="0" applyFont="1" applyFill="1" applyBorder="1" applyAlignment="1" applyProtection="1">
      <alignment horizontal="center" vertical="center"/>
      <protection hidden="1"/>
    </xf>
    <xf numFmtId="0" fontId="13" fillId="0" borderId="381" xfId="0" applyFont="1" applyBorder="1" applyAlignment="1" applyProtection="1">
      <alignment horizontal="center" vertical="center"/>
      <protection hidden="1"/>
    </xf>
    <xf numFmtId="0" fontId="13" fillId="0" borderId="378" xfId="0" applyFont="1" applyBorder="1" applyAlignment="1" applyProtection="1">
      <alignment horizontal="center" vertical="center"/>
      <protection hidden="1"/>
    </xf>
    <xf numFmtId="0" fontId="0" fillId="0" borderId="381" xfId="0" applyFont="1" applyBorder="1" applyAlignment="1" applyProtection="1">
      <alignment horizontal="center" vertical="center"/>
      <protection hidden="1"/>
    </xf>
    <xf numFmtId="0" fontId="0" fillId="0" borderId="378" xfId="0" applyFont="1" applyBorder="1" applyAlignment="1" applyProtection="1">
      <alignment horizontal="center" vertical="center"/>
      <protection hidden="1"/>
    </xf>
    <xf numFmtId="0" fontId="16" fillId="0" borderId="378" xfId="1" applyBorder="1" applyAlignment="1" applyProtection="1">
      <alignment horizontal="center" vertical="center"/>
      <protection hidden="1"/>
    </xf>
    <xf numFmtId="0" fontId="72" fillId="13" borderId="370" xfId="0" applyFont="1" applyFill="1" applyBorder="1" applyAlignment="1" applyProtection="1">
      <alignment vertical="center" wrapText="1"/>
      <protection hidden="1"/>
    </xf>
    <xf numFmtId="0" fontId="29" fillId="13" borderId="0" xfId="0" applyFont="1" applyFill="1" applyBorder="1" applyAlignment="1" applyProtection="1">
      <alignment horizontal="left"/>
      <protection locked="0" hidden="1"/>
    </xf>
    <xf numFmtId="0" fontId="86" fillId="13" borderId="0" xfId="0" applyFont="1" applyFill="1" applyBorder="1" applyAlignment="1" applyProtection="1">
      <alignment horizontal="left"/>
      <protection locked="0" hidden="1"/>
    </xf>
    <xf numFmtId="0" fontId="23" fillId="13" borderId="0" xfId="0" applyFont="1" applyFill="1" applyBorder="1" applyAlignment="1" applyProtection="1">
      <alignment horizontal="left"/>
      <protection hidden="1"/>
    </xf>
    <xf numFmtId="0" fontId="13" fillId="13" borderId="0" xfId="0" applyFont="1" applyFill="1" applyBorder="1" applyAlignment="1" applyProtection="1">
      <alignment horizontal="right"/>
      <protection locked="0" hidden="1"/>
    </xf>
    <xf numFmtId="0" fontId="26" fillId="13" borderId="0" xfId="0" applyFont="1" applyFill="1" applyBorder="1" applyAlignment="1" applyProtection="1">
      <alignment horizontal="left"/>
      <protection hidden="1"/>
    </xf>
    <xf numFmtId="165" fontId="0" fillId="13" borderId="0" xfId="0" applyNumberFormat="1" applyFont="1" applyFill="1" applyBorder="1" applyAlignment="1" applyProtection="1">
      <alignment horizontal="right"/>
      <protection hidden="1"/>
    </xf>
    <xf numFmtId="0" fontId="0" fillId="13" borderId="0" xfId="0" applyFont="1" applyFill="1" applyBorder="1" applyAlignment="1" applyProtection="1">
      <alignment horizontal="center"/>
      <protection hidden="1"/>
    </xf>
    <xf numFmtId="0" fontId="7" fillId="13" borderId="0" xfId="0" applyFont="1" applyFill="1" applyBorder="1" applyAlignment="1" applyProtection="1">
      <alignment horizontal="center"/>
      <protection locked="0" hidden="1"/>
    </xf>
    <xf numFmtId="0" fontId="76" fillId="2" borderId="226" xfId="0" applyFont="1" applyFill="1" applyBorder="1" applyAlignment="1" applyProtection="1">
      <alignment horizontal="center" vertical="center" wrapText="1"/>
      <protection hidden="1"/>
    </xf>
    <xf numFmtId="0" fontId="0" fillId="0" borderId="207" xfId="0" applyFill="1" applyBorder="1" applyAlignment="1" applyProtection="1">
      <alignment horizontal="center" vertical="center" wrapText="1"/>
      <protection hidden="1"/>
    </xf>
    <xf numFmtId="0" fontId="0" fillId="3" borderId="207" xfId="0" applyFill="1" applyBorder="1" applyAlignment="1" applyProtection="1">
      <alignment horizontal="center" vertical="center"/>
      <protection hidden="1"/>
    </xf>
    <xf numFmtId="0" fontId="0" fillId="0" borderId="207" xfId="0" applyBorder="1" applyAlignment="1" applyProtection="1">
      <alignment horizontal="center" vertical="center"/>
      <protection hidden="1"/>
    </xf>
    <xf numFmtId="0" fontId="0" fillId="0" borderId="386" xfId="0" applyBorder="1" applyAlignment="1" applyProtection="1">
      <alignment horizontal="center" vertical="center"/>
      <protection hidden="1"/>
    </xf>
    <xf numFmtId="0" fontId="0" fillId="3" borderId="380" xfId="0" applyFill="1" applyBorder="1" applyAlignment="1" applyProtection="1">
      <alignment horizontal="center" vertical="center"/>
      <protection hidden="1"/>
    </xf>
    <xf numFmtId="0" fontId="0" fillId="0" borderId="226" xfId="0" applyBorder="1" applyAlignment="1" applyProtection="1">
      <alignment horizontal="center" vertical="center"/>
      <protection hidden="1"/>
    </xf>
    <xf numFmtId="0" fontId="0" fillId="0" borderId="211" xfId="0" applyBorder="1" applyAlignment="1" applyProtection="1">
      <alignment horizontal="center" vertical="center"/>
      <protection hidden="1"/>
    </xf>
    <xf numFmtId="0" fontId="0" fillId="3" borderId="387" xfId="0" applyFill="1" applyBorder="1" applyAlignment="1" applyProtection="1">
      <alignment horizontal="center" vertical="center"/>
      <protection hidden="1"/>
    </xf>
    <xf numFmtId="0" fontId="0" fillId="3" borderId="388" xfId="0" applyFill="1" applyBorder="1" applyAlignment="1" applyProtection="1">
      <alignment horizontal="center" vertical="center"/>
      <protection hidden="1"/>
    </xf>
    <xf numFmtId="0" fontId="76" fillId="2" borderId="197" xfId="0" applyFont="1" applyFill="1" applyBorder="1" applyAlignment="1" applyProtection="1">
      <alignment horizontal="center" vertical="center" wrapText="1"/>
      <protection hidden="1"/>
    </xf>
    <xf numFmtId="0" fontId="0" fillId="0" borderId="223" xfId="0" applyFill="1" applyBorder="1" applyAlignment="1" applyProtection="1">
      <alignment horizontal="center" vertical="center" wrapText="1"/>
      <protection hidden="1"/>
    </xf>
    <xf numFmtId="0" fontId="0" fillId="3" borderId="223" xfId="0" applyFill="1" applyBorder="1" applyAlignment="1" applyProtection="1">
      <alignment horizontal="center" vertical="center"/>
      <protection hidden="1"/>
    </xf>
    <xf numFmtId="0" fontId="0" fillId="0" borderId="223" xfId="0" applyBorder="1" applyAlignment="1" applyProtection="1">
      <alignment horizontal="center" vertical="center"/>
      <protection hidden="1"/>
    </xf>
    <xf numFmtId="0" fontId="0" fillId="0" borderId="389" xfId="0" applyBorder="1" applyAlignment="1" applyProtection="1">
      <alignment horizontal="center" vertical="center"/>
      <protection hidden="1"/>
    </xf>
    <xf numFmtId="0" fontId="0" fillId="3" borderId="376" xfId="0" applyFill="1" applyBorder="1" applyAlignment="1" applyProtection="1">
      <alignment horizontal="center" vertical="center"/>
      <protection hidden="1"/>
    </xf>
    <xf numFmtId="0" fontId="0" fillId="0" borderId="197" xfId="0" applyBorder="1" applyAlignment="1" applyProtection="1">
      <alignment horizontal="center" vertical="center"/>
      <protection hidden="1"/>
    </xf>
    <xf numFmtId="0" fontId="0" fillId="0" borderId="227" xfId="0" applyBorder="1" applyAlignment="1" applyProtection="1">
      <alignment horizontal="center" vertical="center"/>
      <protection hidden="1"/>
    </xf>
    <xf numFmtId="0" fontId="0" fillId="3" borderId="390" xfId="0" applyFill="1" applyBorder="1" applyAlignment="1" applyProtection="1">
      <alignment horizontal="center" vertical="center"/>
      <protection hidden="1"/>
    </xf>
    <xf numFmtId="0" fontId="56" fillId="0" borderId="0" xfId="0" applyFont="1" applyFill="1" applyAlignment="1" applyProtection="1">
      <alignment vertical="center"/>
    </xf>
    <xf numFmtId="0" fontId="0" fillId="3" borderId="391" xfId="0" applyFill="1" applyBorder="1" applyAlignment="1" applyProtection="1">
      <alignment horizontal="center" vertical="center"/>
      <protection hidden="1"/>
    </xf>
    <xf numFmtId="0" fontId="12" fillId="4" borderId="392" xfId="0" applyFont="1" applyFill="1" applyBorder="1" applyAlignment="1" applyProtection="1">
      <alignment horizontal="center" vertical="center"/>
      <protection hidden="1"/>
    </xf>
    <xf numFmtId="0" fontId="72" fillId="13" borderId="0" xfId="0" applyFont="1" applyFill="1" applyBorder="1" applyAlignment="1" applyProtection="1">
      <alignment vertical="center"/>
    </xf>
    <xf numFmtId="0" fontId="92" fillId="13" borderId="0" xfId="0" applyFont="1" applyFill="1" applyBorder="1" applyAlignment="1" applyProtection="1">
      <alignment vertical="center"/>
      <protection hidden="1"/>
    </xf>
    <xf numFmtId="0" fontId="72" fillId="13" borderId="0" xfId="0" applyFont="1" applyFill="1" applyBorder="1" applyAlignment="1" applyProtection="1">
      <alignment vertical="center"/>
      <protection hidden="1"/>
    </xf>
    <xf numFmtId="0" fontId="76" fillId="2" borderId="0" xfId="0" applyFont="1" applyFill="1" applyBorder="1" applyAlignment="1" applyProtection="1">
      <alignment horizontal="center" vertical="center" wrapText="1"/>
      <protection hidden="1"/>
    </xf>
    <xf numFmtId="0" fontId="0" fillId="19" borderId="0" xfId="0" applyFill="1" applyBorder="1" applyAlignment="1">
      <alignment horizontal="center"/>
    </xf>
    <xf numFmtId="0" fontId="0" fillId="0" borderId="0" xfId="0"/>
    <xf numFmtId="0" fontId="0" fillId="19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6" fillId="0" borderId="0" xfId="0" applyFont="1"/>
    <xf numFmtId="0" fontId="16" fillId="0" borderId="18" xfId="0" applyFont="1" applyBorder="1"/>
    <xf numFmtId="0" fontId="0" fillId="0" borderId="19" xfId="0" applyBorder="1"/>
    <xf numFmtId="0" fontId="16" fillId="0" borderId="20" xfId="0" applyFont="1" applyBorder="1" applyAlignment="1">
      <alignment horizontal="center"/>
    </xf>
    <xf numFmtId="0" fontId="16" fillId="0" borderId="19" xfId="0" applyFont="1" applyFill="1" applyBorder="1" applyAlignment="1">
      <alignment horizontal="center"/>
    </xf>
    <xf numFmtId="0" fontId="16" fillId="0" borderId="20" xfId="0" applyFont="1" applyFill="1" applyBorder="1" applyAlignment="1">
      <alignment horizontal="center"/>
    </xf>
    <xf numFmtId="0" fontId="16" fillId="0" borderId="18" xfId="0" applyFont="1" applyBorder="1" applyAlignment="1">
      <alignment horizontal="left"/>
    </xf>
    <xf numFmtId="0" fontId="0" fillId="0" borderId="63" xfId="0" applyBorder="1"/>
    <xf numFmtId="165" fontId="26" fillId="0" borderId="241" xfId="0" applyNumberFormat="1" applyFont="1" applyFill="1" applyBorder="1" applyAlignment="1" applyProtection="1">
      <alignment vertical="center" wrapText="1"/>
      <protection hidden="1"/>
    </xf>
    <xf numFmtId="165" fontId="26" fillId="0" borderId="266" xfId="0" applyNumberFormat="1" applyFont="1" applyFill="1" applyBorder="1" applyAlignment="1" applyProtection="1">
      <alignment vertical="center" wrapText="1"/>
      <protection hidden="1"/>
    </xf>
    <xf numFmtId="0" fontId="47" fillId="0" borderId="241" xfId="0" applyFont="1" applyFill="1" applyBorder="1" applyAlignment="1" applyProtection="1">
      <alignment horizontal="center" vertical="center"/>
    </xf>
    <xf numFmtId="0" fontId="26" fillId="0" borderId="241" xfId="0" applyFont="1" applyFill="1" applyBorder="1" applyAlignment="1" applyProtection="1">
      <alignment vertical="center"/>
    </xf>
    <xf numFmtId="165" fontId="26" fillId="22" borderId="241" xfId="0" applyNumberFormat="1" applyFont="1" applyFill="1" applyBorder="1" applyAlignment="1" applyProtection="1">
      <alignment vertical="center" wrapText="1"/>
      <protection hidden="1"/>
    </xf>
    <xf numFmtId="0" fontId="0" fillId="0" borderId="3" xfId="0" applyFont="1" applyFill="1" applyBorder="1"/>
    <xf numFmtId="0" fontId="0" fillId="0" borderId="1" xfId="0" applyFont="1" applyFill="1" applyBorder="1"/>
    <xf numFmtId="0" fontId="13" fillId="0" borderId="393" xfId="0" applyFont="1" applyBorder="1"/>
    <xf numFmtId="0" fontId="13" fillId="0" borderId="7" xfId="0" applyFont="1" applyBorder="1"/>
    <xf numFmtId="0" fontId="0" fillId="0" borderId="0" xfId="0"/>
    <xf numFmtId="0" fontId="0" fillId="0" borderId="209" xfId="0" applyNumberFormat="1" applyFill="1" applyBorder="1" applyAlignment="1" applyProtection="1">
      <alignment horizontal="center" vertical="center" wrapText="1"/>
      <protection hidden="1"/>
    </xf>
    <xf numFmtId="1" fontId="84" fillId="0" borderId="0" xfId="0" applyNumberFormat="1" applyFont="1" applyFill="1" applyBorder="1" applyAlignment="1" applyProtection="1">
      <alignment vertical="center" wrapText="1"/>
      <protection hidden="1"/>
    </xf>
    <xf numFmtId="1" fontId="84" fillId="0" borderId="21" xfId="0" applyNumberFormat="1" applyFont="1" applyFill="1" applyBorder="1" applyAlignment="1" applyProtection="1">
      <alignment vertical="center" wrapText="1"/>
      <protection hidden="1"/>
    </xf>
    <xf numFmtId="1" fontId="84" fillId="0" borderId="395" xfId="0" applyNumberFormat="1" applyFont="1" applyFill="1" applyBorder="1" applyAlignment="1" applyProtection="1">
      <alignment vertical="center" wrapText="1"/>
      <protection hidden="1"/>
    </xf>
    <xf numFmtId="0" fontId="0" fillId="0" borderId="0" xfId="0"/>
    <xf numFmtId="0" fontId="0" fillId="0" borderId="4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5" borderId="4" xfId="0" applyFill="1" applyBorder="1"/>
    <xf numFmtId="0" fontId="0" fillId="0" borderId="0" xfId="0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17" fontId="0" fillId="0" borderId="1" xfId="0" applyNumberFormat="1" applyBorder="1"/>
    <xf numFmtId="0" fontId="73" fillId="11" borderId="189" xfId="0" applyFont="1" applyFill="1" applyBorder="1" applyAlignment="1" applyProtection="1">
      <alignment vertical="center" wrapText="1"/>
      <protection hidden="1"/>
    </xf>
    <xf numFmtId="0" fontId="73" fillId="11" borderId="200" xfId="0" applyFont="1" applyFill="1" applyBorder="1" applyAlignment="1" applyProtection="1">
      <alignment vertical="center" wrapText="1"/>
      <protection hidden="1"/>
    </xf>
    <xf numFmtId="0" fontId="26" fillId="0" borderId="241" xfId="0" applyFont="1" applyFill="1" applyBorder="1" applyAlignment="1" applyProtection="1">
      <alignment vertical="center" wrapText="1"/>
      <protection hidden="1"/>
    </xf>
    <xf numFmtId="0" fontId="0" fillId="0" borderId="0" xfId="0" quotePrefix="1"/>
    <xf numFmtId="0" fontId="47" fillId="0" borderId="199" xfId="0" applyFont="1" applyFill="1" applyBorder="1" applyAlignment="1" applyProtection="1">
      <alignment horizontal="center" vertical="center" wrapText="1"/>
      <protection locked="0" hidden="1"/>
    </xf>
    <xf numFmtId="0" fontId="13" fillId="0" borderId="231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198" xfId="0" applyFont="1" applyFill="1" applyBorder="1" applyAlignment="1" applyProtection="1">
      <alignment vertical="center"/>
    </xf>
    <xf numFmtId="0" fontId="26" fillId="0" borderId="0" xfId="0" applyFont="1" applyFill="1" applyBorder="1" applyAlignment="1" applyProtection="1">
      <alignment horizontal="left" vertical="center" wrapText="1"/>
      <protection locked="0" hidden="1"/>
    </xf>
    <xf numFmtId="0" fontId="13" fillId="0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 applyFill="1" applyBorder="1" applyAlignment="1" applyProtection="1">
      <alignment horizontal="center" vertical="center" wrapText="1"/>
      <protection hidden="1"/>
    </xf>
    <xf numFmtId="0" fontId="70" fillId="0" borderId="0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 applyBorder="1" applyAlignment="1" applyProtection="1">
      <alignment horizontal="left" vertical="center" wrapText="1"/>
      <protection hidden="1"/>
    </xf>
    <xf numFmtId="0" fontId="26" fillId="0" borderId="271" xfId="0" applyFont="1" applyFill="1" applyBorder="1" applyAlignment="1" applyProtection="1">
      <alignment horizontal="left" vertical="center" wrapText="1"/>
      <protection locked="0" hidden="1"/>
    </xf>
    <xf numFmtId="0" fontId="16" fillId="0" borderId="0" xfId="0" applyFont="1" applyFill="1" applyBorder="1" applyAlignment="1" applyProtection="1">
      <alignment horizontal="right" vertical="center"/>
      <protection locked="0" hidden="1"/>
    </xf>
    <xf numFmtId="0" fontId="76" fillId="0" borderId="0" xfId="0" applyFont="1" applyFill="1" applyBorder="1" applyAlignment="1" applyProtection="1">
      <alignment horizontal="left" vertical="center" wrapText="1"/>
      <protection hidden="1"/>
    </xf>
    <xf numFmtId="0" fontId="0" fillId="0" borderId="400" xfId="0" applyFill="1" applyBorder="1" applyAlignment="1" applyProtection="1">
      <alignment horizontal="center" vertical="center"/>
      <protection hidden="1"/>
    </xf>
    <xf numFmtId="0" fontId="0" fillId="0" borderId="209" xfId="0" applyFont="1" applyFill="1" applyBorder="1" applyAlignment="1" applyProtection="1">
      <alignment horizontal="center" vertical="center" wrapText="1"/>
      <protection hidden="1"/>
    </xf>
    <xf numFmtId="0" fontId="76" fillId="2" borderId="402" xfId="0" applyFont="1" applyFill="1" applyBorder="1" applyAlignment="1" applyProtection="1">
      <alignment horizontal="center" vertical="center" wrapText="1"/>
      <protection hidden="1"/>
    </xf>
    <xf numFmtId="0" fontId="5" fillId="13" borderId="407" xfId="0" applyFont="1" applyFill="1" applyBorder="1" applyAlignment="1" applyProtection="1">
      <alignment horizontal="center" vertical="center" textRotation="90" wrapText="1"/>
      <protection hidden="1"/>
    </xf>
    <xf numFmtId="0" fontId="0" fillId="0" borderId="199" xfId="0" applyFill="1" applyBorder="1" applyAlignment="1" applyProtection="1">
      <alignment horizontal="center" vertical="center" wrapText="1"/>
      <protection hidden="1"/>
    </xf>
    <xf numFmtId="0" fontId="0" fillId="3" borderId="410" xfId="0" applyFont="1" applyFill="1" applyBorder="1" applyAlignment="1" applyProtection="1">
      <alignment horizontal="center" vertical="center"/>
      <protection hidden="1"/>
    </xf>
    <xf numFmtId="0" fontId="0" fillId="0" borderId="201" xfId="0" applyFill="1" applyBorder="1" applyAlignment="1" applyProtection="1">
      <alignment horizontal="center" vertical="center"/>
      <protection hidden="1"/>
    </xf>
    <xf numFmtId="0" fontId="0" fillId="3" borderId="207" xfId="0" applyFont="1" applyFill="1" applyBorder="1" applyAlignment="1" applyProtection="1">
      <alignment horizontal="center" vertical="center"/>
      <protection hidden="1"/>
    </xf>
    <xf numFmtId="0" fontId="0" fillId="3" borderId="211" xfId="0" applyFont="1" applyFill="1" applyBorder="1" applyAlignment="1" applyProtection="1">
      <alignment horizontal="center" vertical="center"/>
      <protection hidden="1"/>
    </xf>
    <xf numFmtId="0" fontId="12" fillId="23" borderId="193" xfId="0" applyFont="1" applyFill="1" applyBorder="1" applyAlignment="1" applyProtection="1">
      <alignment horizontal="center" vertical="center"/>
      <protection hidden="1"/>
    </xf>
    <xf numFmtId="0" fontId="16" fillId="24" borderId="193" xfId="1" applyFill="1" applyBorder="1" applyAlignment="1" applyProtection="1">
      <alignment horizontal="center" vertical="center"/>
      <protection hidden="1"/>
    </xf>
    <xf numFmtId="0" fontId="0" fillId="0" borderId="21" xfId="0" applyFill="1" applyBorder="1" applyAlignment="1" applyProtection="1">
      <alignment vertical="center" wrapText="1"/>
    </xf>
    <xf numFmtId="0" fontId="12" fillId="23" borderId="392" xfId="0" applyFont="1" applyFill="1" applyBorder="1" applyAlignment="1" applyProtection="1">
      <alignment horizontal="center" vertical="center"/>
      <protection hidden="1"/>
    </xf>
    <xf numFmtId="0" fontId="16" fillId="24" borderId="392" xfId="1" applyFill="1" applyBorder="1" applyAlignment="1" applyProtection="1">
      <alignment horizontal="center" vertical="center"/>
      <protection hidden="1"/>
    </xf>
    <xf numFmtId="0" fontId="12" fillId="23" borderId="412" xfId="0" applyFont="1" applyFill="1" applyBorder="1" applyAlignment="1" applyProtection="1">
      <alignment horizontal="center" vertical="center"/>
      <protection hidden="1"/>
    </xf>
    <xf numFmtId="0" fontId="16" fillId="24" borderId="412" xfId="1" applyFill="1" applyBorder="1" applyAlignment="1" applyProtection="1">
      <alignment horizontal="center" vertical="center"/>
      <protection hidden="1"/>
    </xf>
    <xf numFmtId="0" fontId="12" fillId="23" borderId="196" xfId="0" applyFont="1" applyFill="1" applyBorder="1" applyAlignment="1" applyProtection="1">
      <alignment horizontal="center" vertical="center"/>
      <protection hidden="1"/>
    </xf>
    <xf numFmtId="0" fontId="16" fillId="24" borderId="196" xfId="1" applyFill="1" applyBorder="1" applyAlignment="1" applyProtection="1">
      <alignment horizontal="center" vertical="center"/>
      <protection hidden="1"/>
    </xf>
    <xf numFmtId="0" fontId="1" fillId="0" borderId="193" xfId="0" applyFont="1" applyFill="1" applyBorder="1" applyAlignment="1" applyProtection="1">
      <alignment horizontal="center" vertical="center"/>
      <protection hidden="1"/>
    </xf>
    <xf numFmtId="0" fontId="97" fillId="24" borderId="193" xfId="0" applyFont="1" applyFill="1" applyBorder="1" applyAlignment="1" applyProtection="1">
      <alignment horizontal="center" vertical="center"/>
      <protection hidden="1"/>
    </xf>
    <xf numFmtId="0" fontId="1" fillId="0" borderId="193" xfId="0" applyFont="1" applyBorder="1" applyAlignment="1" applyProtection="1">
      <alignment horizontal="center" vertical="center"/>
      <protection hidden="1"/>
    </xf>
    <xf numFmtId="0" fontId="1" fillId="0" borderId="378" xfId="0" applyFont="1" applyBorder="1" applyAlignment="1" applyProtection="1">
      <alignment horizontal="center" vertical="center"/>
      <protection hidden="1"/>
    </xf>
    <xf numFmtId="0" fontId="97" fillId="24" borderId="412" xfId="0" applyFont="1" applyFill="1" applyBorder="1" applyAlignment="1" applyProtection="1">
      <alignment horizontal="center" vertical="center"/>
      <protection hidden="1"/>
    </xf>
    <xf numFmtId="0" fontId="1" fillId="0" borderId="196" xfId="0" applyFont="1" applyBorder="1" applyAlignment="1" applyProtection="1">
      <alignment horizontal="center" vertical="center"/>
      <protection hidden="1"/>
    </xf>
    <xf numFmtId="0" fontId="97" fillId="24" borderId="196" xfId="0" applyFont="1" applyFill="1" applyBorder="1" applyAlignment="1" applyProtection="1">
      <alignment horizontal="center" vertical="center"/>
      <protection hidden="1"/>
    </xf>
    <xf numFmtId="0" fontId="97" fillId="24" borderId="392" xfId="0" applyFont="1" applyFill="1" applyBorder="1" applyAlignment="1" applyProtection="1">
      <alignment horizontal="center" vertical="center"/>
      <protection hidden="1"/>
    </xf>
    <xf numFmtId="0" fontId="0" fillId="0" borderId="415" xfId="0" applyFont="1" applyBorder="1" applyAlignment="1" applyProtection="1">
      <alignment vertical="center"/>
    </xf>
    <xf numFmtId="0" fontId="1" fillId="0" borderId="193" xfId="0" applyNumberFormat="1" applyFont="1" applyFill="1" applyBorder="1" applyAlignment="1" applyProtection="1">
      <alignment horizontal="center" vertical="center"/>
      <protection locked="0" hidden="1"/>
    </xf>
    <xf numFmtId="0" fontId="1" fillId="23" borderId="193" xfId="0" applyFont="1" applyFill="1" applyBorder="1" applyAlignment="1" applyProtection="1">
      <alignment horizontal="center" vertical="center"/>
      <protection locked="0" hidden="1"/>
    </xf>
    <xf numFmtId="0" fontId="1" fillId="0" borderId="193" xfId="0" applyFont="1" applyFill="1" applyBorder="1" applyAlignment="1" applyProtection="1">
      <alignment horizontal="center" vertical="center"/>
      <protection locked="0" hidden="1"/>
    </xf>
    <xf numFmtId="0" fontId="1" fillId="0" borderId="378" xfId="0" applyFont="1" applyFill="1" applyBorder="1" applyAlignment="1" applyProtection="1">
      <alignment horizontal="center" vertical="center"/>
      <protection locked="0" hidden="1"/>
    </xf>
    <xf numFmtId="0" fontId="1" fillId="23" borderId="412" xfId="0" applyFont="1" applyFill="1" applyBorder="1" applyAlignment="1" applyProtection="1">
      <alignment horizontal="center" vertical="center"/>
      <protection locked="0" hidden="1"/>
    </xf>
    <xf numFmtId="0" fontId="1" fillId="0" borderId="196" xfId="0" applyFont="1" applyFill="1" applyBorder="1" applyAlignment="1" applyProtection="1">
      <alignment horizontal="center" vertical="center"/>
      <protection locked="0" hidden="1"/>
    </xf>
    <xf numFmtId="0" fontId="1" fillId="23" borderId="196" xfId="0" applyFont="1" applyFill="1" applyBorder="1" applyAlignment="1" applyProtection="1">
      <alignment horizontal="center" vertical="center"/>
      <protection locked="0" hidden="1"/>
    </xf>
    <xf numFmtId="0" fontId="1" fillId="23" borderId="392" xfId="0" applyFont="1" applyFill="1" applyBorder="1" applyAlignment="1" applyProtection="1">
      <alignment horizontal="center" vertical="center"/>
      <protection locked="0" hidden="1"/>
    </xf>
    <xf numFmtId="0" fontId="1" fillId="0" borderId="193" xfId="0" applyFont="1" applyFill="1" applyBorder="1" applyAlignment="1" applyProtection="1">
      <alignment vertical="center"/>
      <protection locked="0" hidden="1"/>
    </xf>
    <xf numFmtId="0" fontId="1" fillId="23" borderId="193" xfId="0" applyFont="1" applyFill="1" applyBorder="1" applyAlignment="1" applyProtection="1">
      <alignment vertical="center"/>
      <protection locked="0" hidden="1"/>
    </xf>
    <xf numFmtId="0" fontId="1" fillId="0" borderId="378" xfId="0" applyFont="1" applyFill="1" applyBorder="1" applyAlignment="1" applyProtection="1">
      <alignment vertical="center"/>
      <protection locked="0" hidden="1"/>
    </xf>
    <xf numFmtId="0" fontId="1" fillId="23" borderId="412" xfId="0" applyFont="1" applyFill="1" applyBorder="1" applyAlignment="1" applyProtection="1">
      <alignment vertical="center"/>
      <protection locked="0" hidden="1"/>
    </xf>
    <xf numFmtId="0" fontId="1" fillId="0" borderId="196" xfId="0" applyFont="1" applyFill="1" applyBorder="1" applyAlignment="1" applyProtection="1">
      <alignment vertical="center"/>
      <protection locked="0" hidden="1"/>
    </xf>
    <xf numFmtId="0" fontId="1" fillId="23" borderId="196" xfId="0" applyFont="1" applyFill="1" applyBorder="1" applyAlignment="1" applyProtection="1">
      <alignment vertical="center"/>
      <protection locked="0" hidden="1"/>
    </xf>
    <xf numFmtId="0" fontId="1" fillId="23" borderId="392" xfId="0" applyFont="1" applyFill="1" applyBorder="1" applyAlignment="1" applyProtection="1">
      <alignment vertical="center"/>
      <protection locked="0" hidden="1"/>
    </xf>
    <xf numFmtId="0" fontId="1" fillId="24" borderId="193" xfId="0" applyFont="1" applyFill="1" applyBorder="1" applyAlignment="1" applyProtection="1">
      <alignment vertical="center"/>
      <protection locked="0" hidden="1"/>
    </xf>
    <xf numFmtId="0" fontId="1" fillId="0" borderId="193" xfId="0" applyFont="1" applyBorder="1" applyAlignment="1" applyProtection="1">
      <alignment vertical="center"/>
      <protection locked="0" hidden="1"/>
    </xf>
    <xf numFmtId="0" fontId="1" fillId="0" borderId="378" xfId="0" applyFont="1" applyBorder="1" applyAlignment="1" applyProtection="1">
      <alignment vertical="center"/>
      <protection locked="0" hidden="1"/>
    </xf>
    <xf numFmtId="0" fontId="1" fillId="24" borderId="412" xfId="0" applyFont="1" applyFill="1" applyBorder="1" applyAlignment="1" applyProtection="1">
      <alignment vertical="center"/>
      <protection locked="0" hidden="1"/>
    </xf>
    <xf numFmtId="0" fontId="1" fillId="0" borderId="196" xfId="0" applyFont="1" applyBorder="1" applyAlignment="1" applyProtection="1">
      <alignment vertical="center"/>
      <protection locked="0" hidden="1"/>
    </xf>
    <xf numFmtId="0" fontId="1" fillId="24" borderId="196" xfId="0" applyFont="1" applyFill="1" applyBorder="1" applyAlignment="1" applyProtection="1">
      <alignment vertical="center"/>
      <protection locked="0" hidden="1"/>
    </xf>
    <xf numFmtId="0" fontId="1" fillId="24" borderId="392" xfId="0" applyFont="1" applyFill="1" applyBorder="1" applyAlignment="1" applyProtection="1">
      <alignment vertical="center"/>
      <protection locked="0" hidden="1"/>
    </xf>
    <xf numFmtId="0" fontId="1" fillId="0" borderId="207" xfId="0" applyFont="1" applyFill="1" applyBorder="1" applyAlignment="1" applyProtection="1">
      <alignment horizontal="center" vertical="center"/>
      <protection locked="0" hidden="1"/>
    </xf>
    <xf numFmtId="0" fontId="1" fillId="23" borderId="403" xfId="0" applyFont="1" applyFill="1" applyBorder="1" applyAlignment="1" applyProtection="1">
      <alignment horizontal="center" vertical="center"/>
      <protection locked="0" hidden="1"/>
    </xf>
    <xf numFmtId="0" fontId="1" fillId="0" borderId="403" xfId="0" applyFont="1" applyFill="1" applyBorder="1" applyAlignment="1" applyProtection="1">
      <alignment horizontal="center" vertical="center"/>
      <protection locked="0" hidden="1"/>
    </xf>
    <xf numFmtId="0" fontId="1" fillId="0" borderId="404" xfId="0" applyFont="1" applyFill="1" applyBorder="1" applyAlignment="1" applyProtection="1">
      <alignment horizontal="center" vertical="center"/>
      <protection locked="0" hidden="1"/>
    </xf>
    <xf numFmtId="0" fontId="1" fillId="23" borderId="414" xfId="0" applyFont="1" applyFill="1" applyBorder="1" applyAlignment="1" applyProtection="1">
      <alignment horizontal="center" vertical="center"/>
      <protection locked="0" hidden="1"/>
    </xf>
    <xf numFmtId="0" fontId="1" fillId="0" borderId="405" xfId="0" applyFont="1" applyFill="1" applyBorder="1" applyAlignment="1" applyProtection="1">
      <alignment horizontal="center" vertical="center"/>
      <protection locked="0" hidden="1"/>
    </xf>
    <xf numFmtId="0" fontId="1" fillId="23" borderId="405" xfId="0" applyFont="1" applyFill="1" applyBorder="1" applyAlignment="1" applyProtection="1">
      <alignment horizontal="center" vertical="center"/>
      <protection locked="0" hidden="1"/>
    </xf>
    <xf numFmtId="0" fontId="1" fillId="23" borderId="413" xfId="0" applyFont="1" applyFill="1" applyBorder="1" applyAlignment="1" applyProtection="1">
      <alignment horizontal="center" vertical="center"/>
      <protection locked="0" hidden="1"/>
    </xf>
    <xf numFmtId="0" fontId="13" fillId="17" borderId="147" xfId="0" applyFont="1" applyFill="1" applyBorder="1" applyAlignment="1" applyProtection="1">
      <alignment horizontal="left" vertical="center" wrapText="1"/>
      <protection locked="0" hidden="1"/>
    </xf>
    <xf numFmtId="0" fontId="13" fillId="17" borderId="148" xfId="0" applyFont="1" applyFill="1" applyBorder="1" applyAlignment="1" applyProtection="1">
      <alignment horizontal="left" vertical="center" wrapText="1"/>
      <protection locked="0" hidden="1"/>
    </xf>
    <xf numFmtId="0" fontId="13" fillId="16" borderId="140" xfId="0" applyFont="1" applyFill="1" applyBorder="1" applyAlignment="1" applyProtection="1">
      <alignment horizontal="center" vertical="center" wrapText="1"/>
      <protection hidden="1"/>
    </xf>
    <xf numFmtId="0" fontId="13" fillId="16" borderId="132" xfId="0" applyFont="1" applyFill="1" applyBorder="1" applyAlignment="1" applyProtection="1">
      <alignment horizontal="center" vertical="center" wrapText="1"/>
      <protection hidden="1"/>
    </xf>
    <xf numFmtId="0" fontId="0" fillId="2" borderId="132" xfId="0" applyFont="1" applyFill="1" applyBorder="1" applyAlignment="1" applyProtection="1">
      <alignment horizontal="center" vertical="center" wrapText="1"/>
      <protection locked="0" hidden="1"/>
    </xf>
    <xf numFmtId="0" fontId="0" fillId="2" borderId="133" xfId="0" applyFont="1" applyFill="1" applyBorder="1" applyAlignment="1" applyProtection="1">
      <alignment horizontal="center" vertical="center" wrapText="1"/>
      <protection locked="0" hidden="1"/>
    </xf>
    <xf numFmtId="0" fontId="13" fillId="17" borderId="152" xfId="0" applyFont="1" applyFill="1" applyBorder="1" applyAlignment="1" applyProtection="1">
      <alignment horizontal="left" vertical="center" wrapText="1"/>
      <protection locked="0" hidden="1"/>
    </xf>
    <xf numFmtId="0" fontId="13" fillId="17" borderId="153" xfId="0" applyFont="1" applyFill="1" applyBorder="1" applyAlignment="1" applyProtection="1">
      <alignment horizontal="left" vertical="center" wrapText="1"/>
      <protection locked="0" hidden="1"/>
    </xf>
    <xf numFmtId="0" fontId="13" fillId="17" borderId="154" xfId="0" applyFont="1" applyFill="1" applyBorder="1" applyAlignment="1" applyProtection="1">
      <alignment horizontal="left" vertical="center" wrapText="1"/>
      <protection locked="0" hidden="1"/>
    </xf>
    <xf numFmtId="0" fontId="13" fillId="16" borderId="142" xfId="0" applyFont="1" applyFill="1" applyBorder="1" applyAlignment="1" applyProtection="1">
      <alignment horizontal="center" vertical="center" wrapText="1"/>
      <protection hidden="1"/>
    </xf>
    <xf numFmtId="0" fontId="13" fillId="16" borderId="138" xfId="0" applyFont="1" applyFill="1" applyBorder="1" applyAlignment="1" applyProtection="1">
      <alignment horizontal="center" vertical="center" wrapText="1"/>
      <protection hidden="1"/>
    </xf>
    <xf numFmtId="0" fontId="0" fillId="2" borderId="138" xfId="0" applyFont="1" applyFill="1" applyBorder="1" applyAlignment="1" applyProtection="1">
      <alignment horizontal="center" vertical="center" wrapText="1"/>
      <protection locked="0" hidden="1"/>
    </xf>
    <xf numFmtId="0" fontId="0" fillId="2" borderId="139" xfId="0" applyFont="1" applyFill="1" applyBorder="1" applyAlignment="1" applyProtection="1">
      <alignment horizontal="center" vertical="center" wrapText="1"/>
      <protection locked="0" hidden="1"/>
    </xf>
    <xf numFmtId="0" fontId="13" fillId="17" borderId="150" xfId="0" applyFont="1" applyFill="1" applyBorder="1" applyAlignment="1" applyProtection="1">
      <alignment horizontal="left" vertical="center" wrapText="1"/>
      <protection locked="0" hidden="1"/>
    </xf>
    <xf numFmtId="0" fontId="13" fillId="17" borderId="97" xfId="0" applyFont="1" applyFill="1" applyBorder="1" applyAlignment="1" applyProtection="1">
      <alignment horizontal="left" vertical="center" wrapText="1"/>
      <protection locked="0" hidden="1"/>
    </xf>
    <xf numFmtId="0" fontId="13" fillId="17" borderId="151" xfId="0" applyFont="1" applyFill="1" applyBorder="1" applyAlignment="1" applyProtection="1">
      <alignment horizontal="left" vertical="center" wrapText="1"/>
      <protection locked="0" hidden="1"/>
    </xf>
    <xf numFmtId="0" fontId="0" fillId="2" borderId="142" xfId="0" applyFill="1" applyBorder="1" applyAlignment="1" applyProtection="1">
      <alignment horizontal="center" vertical="center"/>
      <protection locked="0" hidden="1"/>
    </xf>
    <xf numFmtId="0" fontId="0" fillId="2" borderId="138" xfId="0" applyFont="1" applyFill="1" applyBorder="1" applyAlignment="1" applyProtection="1">
      <alignment horizontal="center" vertical="center"/>
      <protection locked="0" hidden="1"/>
    </xf>
    <xf numFmtId="0" fontId="1" fillId="2" borderId="138" xfId="0" applyFont="1" applyFill="1" applyBorder="1" applyAlignment="1" applyProtection="1">
      <alignment horizontal="right" vertical="center" wrapText="1"/>
      <protection locked="0" hidden="1"/>
    </xf>
    <xf numFmtId="0" fontId="1" fillId="2" borderId="139" xfId="0" applyFont="1" applyFill="1" applyBorder="1" applyAlignment="1" applyProtection="1">
      <alignment horizontal="right" vertical="center" wrapText="1"/>
      <protection locked="0" hidden="1"/>
    </xf>
    <xf numFmtId="0" fontId="1" fillId="2" borderId="137" xfId="0" applyFont="1" applyFill="1" applyBorder="1" applyAlignment="1" applyProtection="1">
      <alignment horizontal="left" vertical="center" wrapText="1"/>
      <protection hidden="1"/>
    </xf>
    <xf numFmtId="0" fontId="1" fillId="2" borderId="138" xfId="0" applyFont="1" applyFill="1" applyBorder="1" applyAlignment="1" applyProtection="1">
      <alignment horizontal="left" vertical="center" wrapText="1"/>
      <protection hidden="1"/>
    </xf>
    <xf numFmtId="0" fontId="0" fillId="2" borderId="139" xfId="0" applyFont="1" applyFill="1" applyBorder="1" applyAlignment="1" applyProtection="1">
      <alignment horizontal="right" vertical="center"/>
      <protection locked="0" hidden="1"/>
    </xf>
    <xf numFmtId="0" fontId="0" fillId="2" borderId="129" xfId="0" applyFont="1" applyFill="1" applyBorder="1" applyAlignment="1" applyProtection="1">
      <alignment horizontal="right" vertical="center"/>
      <protection locked="0" hidden="1"/>
    </xf>
    <xf numFmtId="0" fontId="1" fillId="2" borderId="129" xfId="0" applyFont="1" applyFill="1" applyBorder="1" applyAlignment="1" applyProtection="1">
      <alignment horizontal="left" vertical="center" wrapText="1"/>
      <protection hidden="1"/>
    </xf>
    <xf numFmtId="0" fontId="1" fillId="2" borderId="188" xfId="0" applyFont="1" applyFill="1" applyBorder="1" applyAlignment="1" applyProtection="1">
      <alignment horizontal="left" vertical="center" wrapText="1"/>
      <protection hidden="1"/>
    </xf>
    <xf numFmtId="0" fontId="4" fillId="2" borderId="30" xfId="0" applyFont="1" applyFill="1" applyBorder="1" applyAlignment="1" applyProtection="1">
      <alignment horizontal="left" vertical="center" wrapText="1"/>
      <protection hidden="1"/>
    </xf>
    <xf numFmtId="0" fontId="4" fillId="2" borderId="31" xfId="0" applyFont="1" applyFill="1" applyBorder="1" applyAlignment="1" applyProtection="1">
      <alignment horizontal="left" vertical="center" wrapText="1"/>
      <protection hidden="1"/>
    </xf>
    <xf numFmtId="0" fontId="4" fillId="2" borderId="70" xfId="0" applyFont="1" applyFill="1" applyBorder="1" applyAlignment="1" applyProtection="1">
      <alignment horizontal="left" vertical="center" wrapText="1"/>
      <protection hidden="1"/>
    </xf>
    <xf numFmtId="0" fontId="16" fillId="2" borderId="66" xfId="0" applyFont="1" applyFill="1" applyBorder="1" applyAlignment="1" applyProtection="1">
      <alignment horizontal="center" vertical="center" wrapText="1"/>
      <protection hidden="1"/>
    </xf>
    <xf numFmtId="0" fontId="16" fillId="2" borderId="82" xfId="0" applyFont="1" applyFill="1" applyBorder="1" applyAlignment="1" applyProtection="1">
      <alignment horizontal="center" vertical="center" wrapText="1"/>
      <protection hidden="1"/>
    </xf>
    <xf numFmtId="0" fontId="34" fillId="0" borderId="42" xfId="1" applyFont="1" applyFill="1" applyBorder="1" applyAlignment="1" applyProtection="1">
      <alignment horizontal="center" vertical="center" wrapText="1"/>
      <protection hidden="1"/>
    </xf>
    <xf numFmtId="0" fontId="34" fillId="0" borderId="41" xfId="1" applyFont="1" applyFill="1" applyBorder="1" applyAlignment="1" applyProtection="1">
      <alignment horizontal="center" vertical="center" wrapText="1"/>
      <protection hidden="1"/>
    </xf>
    <xf numFmtId="0" fontId="34" fillId="0" borderId="85" xfId="1" applyFont="1" applyFill="1" applyBorder="1" applyAlignment="1" applyProtection="1">
      <alignment horizontal="center" vertical="center" wrapText="1"/>
      <protection hidden="1"/>
    </xf>
    <xf numFmtId="0" fontId="16" fillId="0" borderId="54" xfId="1" applyFill="1" applyBorder="1" applyAlignment="1" applyProtection="1">
      <alignment horizontal="left" vertical="center" wrapText="1"/>
      <protection hidden="1"/>
    </xf>
    <xf numFmtId="0" fontId="16" fillId="0" borderId="0" xfId="1" applyFill="1" applyBorder="1" applyAlignment="1" applyProtection="1">
      <alignment horizontal="left" vertical="center" wrapText="1"/>
      <protection hidden="1"/>
    </xf>
    <xf numFmtId="0" fontId="4" fillId="2" borderId="67" xfId="0" applyFont="1" applyFill="1" applyBorder="1" applyAlignment="1" applyProtection="1">
      <alignment horizontal="left" vertical="center" wrapText="1"/>
      <protection hidden="1"/>
    </xf>
    <xf numFmtId="0" fontId="4" fillId="2" borderId="66" xfId="0" applyFont="1" applyFill="1" applyBorder="1" applyAlignment="1" applyProtection="1">
      <alignment horizontal="left" vertical="center" wrapText="1"/>
      <protection hidden="1"/>
    </xf>
    <xf numFmtId="0" fontId="16" fillId="2" borderId="66" xfId="0" applyFont="1" applyFill="1" applyBorder="1" applyAlignment="1" applyProtection="1">
      <alignment horizontal="center" vertical="center"/>
      <protection hidden="1"/>
    </xf>
    <xf numFmtId="0" fontId="47" fillId="2" borderId="66" xfId="0" applyFont="1" applyFill="1" applyBorder="1" applyAlignment="1" applyProtection="1">
      <alignment horizontal="center" vertical="center" wrapText="1"/>
      <protection hidden="1"/>
    </xf>
    <xf numFmtId="0" fontId="47" fillId="2" borderId="82" xfId="0" applyFont="1" applyFill="1" applyBorder="1" applyAlignment="1" applyProtection="1">
      <alignment horizontal="center" vertical="center" wrapText="1"/>
      <protection hidden="1"/>
    </xf>
    <xf numFmtId="0" fontId="0" fillId="2" borderId="140" xfId="0" applyFont="1" applyFill="1" applyBorder="1" applyAlignment="1" applyProtection="1">
      <alignment horizontal="center" vertical="center"/>
      <protection locked="0" hidden="1"/>
    </xf>
    <xf numFmtId="0" fontId="0" fillId="2" borderId="132" xfId="0" applyFont="1" applyFill="1" applyBorder="1" applyAlignment="1" applyProtection="1">
      <alignment horizontal="center" vertical="center"/>
      <protection locked="0" hidden="1"/>
    </xf>
    <xf numFmtId="0" fontId="1" fillId="2" borderId="132" xfId="0" applyFont="1" applyFill="1" applyBorder="1" applyAlignment="1" applyProtection="1">
      <alignment horizontal="right" vertical="center" wrapText="1"/>
      <protection locked="0" hidden="1"/>
    </xf>
    <xf numFmtId="0" fontId="1" fillId="2" borderId="133" xfId="0" applyFont="1" applyFill="1" applyBorder="1" applyAlignment="1" applyProtection="1">
      <alignment horizontal="right" vertical="center" wrapText="1"/>
      <protection locked="0" hidden="1"/>
    </xf>
    <xf numFmtId="0" fontId="1" fillId="2" borderId="131" xfId="0" applyFont="1" applyFill="1" applyBorder="1" applyAlignment="1" applyProtection="1">
      <alignment horizontal="left" vertical="center" wrapText="1"/>
      <protection hidden="1"/>
    </xf>
    <xf numFmtId="0" fontId="1" fillId="2" borderId="132" xfId="0" applyFont="1" applyFill="1" applyBorder="1" applyAlignment="1" applyProtection="1">
      <alignment horizontal="left" vertical="center" wrapText="1"/>
      <protection hidden="1"/>
    </xf>
    <xf numFmtId="0" fontId="0" fillId="2" borderId="133" xfId="0" applyFont="1" applyFill="1" applyBorder="1" applyAlignment="1" applyProtection="1">
      <alignment horizontal="right" vertical="center"/>
      <protection locked="0" hidden="1"/>
    </xf>
    <xf numFmtId="0" fontId="0" fillId="2" borderId="125" xfId="0" applyFont="1" applyFill="1" applyBorder="1" applyAlignment="1" applyProtection="1">
      <alignment horizontal="right" vertical="center"/>
      <protection locked="0" hidden="1"/>
    </xf>
    <xf numFmtId="0" fontId="20" fillId="2" borderId="125" xfId="0" applyFont="1" applyFill="1" applyBorder="1" applyAlignment="1" applyProtection="1">
      <alignment horizontal="left" vertical="center" wrapText="1"/>
      <protection hidden="1"/>
    </xf>
    <xf numFmtId="0" fontId="20" fillId="2" borderId="187" xfId="0" applyFont="1" applyFill="1" applyBorder="1" applyAlignment="1" applyProtection="1">
      <alignment horizontal="left" vertical="center" wrapText="1"/>
      <protection hidden="1"/>
    </xf>
    <xf numFmtId="0" fontId="13" fillId="14" borderId="95" xfId="0" applyFont="1" applyFill="1" applyBorder="1" applyAlignment="1" applyProtection="1">
      <alignment horizontal="left" vertical="center" wrapText="1"/>
      <protection locked="0" hidden="1"/>
    </xf>
    <xf numFmtId="0" fontId="13" fillId="14" borderId="96" xfId="0" applyFont="1" applyFill="1" applyBorder="1" applyAlignment="1" applyProtection="1">
      <alignment horizontal="left" vertical="center" wrapText="1"/>
      <protection locked="0" hidden="1"/>
    </xf>
    <xf numFmtId="0" fontId="13" fillId="14" borderId="149" xfId="0" applyFont="1" applyFill="1" applyBorder="1" applyAlignment="1" applyProtection="1">
      <alignment horizontal="left" vertical="center" wrapText="1"/>
      <protection locked="0" hidden="1"/>
    </xf>
    <xf numFmtId="0" fontId="23" fillId="0" borderId="141" xfId="0" applyFont="1" applyFill="1" applyBorder="1" applyAlignment="1" applyProtection="1">
      <alignment horizontal="left" vertical="center" wrapText="1"/>
      <protection hidden="1"/>
    </xf>
    <xf numFmtId="0" fontId="23" fillId="0" borderId="135" xfId="0" applyFont="1" applyFill="1" applyBorder="1" applyAlignment="1" applyProtection="1">
      <alignment horizontal="left" vertical="center" wrapText="1"/>
      <protection hidden="1"/>
    </xf>
    <xf numFmtId="0" fontId="9" fillId="2" borderId="135" xfId="0" applyFont="1" applyFill="1" applyBorder="1" applyAlignment="1" applyProtection="1">
      <alignment horizontal="right" vertical="center" wrapText="1"/>
      <protection locked="0" hidden="1"/>
    </xf>
    <xf numFmtId="0" fontId="9" fillId="2" borderId="136" xfId="0" applyFont="1" applyFill="1" applyBorder="1" applyAlignment="1" applyProtection="1">
      <alignment horizontal="right" vertical="center" wrapText="1"/>
      <protection locked="0" hidden="1"/>
    </xf>
    <xf numFmtId="0" fontId="7" fillId="2" borderId="134" xfId="0" applyFont="1" applyFill="1" applyBorder="1" applyAlignment="1" applyProtection="1">
      <alignment vertical="center" wrapText="1"/>
      <protection hidden="1"/>
    </xf>
    <xf numFmtId="0" fontId="7" fillId="2" borderId="135" xfId="0" applyFont="1" applyFill="1" applyBorder="1" applyAlignment="1" applyProtection="1">
      <alignment vertical="center" wrapText="1"/>
      <protection hidden="1"/>
    </xf>
    <xf numFmtId="0" fontId="7" fillId="2" borderId="135" xfId="0" applyFont="1" applyFill="1" applyBorder="1" applyAlignment="1" applyProtection="1">
      <alignment horizontal="center" vertical="center" wrapText="1"/>
      <protection hidden="1"/>
    </xf>
    <xf numFmtId="0" fontId="7" fillId="2" borderId="135" xfId="0" applyFont="1" applyFill="1" applyBorder="1" applyAlignment="1" applyProtection="1">
      <alignment horizontal="left" vertical="center" wrapText="1"/>
      <protection locked="0" hidden="1"/>
    </xf>
    <xf numFmtId="0" fontId="7" fillId="2" borderId="136" xfId="0" applyFont="1" applyFill="1" applyBorder="1" applyAlignment="1" applyProtection="1">
      <alignment horizontal="left" vertical="center" wrapText="1"/>
      <protection locked="0" hidden="1"/>
    </xf>
    <xf numFmtId="0" fontId="13" fillId="18" borderId="150" xfId="0" applyFont="1" applyFill="1" applyBorder="1" applyAlignment="1" applyProtection="1">
      <alignment horizontal="left" vertical="center" wrapText="1"/>
      <protection locked="0" hidden="1"/>
    </xf>
    <xf numFmtId="0" fontId="13" fillId="18" borderId="97" xfId="0" applyFont="1" applyFill="1" applyBorder="1" applyAlignment="1" applyProtection="1">
      <alignment horizontal="left" vertical="center" wrapText="1"/>
      <protection locked="0" hidden="1"/>
    </xf>
    <xf numFmtId="0" fontId="13" fillId="18" borderId="151" xfId="0" applyFont="1" applyFill="1" applyBorder="1" applyAlignment="1" applyProtection="1">
      <alignment horizontal="left" vertical="center" wrapText="1"/>
      <protection locked="0" hidden="1"/>
    </xf>
    <xf numFmtId="0" fontId="23" fillId="0" borderId="142" xfId="0" applyFont="1" applyFill="1" applyBorder="1" applyAlignment="1" applyProtection="1">
      <alignment horizontal="left" vertical="center" wrapText="1"/>
      <protection hidden="1"/>
    </xf>
    <xf numFmtId="0" fontId="23" fillId="0" borderId="138" xfId="0" applyFont="1" applyFill="1" applyBorder="1" applyAlignment="1" applyProtection="1">
      <alignment horizontal="left" vertical="center" wrapText="1"/>
      <protection hidden="1"/>
    </xf>
    <xf numFmtId="0" fontId="9" fillId="2" borderId="138" xfId="0" applyFont="1" applyFill="1" applyBorder="1" applyAlignment="1" applyProtection="1">
      <alignment horizontal="right" vertical="center" wrapText="1"/>
      <protection locked="0" hidden="1"/>
    </xf>
    <xf numFmtId="0" fontId="9" fillId="2" borderId="139" xfId="0" applyFont="1" applyFill="1" applyBorder="1" applyAlignment="1" applyProtection="1">
      <alignment horizontal="right" vertical="center" wrapText="1"/>
      <protection locked="0" hidden="1"/>
    </xf>
    <xf numFmtId="0" fontId="7" fillId="2" borderId="137" xfId="0" applyFont="1" applyFill="1" applyBorder="1" applyAlignment="1" applyProtection="1">
      <alignment vertical="center" wrapText="1"/>
      <protection hidden="1"/>
    </xf>
    <xf numFmtId="0" fontId="7" fillId="2" borderId="138" xfId="0" applyFont="1" applyFill="1" applyBorder="1" applyAlignment="1" applyProtection="1">
      <alignment vertical="center" wrapText="1"/>
      <protection hidden="1"/>
    </xf>
    <xf numFmtId="0" fontId="7" fillId="2" borderId="138" xfId="0" applyFont="1" applyFill="1" applyBorder="1" applyAlignment="1" applyProtection="1">
      <alignment horizontal="center" vertical="center" wrapText="1"/>
      <protection hidden="1"/>
    </xf>
    <xf numFmtId="0" fontId="7" fillId="2" borderId="138" xfId="0" applyFont="1" applyFill="1" applyBorder="1" applyAlignment="1" applyProtection="1">
      <alignment horizontal="left" vertical="center" wrapText="1"/>
      <protection locked="0" hidden="1"/>
    </xf>
    <xf numFmtId="0" fontId="7" fillId="2" borderId="139" xfId="0" applyFont="1" applyFill="1" applyBorder="1" applyAlignment="1" applyProtection="1">
      <alignment horizontal="left" vertical="center" wrapText="1"/>
      <protection locked="0" hidden="1"/>
    </xf>
    <xf numFmtId="0" fontId="13" fillId="14" borderId="146" xfId="0" applyFont="1" applyFill="1" applyBorder="1" applyAlignment="1" applyProtection="1">
      <alignment horizontal="left" vertical="center" wrapText="1"/>
      <protection locked="0" hidden="1"/>
    </xf>
    <xf numFmtId="0" fontId="13" fillId="14" borderId="147" xfId="0" applyFont="1" applyFill="1" applyBorder="1" applyAlignment="1" applyProtection="1">
      <alignment horizontal="left" vertical="center" wrapText="1"/>
      <protection locked="0" hidden="1"/>
    </xf>
    <xf numFmtId="0" fontId="13" fillId="14" borderId="148" xfId="0" applyFont="1" applyFill="1" applyBorder="1" applyAlignment="1" applyProtection="1">
      <alignment horizontal="left" vertical="center" wrapText="1"/>
      <protection locked="0" hidden="1"/>
    </xf>
    <xf numFmtId="0" fontId="23" fillId="0" borderId="140" xfId="0" applyFont="1" applyFill="1" applyBorder="1" applyAlignment="1" applyProtection="1">
      <alignment horizontal="left" vertical="center" wrapText="1"/>
      <protection hidden="1"/>
    </xf>
    <xf numFmtId="0" fontId="23" fillId="0" borderId="132" xfId="0" applyFont="1" applyFill="1" applyBorder="1" applyAlignment="1" applyProtection="1">
      <alignment horizontal="left" vertical="center" wrapText="1"/>
      <protection hidden="1"/>
    </xf>
    <xf numFmtId="0" fontId="9" fillId="2" borderId="132" xfId="0" applyFont="1" applyFill="1" applyBorder="1" applyAlignment="1" applyProtection="1">
      <alignment horizontal="right" vertical="center" wrapText="1"/>
      <protection locked="0" hidden="1"/>
    </xf>
    <xf numFmtId="0" fontId="9" fillId="2" borderId="133" xfId="0" applyFont="1" applyFill="1" applyBorder="1" applyAlignment="1" applyProtection="1">
      <alignment horizontal="right" vertical="center" wrapText="1"/>
      <protection locked="0" hidden="1"/>
    </xf>
    <xf numFmtId="0" fontId="7" fillId="2" borderId="131" xfId="0" applyFont="1" applyFill="1" applyBorder="1" applyAlignment="1" applyProtection="1">
      <alignment vertical="center" wrapText="1"/>
      <protection hidden="1"/>
    </xf>
    <xf numFmtId="0" fontId="7" fillId="2" borderId="132" xfId="0" applyFont="1" applyFill="1" applyBorder="1" applyAlignment="1" applyProtection="1">
      <alignment vertical="center" wrapText="1"/>
      <protection hidden="1"/>
    </xf>
    <xf numFmtId="0" fontId="7" fillId="2" borderId="132" xfId="0" applyFont="1" applyFill="1" applyBorder="1" applyAlignment="1" applyProtection="1">
      <alignment horizontal="center" vertical="center" wrapText="1"/>
      <protection hidden="1"/>
    </xf>
    <xf numFmtId="0" fontId="7" fillId="2" borderId="132" xfId="0" applyFont="1" applyFill="1" applyBorder="1" applyAlignment="1" applyProtection="1">
      <alignment horizontal="left" vertical="center" wrapText="1"/>
      <protection locked="0" hidden="1"/>
    </xf>
    <xf numFmtId="0" fontId="7" fillId="2" borderId="133" xfId="0" applyFont="1" applyFill="1" applyBorder="1" applyAlignment="1" applyProtection="1">
      <alignment horizontal="left" vertical="center" wrapText="1"/>
      <protection locked="0" hidden="1"/>
    </xf>
    <xf numFmtId="0" fontId="13" fillId="14" borderId="150" xfId="0" applyFont="1" applyFill="1" applyBorder="1" applyAlignment="1" applyProtection="1">
      <alignment horizontal="left" vertical="center" wrapText="1"/>
      <protection locked="0" hidden="1"/>
    </xf>
    <xf numFmtId="0" fontId="13" fillId="14" borderId="97" xfId="0" applyFont="1" applyFill="1" applyBorder="1" applyAlignment="1" applyProtection="1">
      <alignment horizontal="left" vertical="center" wrapText="1"/>
      <protection locked="0" hidden="1"/>
    </xf>
    <xf numFmtId="0" fontId="13" fillId="14" borderId="151" xfId="0" applyFont="1" applyFill="1" applyBorder="1" applyAlignment="1" applyProtection="1">
      <alignment horizontal="left" vertical="center" wrapText="1"/>
      <protection locked="0" hidden="1"/>
    </xf>
    <xf numFmtId="0" fontId="9" fillId="2" borderId="129" xfId="0" applyFont="1" applyFill="1" applyBorder="1" applyAlignment="1" applyProtection="1">
      <alignment horizontal="right" vertical="center" wrapText="1"/>
      <protection locked="0" hidden="1"/>
    </xf>
    <xf numFmtId="0" fontId="7" fillId="2" borderId="129" xfId="0" applyFont="1" applyFill="1" applyBorder="1" applyAlignment="1" applyProtection="1">
      <alignment horizontal="left" vertical="center" wrapText="1"/>
      <protection hidden="1"/>
    </xf>
    <xf numFmtId="0" fontId="7" fillId="2" borderId="137" xfId="0" applyFont="1" applyFill="1" applyBorder="1" applyAlignment="1" applyProtection="1">
      <alignment horizontal="left" vertical="center" wrapText="1"/>
      <protection hidden="1"/>
    </xf>
    <xf numFmtId="0" fontId="9" fillId="2" borderId="138" xfId="0" applyFont="1" applyFill="1" applyBorder="1" applyAlignment="1" applyProtection="1">
      <alignment horizontal="center" vertical="center" wrapText="1"/>
      <protection hidden="1"/>
    </xf>
    <xf numFmtId="0" fontId="7" fillId="2" borderId="138" xfId="0" applyFont="1" applyFill="1" applyBorder="1" applyAlignment="1" applyProtection="1">
      <alignment horizontal="center" vertical="center" wrapText="1"/>
      <protection locked="0" hidden="1"/>
    </xf>
    <xf numFmtId="0" fontId="7" fillId="2" borderId="139" xfId="0" applyFont="1" applyFill="1" applyBorder="1" applyAlignment="1" applyProtection="1">
      <alignment horizontal="center" vertical="center" wrapText="1"/>
      <protection locked="0" hidden="1"/>
    </xf>
    <xf numFmtId="0" fontId="21" fillId="2" borderId="66" xfId="0" applyFont="1" applyFill="1" applyBorder="1" applyAlignment="1" applyProtection="1">
      <alignment horizontal="center" vertical="center" wrapText="1"/>
      <protection hidden="1"/>
    </xf>
    <xf numFmtId="0" fontId="21" fillId="2" borderId="82" xfId="0" applyFont="1" applyFill="1" applyBorder="1" applyAlignment="1" applyProtection="1">
      <alignment horizontal="center" vertical="center" wrapText="1"/>
      <protection hidden="1"/>
    </xf>
    <xf numFmtId="0" fontId="4" fillId="15" borderId="41" xfId="0" applyFont="1" applyFill="1" applyBorder="1" applyAlignment="1" applyProtection="1">
      <alignment horizontal="center" vertical="center" textRotation="90" wrapText="1"/>
      <protection hidden="1"/>
    </xf>
    <xf numFmtId="0" fontId="4" fillId="15" borderId="0" xfId="0" applyFont="1" applyFill="1" applyBorder="1" applyAlignment="1" applyProtection="1">
      <alignment horizontal="center" vertical="center" textRotation="90" wrapText="1"/>
      <protection hidden="1"/>
    </xf>
    <xf numFmtId="0" fontId="4" fillId="15" borderId="57" xfId="0" applyFont="1" applyFill="1" applyBorder="1" applyAlignment="1" applyProtection="1">
      <alignment horizontal="center" vertical="center" textRotation="90" wrapText="1"/>
      <protection hidden="1"/>
    </xf>
    <xf numFmtId="0" fontId="13" fillId="14" borderId="143" xfId="0" applyFont="1" applyFill="1" applyBorder="1" applyAlignment="1" applyProtection="1">
      <alignment horizontal="left" vertical="center" wrapText="1"/>
      <protection locked="0" hidden="1"/>
    </xf>
    <xf numFmtId="0" fontId="13" fillId="14" borderId="144" xfId="0" applyFont="1" applyFill="1" applyBorder="1" applyAlignment="1" applyProtection="1">
      <alignment horizontal="left" vertical="center" wrapText="1"/>
      <protection locked="0" hidden="1"/>
    </xf>
    <xf numFmtId="0" fontId="13" fillId="14" borderId="145" xfId="0" applyFont="1" applyFill="1" applyBorder="1" applyAlignment="1" applyProtection="1">
      <alignment horizontal="left" vertical="center" wrapText="1"/>
      <protection locked="0" hidden="1"/>
    </xf>
    <xf numFmtId="0" fontId="9" fillId="2" borderId="125" xfId="0" applyFont="1" applyFill="1" applyBorder="1" applyAlignment="1" applyProtection="1">
      <alignment horizontal="right" vertical="center" wrapText="1"/>
      <protection locked="0" hidden="1"/>
    </xf>
    <xf numFmtId="0" fontId="7" fillId="2" borderId="125" xfId="0" applyFont="1" applyFill="1" applyBorder="1" applyAlignment="1" applyProtection="1">
      <alignment horizontal="left" vertical="center" wrapText="1"/>
      <protection hidden="1"/>
    </xf>
    <xf numFmtId="0" fontId="7" fillId="2" borderId="131" xfId="0" applyFont="1" applyFill="1" applyBorder="1" applyAlignment="1" applyProtection="1">
      <alignment horizontal="left" vertical="center" wrapText="1"/>
      <protection hidden="1"/>
    </xf>
    <xf numFmtId="0" fontId="9" fillId="2" borderId="132" xfId="0" applyFont="1" applyFill="1" applyBorder="1" applyAlignment="1" applyProtection="1">
      <alignment horizontal="center" vertical="center" wrapText="1"/>
      <protection hidden="1"/>
    </xf>
    <xf numFmtId="0" fontId="7" fillId="2" borderId="132" xfId="0" applyFont="1" applyFill="1" applyBorder="1" applyAlignment="1" applyProtection="1">
      <alignment horizontal="center" vertical="center" wrapText="1"/>
      <protection locked="0" hidden="1"/>
    </xf>
    <xf numFmtId="0" fontId="7" fillId="2" borderId="133" xfId="0" applyFont="1" applyFill="1" applyBorder="1" applyAlignment="1" applyProtection="1">
      <alignment horizontal="center" vertical="center" wrapText="1"/>
      <protection locked="0" hidden="1"/>
    </xf>
    <xf numFmtId="0" fontId="9" fillId="2" borderId="127" xfId="0" applyFont="1" applyFill="1" applyBorder="1" applyAlignment="1" applyProtection="1">
      <alignment horizontal="right" vertical="center" wrapText="1"/>
      <protection locked="0" hidden="1"/>
    </xf>
    <xf numFmtId="0" fontId="7" fillId="2" borderId="127" xfId="0" applyFont="1" applyFill="1" applyBorder="1" applyAlignment="1" applyProtection="1">
      <alignment horizontal="left" vertical="center" wrapText="1"/>
      <protection hidden="1"/>
    </xf>
    <xf numFmtId="0" fontId="7" fillId="2" borderId="134" xfId="0" applyFont="1" applyFill="1" applyBorder="1" applyAlignment="1" applyProtection="1">
      <alignment horizontal="left" vertical="center" wrapText="1"/>
      <protection hidden="1"/>
    </xf>
    <xf numFmtId="0" fontId="9" fillId="2" borderId="135" xfId="0" applyFont="1" applyFill="1" applyBorder="1" applyAlignment="1" applyProtection="1">
      <alignment horizontal="center" vertical="center" wrapText="1"/>
      <protection hidden="1"/>
    </xf>
    <xf numFmtId="0" fontId="7" fillId="2" borderId="135" xfId="0" applyFont="1" applyFill="1" applyBorder="1" applyAlignment="1" applyProtection="1">
      <alignment horizontal="center" vertical="center" wrapText="1"/>
      <protection locked="0" hidden="1"/>
    </xf>
    <xf numFmtId="0" fontId="7" fillId="2" borderId="136" xfId="0" applyFont="1" applyFill="1" applyBorder="1" applyAlignment="1" applyProtection="1">
      <alignment horizontal="center" vertical="center" wrapText="1"/>
      <protection locked="0" hidden="1"/>
    </xf>
    <xf numFmtId="0" fontId="20" fillId="0" borderId="98" xfId="0" applyFont="1" applyFill="1" applyBorder="1" applyAlignment="1" applyProtection="1">
      <alignment horizontal="left" vertical="center" wrapText="1"/>
      <protection hidden="1"/>
    </xf>
    <xf numFmtId="0" fontId="20" fillId="14" borderId="118" xfId="0" applyFont="1" applyFill="1" applyBorder="1" applyAlignment="1" applyProtection="1">
      <alignment horizontal="right" vertical="center" wrapText="1"/>
      <protection locked="0" hidden="1"/>
    </xf>
    <xf numFmtId="0" fontId="20" fillId="14" borderId="124" xfId="0" applyFont="1" applyFill="1" applyBorder="1" applyAlignment="1" applyProtection="1">
      <alignment horizontal="right" vertical="center" wrapText="1"/>
      <protection locked="0" hidden="1"/>
    </xf>
    <xf numFmtId="0" fontId="20" fillId="0" borderId="99" xfId="0" applyFont="1" applyFill="1" applyBorder="1" applyAlignment="1" applyProtection="1">
      <alignment horizontal="center" vertical="center" wrapText="1"/>
      <protection hidden="1"/>
    </xf>
    <xf numFmtId="0" fontId="20" fillId="0" borderId="99" xfId="0" applyFont="1" applyFill="1" applyBorder="1" applyAlignment="1" applyProtection="1">
      <alignment horizontal="left" vertical="center" wrapText="1"/>
      <protection hidden="1"/>
    </xf>
    <xf numFmtId="0" fontId="0" fillId="0" borderId="110" xfId="0" applyBorder="1" applyAlignment="1" applyProtection="1">
      <alignment horizontal="center" vertical="center"/>
      <protection hidden="1"/>
    </xf>
    <xf numFmtId="0" fontId="0" fillId="0" borderId="111" xfId="0" applyBorder="1" applyAlignment="1" applyProtection="1">
      <alignment horizontal="center" vertical="center"/>
      <protection hidden="1"/>
    </xf>
    <xf numFmtId="0" fontId="0" fillId="0" borderId="112" xfId="0" applyBorder="1" applyAlignment="1" applyProtection="1">
      <alignment horizontal="center" vertical="center"/>
      <protection hidden="1"/>
    </xf>
    <xf numFmtId="0" fontId="0" fillId="0" borderId="113" xfId="0" applyBorder="1" applyAlignment="1" applyProtection="1">
      <alignment horizontal="center" vertical="center"/>
      <protection hidden="1"/>
    </xf>
    <xf numFmtId="0" fontId="20" fillId="14" borderId="111" xfId="0" applyFont="1" applyFill="1" applyBorder="1" applyAlignment="1" applyProtection="1">
      <alignment horizontal="center" vertical="center" wrapText="1"/>
      <protection locked="0" hidden="1"/>
    </xf>
    <xf numFmtId="0" fontId="20" fillId="14" borderId="113" xfId="0" applyFont="1" applyFill="1" applyBorder="1" applyAlignment="1" applyProtection="1">
      <alignment horizontal="center" vertical="center" wrapText="1"/>
      <protection locked="0" hidden="1"/>
    </xf>
    <xf numFmtId="0" fontId="36" fillId="0" borderId="111" xfId="0" applyFont="1" applyFill="1" applyBorder="1" applyAlignment="1" applyProtection="1">
      <alignment horizontal="center" vertical="center" wrapText="1"/>
      <protection hidden="1"/>
    </xf>
    <xf numFmtId="0" fontId="36" fillId="0" borderId="113" xfId="0" applyFont="1" applyFill="1" applyBorder="1" applyAlignment="1" applyProtection="1">
      <alignment horizontal="center" vertical="center" wrapText="1"/>
      <protection hidden="1"/>
    </xf>
    <xf numFmtId="0" fontId="26" fillId="14" borderId="120" xfId="0" applyFont="1" applyFill="1" applyBorder="1" applyAlignment="1" applyProtection="1">
      <alignment horizontal="center" vertical="center" wrapText="1"/>
      <protection locked="0" hidden="1"/>
    </xf>
    <xf numFmtId="0" fontId="26" fillId="14" borderId="121" xfId="0" applyFont="1" applyFill="1" applyBorder="1" applyAlignment="1" applyProtection="1">
      <alignment horizontal="center" vertical="center" wrapText="1"/>
      <protection locked="0" hidden="1"/>
    </xf>
    <xf numFmtId="0" fontId="26" fillId="14" borderId="123" xfId="0" applyFont="1" applyFill="1" applyBorder="1" applyAlignment="1" applyProtection="1">
      <alignment horizontal="center" vertical="center" wrapText="1"/>
      <protection locked="0" hidden="1"/>
    </xf>
    <xf numFmtId="0" fontId="26" fillId="14" borderId="118" xfId="0" applyFont="1" applyFill="1" applyBorder="1" applyAlignment="1" applyProtection="1">
      <alignment horizontal="center" vertical="center" wrapText="1"/>
      <protection locked="0" hidden="1"/>
    </xf>
    <xf numFmtId="0" fontId="20" fillId="14" borderId="121" xfId="0" applyFont="1" applyFill="1" applyBorder="1" applyAlignment="1" applyProtection="1">
      <alignment horizontal="right" vertical="center" wrapText="1"/>
      <protection locked="0" hidden="1"/>
    </xf>
    <xf numFmtId="0" fontId="20" fillId="14" borderId="122" xfId="0" applyFont="1" applyFill="1" applyBorder="1" applyAlignment="1" applyProtection="1">
      <alignment horizontal="right" vertical="center" wrapText="1"/>
      <protection locked="0" hidden="1"/>
    </xf>
    <xf numFmtId="0" fontId="20" fillId="0" borderId="98" xfId="0" applyFont="1" applyFill="1" applyBorder="1" applyAlignment="1" applyProtection="1">
      <alignment horizontal="center" vertical="center" wrapText="1"/>
      <protection hidden="1"/>
    </xf>
    <xf numFmtId="22" fontId="44" fillId="2" borderId="78" xfId="0" applyNumberFormat="1" applyFont="1" applyFill="1" applyBorder="1" applyAlignment="1" applyProtection="1">
      <alignment horizontal="center" vertical="center" wrapText="1"/>
      <protection hidden="1"/>
    </xf>
    <xf numFmtId="22" fontId="44" fillId="2" borderId="79" xfId="0" applyNumberFormat="1" applyFont="1" applyFill="1" applyBorder="1" applyAlignment="1" applyProtection="1">
      <alignment horizontal="center" vertical="center" wrapText="1"/>
      <protection hidden="1"/>
    </xf>
    <xf numFmtId="164" fontId="46" fillId="0" borderId="80" xfId="0" applyNumberFormat="1" applyFont="1" applyFill="1" applyBorder="1" applyAlignment="1" applyProtection="1">
      <alignment horizontal="center" vertical="center" wrapText="1"/>
      <protection locked="0" hidden="1"/>
    </xf>
    <xf numFmtId="164" fontId="46" fillId="0" borderId="79" xfId="0" applyNumberFormat="1" applyFont="1" applyFill="1" applyBorder="1" applyAlignment="1" applyProtection="1">
      <alignment horizontal="center" vertical="center" wrapText="1"/>
      <protection locked="0" hidden="1"/>
    </xf>
    <xf numFmtId="164" fontId="46" fillId="0" borderId="8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2" fillId="0" borderId="19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1" fontId="4" fillId="0" borderId="19" xfId="0" applyNumberFormat="1" applyFont="1" applyBorder="1" applyAlignment="1" applyProtection="1">
      <alignment horizontal="center" vertical="center" wrapText="1"/>
      <protection hidden="1"/>
    </xf>
    <xf numFmtId="1" fontId="4" fillId="0" borderId="21" xfId="0" applyNumberFormat="1" applyFont="1" applyBorder="1" applyAlignment="1" applyProtection="1">
      <alignment horizontal="center" vertical="center" wrapText="1"/>
      <protection hidden="1"/>
    </xf>
    <xf numFmtId="0" fontId="0" fillId="0" borderId="19" xfId="0" applyFill="1" applyBorder="1" applyAlignment="1" applyProtection="1">
      <alignment horizontal="center" vertical="center" wrapText="1"/>
      <protection hidden="1"/>
    </xf>
    <xf numFmtId="0" fontId="0" fillId="0" borderId="20" xfId="0" applyFill="1" applyBorder="1" applyAlignment="1" applyProtection="1">
      <alignment horizontal="center" vertical="center" wrapText="1"/>
      <protection hidden="1"/>
    </xf>
    <xf numFmtId="0" fontId="0" fillId="12" borderId="76" xfId="0" applyFill="1" applyBorder="1" applyAlignment="1" applyProtection="1">
      <alignment horizontal="left" vertical="center" wrapText="1"/>
      <protection hidden="1"/>
    </xf>
    <xf numFmtId="0" fontId="0" fillId="12" borderId="0" xfId="0" applyFill="1" applyBorder="1" applyAlignment="1" applyProtection="1">
      <alignment horizontal="left" vertical="center" wrapText="1"/>
      <protection hidden="1"/>
    </xf>
    <xf numFmtId="0" fontId="0" fillId="12" borderId="77" xfId="0" applyFill="1" applyBorder="1" applyAlignment="1" applyProtection="1">
      <alignment horizontal="left" vertical="center" wrapText="1"/>
      <protection hidden="1"/>
    </xf>
    <xf numFmtId="0" fontId="0" fillId="12" borderId="73" xfId="0" applyFill="1" applyBorder="1" applyAlignment="1" applyProtection="1">
      <alignment horizontal="left" vertical="center" wrapText="1"/>
      <protection hidden="1"/>
    </xf>
    <xf numFmtId="0" fontId="0" fillId="12" borderId="74" xfId="0" applyFill="1" applyBorder="1" applyAlignment="1" applyProtection="1">
      <alignment horizontal="left" vertical="center" wrapText="1"/>
      <protection hidden="1"/>
    </xf>
    <xf numFmtId="0" fontId="0" fillId="12" borderId="75" xfId="0" applyFill="1" applyBorder="1" applyAlignment="1" applyProtection="1">
      <alignment horizontal="left" vertical="center" wrapText="1"/>
      <protection hidden="1"/>
    </xf>
    <xf numFmtId="0" fontId="16" fillId="0" borderId="52" xfId="0" applyFont="1" applyFill="1" applyBorder="1" applyAlignment="1" applyProtection="1">
      <alignment horizontal="center" vertical="center" wrapText="1"/>
      <protection hidden="1"/>
    </xf>
    <xf numFmtId="0" fontId="16" fillId="0" borderId="55" xfId="0" applyFont="1" applyFill="1" applyBorder="1" applyAlignment="1" applyProtection="1">
      <alignment horizontal="center" vertical="center" wrapText="1"/>
      <protection hidden="1"/>
    </xf>
    <xf numFmtId="0" fontId="11" fillId="0" borderId="40" xfId="0" applyFont="1" applyFill="1" applyBorder="1" applyAlignment="1" applyProtection="1">
      <alignment horizontal="center" vertical="center" wrapText="1"/>
      <protection hidden="1"/>
    </xf>
    <xf numFmtId="0" fontId="11" fillId="0" borderId="21" xfId="0" applyFont="1" applyFill="1" applyBorder="1" applyAlignment="1" applyProtection="1">
      <alignment horizontal="center" vertical="center" wrapText="1"/>
      <protection hidden="1"/>
    </xf>
    <xf numFmtId="0" fontId="11" fillId="0" borderId="52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right" vertical="center" wrapText="1"/>
      <protection hidden="1"/>
    </xf>
    <xf numFmtId="0" fontId="4" fillId="0" borderId="18" xfId="0" applyFont="1" applyBorder="1" applyAlignment="1" applyProtection="1">
      <alignment horizontal="right" vertical="center" wrapText="1"/>
      <protection hidden="1"/>
    </xf>
    <xf numFmtId="0" fontId="20" fillId="14" borderId="64" xfId="0" applyFont="1" applyFill="1" applyBorder="1" applyAlignment="1" applyProtection="1">
      <alignment horizontal="right" vertical="center" wrapText="1"/>
      <protection locked="0" hidden="1"/>
    </xf>
    <xf numFmtId="0" fontId="20" fillId="14" borderId="65" xfId="0" applyFont="1" applyFill="1" applyBorder="1" applyAlignment="1" applyProtection="1">
      <alignment horizontal="right" vertical="center" wrapText="1"/>
      <protection locked="0" hidden="1"/>
    </xf>
    <xf numFmtId="0" fontId="0" fillId="0" borderId="40" xfId="0" applyFill="1" applyBorder="1" applyAlignment="1" applyProtection="1">
      <alignment horizontal="center" vertical="center" wrapText="1"/>
      <protection hidden="1"/>
    </xf>
    <xf numFmtId="0" fontId="0" fillId="0" borderId="21" xfId="0" applyFill="1" applyBorder="1" applyAlignment="1" applyProtection="1">
      <alignment horizontal="center" vertical="center" wrapText="1"/>
      <protection hidden="1"/>
    </xf>
    <xf numFmtId="0" fontId="0" fillId="0" borderId="56" xfId="0" applyFill="1" applyBorder="1" applyAlignment="1" applyProtection="1">
      <alignment horizontal="center" vertical="center" wrapText="1"/>
      <protection hidden="1"/>
    </xf>
    <xf numFmtId="0" fontId="0" fillId="0" borderId="52" xfId="0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55" xfId="0" applyFill="1" applyBorder="1" applyAlignment="1" applyProtection="1">
      <alignment horizontal="center" vertical="center" wrapText="1"/>
      <protection hidden="1"/>
    </xf>
    <xf numFmtId="0" fontId="0" fillId="0" borderId="21" xfId="0" applyBorder="1" applyAlignment="1" applyProtection="1">
      <alignment horizontal="center" vertical="center" wrapText="1"/>
      <protection hidden="1"/>
    </xf>
    <xf numFmtId="0" fontId="0" fillId="0" borderId="56" xfId="0" applyBorder="1" applyAlignment="1" applyProtection="1">
      <alignment horizontal="center" vertical="center" wrapText="1"/>
      <protection hidden="1"/>
    </xf>
    <xf numFmtId="0" fontId="4" fillId="0" borderId="63" xfId="0" applyFont="1" applyBorder="1" applyAlignment="1" applyProtection="1">
      <alignment horizontal="right" vertical="center" wrapText="1"/>
      <protection hidden="1"/>
    </xf>
    <xf numFmtId="1" fontId="4" fillId="0" borderId="52" xfId="0" applyNumberFormat="1" applyFont="1" applyBorder="1" applyAlignment="1" applyProtection="1">
      <alignment horizontal="right" vertical="center" wrapText="1"/>
      <protection hidden="1"/>
    </xf>
    <xf numFmtId="1" fontId="4" fillId="0" borderId="0" xfId="0" applyNumberFormat="1" applyFont="1" applyBorder="1" applyAlignment="1" applyProtection="1">
      <alignment horizontal="right" vertical="center" wrapText="1"/>
      <protection hidden="1"/>
    </xf>
    <xf numFmtId="0" fontId="4" fillId="0" borderId="21" xfId="0" applyFont="1" applyBorder="1" applyAlignment="1" applyProtection="1">
      <alignment horizontal="center" vertical="center" wrapText="1"/>
      <protection hidden="1"/>
    </xf>
    <xf numFmtId="0" fontId="16" fillId="0" borderId="40" xfId="0" applyFont="1" applyFill="1" applyBorder="1" applyAlignment="1" applyProtection="1">
      <alignment horizontal="center" vertical="center" wrapText="1"/>
      <protection hidden="1"/>
    </xf>
    <xf numFmtId="0" fontId="16" fillId="0" borderId="83" xfId="0" applyFont="1" applyFill="1" applyBorder="1" applyAlignment="1" applyProtection="1">
      <alignment horizontal="center" vertical="center" wrapText="1"/>
      <protection hidden="1"/>
    </xf>
    <xf numFmtId="164" fontId="3" fillId="0" borderId="84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2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3" xfId="0" applyFont="1" applyFill="1" applyBorder="1" applyAlignment="1" applyProtection="1">
      <alignment horizontal="center" vertical="center"/>
      <protection hidden="1"/>
    </xf>
    <xf numFmtId="0" fontId="1" fillId="13" borderId="63" xfId="0" applyFont="1" applyFill="1" applyBorder="1" applyAlignment="1" applyProtection="1">
      <alignment horizontal="center" vertical="center" wrapText="1"/>
      <protection hidden="1"/>
    </xf>
    <xf numFmtId="0" fontId="0" fillId="0" borderId="63" xfId="0" applyFont="1" applyFill="1" applyBorder="1" applyAlignment="1" applyProtection="1">
      <alignment horizontal="center" vertical="center" wrapText="1"/>
      <protection hidden="1"/>
    </xf>
    <xf numFmtId="0" fontId="1" fillId="0" borderId="40" xfId="0" applyFont="1" applyFill="1" applyBorder="1" applyAlignment="1" applyProtection="1">
      <alignment horizontal="right" vertical="center"/>
      <protection hidden="1"/>
    </xf>
    <xf numFmtId="0" fontId="1" fillId="0" borderId="21" xfId="0" applyFont="1" applyFill="1" applyBorder="1" applyAlignment="1" applyProtection="1">
      <alignment horizontal="right" vertical="center"/>
      <protection hidden="1"/>
    </xf>
    <xf numFmtId="0" fontId="48" fillId="0" borderId="31" xfId="0" applyFont="1" applyFill="1" applyBorder="1" applyAlignment="1" applyProtection="1">
      <alignment horizontal="center" vertical="center" wrapText="1"/>
      <protection locked="0" hidden="1"/>
    </xf>
    <xf numFmtId="1" fontId="48" fillId="0" borderId="31" xfId="0" applyNumberFormat="1" applyFont="1" applyFill="1" applyBorder="1" applyAlignment="1" applyProtection="1">
      <alignment horizontal="center" vertical="center" wrapText="1"/>
      <protection locked="0" hidden="1"/>
    </xf>
    <xf numFmtId="0" fontId="48" fillId="0" borderId="31" xfId="0" applyFont="1" applyFill="1" applyBorder="1" applyAlignment="1" applyProtection="1">
      <alignment horizontal="left" vertical="center" wrapText="1"/>
      <protection locked="0" hidden="1"/>
    </xf>
    <xf numFmtId="0" fontId="0" fillId="0" borderId="31" xfId="0" applyFill="1" applyBorder="1" applyAlignment="1" applyProtection="1">
      <alignment horizontal="center" vertical="center"/>
      <protection hidden="1"/>
    </xf>
    <xf numFmtId="0" fontId="20" fillId="0" borderId="57" xfId="0" applyFont="1" applyFill="1" applyBorder="1" applyAlignment="1" applyProtection="1">
      <alignment horizontal="center" vertical="center" wrapText="1"/>
      <protection locked="0" hidden="1"/>
    </xf>
    <xf numFmtId="0" fontId="20" fillId="0" borderId="190" xfId="0" applyFont="1" applyFill="1" applyBorder="1" applyAlignment="1" applyProtection="1">
      <alignment horizontal="center" vertical="center" wrapText="1"/>
      <protection locked="0" hidden="1"/>
    </xf>
    <xf numFmtId="22" fontId="3" fillId="0" borderId="1" xfId="0" applyNumberFormat="1" applyFont="1" applyFill="1" applyBorder="1" applyAlignment="1" applyProtection="1">
      <alignment horizontal="right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38" xfId="0" applyFont="1" applyBorder="1" applyAlignment="1" applyProtection="1">
      <alignment horizontal="center" vertical="center" wrapText="1"/>
      <protection hidden="1"/>
    </xf>
    <xf numFmtId="0" fontId="2" fillId="0" borderId="53" xfId="0" applyFont="1" applyBorder="1" applyAlignment="1" applyProtection="1">
      <alignment horizontal="center" vertical="center" wrapText="1"/>
      <protection hidden="1"/>
    </xf>
    <xf numFmtId="22" fontId="3" fillId="7" borderId="53" xfId="0" applyNumberFormat="1" applyFont="1" applyFill="1" applyBorder="1" applyAlignment="1" applyProtection="1">
      <alignment horizontal="center" vertical="center" wrapText="1"/>
      <protection hidden="1"/>
    </xf>
    <xf numFmtId="22" fontId="3" fillId="7" borderId="62" xfId="0" applyNumberFormat="1" applyFont="1" applyFill="1" applyBorder="1" applyAlignment="1" applyProtection="1">
      <alignment horizontal="center" vertical="center" wrapText="1"/>
      <protection hidden="1"/>
    </xf>
    <xf numFmtId="0" fontId="37" fillId="2" borderId="87" xfId="0" applyFont="1" applyFill="1" applyBorder="1" applyAlignment="1" applyProtection="1">
      <alignment horizontal="center" vertical="center" wrapText="1"/>
      <protection hidden="1"/>
    </xf>
    <xf numFmtId="0" fontId="37" fillId="2" borderId="68" xfId="0" applyFont="1" applyFill="1" applyBorder="1" applyAlignment="1" applyProtection="1">
      <alignment horizontal="center" vertical="center" wrapText="1"/>
      <protection hidden="1"/>
    </xf>
    <xf numFmtId="0" fontId="37" fillId="2" borderId="69" xfId="0" applyFont="1" applyFill="1" applyBorder="1" applyAlignment="1" applyProtection="1">
      <alignment horizontal="center" vertical="center" wrapText="1"/>
      <protection hidden="1"/>
    </xf>
    <xf numFmtId="0" fontId="31" fillId="14" borderId="116" xfId="0" applyFont="1" applyFill="1" applyBorder="1" applyAlignment="1" applyProtection="1">
      <alignment horizontal="center" vertical="center" wrapText="1"/>
      <protection locked="0" hidden="1"/>
    </xf>
    <xf numFmtId="0" fontId="31" fillId="14" borderId="117" xfId="0" applyFont="1" applyFill="1" applyBorder="1" applyAlignment="1" applyProtection="1">
      <alignment horizontal="center" vertical="center" wrapText="1"/>
      <protection locked="0" hidden="1"/>
    </xf>
    <xf numFmtId="0" fontId="1" fillId="0" borderId="118" xfId="0" applyFont="1" applyFill="1" applyBorder="1" applyAlignment="1" applyProtection="1">
      <alignment horizontal="right" vertical="center" wrapText="1"/>
      <protection hidden="1"/>
    </xf>
    <xf numFmtId="0" fontId="0" fillId="0" borderId="119" xfId="0" applyBorder="1" applyProtection="1">
      <protection hidden="1"/>
    </xf>
    <xf numFmtId="0" fontId="1" fillId="0" borderId="100" xfId="0" applyFont="1" applyFill="1" applyBorder="1" applyAlignment="1" applyProtection="1">
      <alignment horizontal="left" vertical="center" wrapText="1"/>
      <protection hidden="1"/>
    </xf>
    <xf numFmtId="0" fontId="1" fillId="0" borderId="99" xfId="0" applyFont="1" applyFill="1" applyBorder="1" applyAlignment="1" applyProtection="1">
      <alignment horizontal="left" vertical="center" wrapText="1"/>
      <protection hidden="1"/>
    </xf>
    <xf numFmtId="0" fontId="35" fillId="2" borderId="107" xfId="0" applyFont="1" applyFill="1" applyBorder="1" applyAlignment="1" applyProtection="1">
      <alignment horizontal="left" vertical="center" wrapText="1"/>
      <protection hidden="1"/>
    </xf>
    <xf numFmtId="0" fontId="35" fillId="2" borderId="108" xfId="0" applyFont="1" applyFill="1" applyBorder="1" applyAlignment="1" applyProtection="1">
      <alignment horizontal="left" vertical="center" wrapText="1"/>
      <protection hidden="1"/>
    </xf>
    <xf numFmtId="0" fontId="0" fillId="2" borderId="109" xfId="0" applyFill="1" applyBorder="1" applyAlignment="1" applyProtection="1">
      <alignment horizontal="center" vertical="center" wrapText="1"/>
      <protection hidden="1"/>
    </xf>
    <xf numFmtId="0" fontId="0" fillId="2" borderId="114" xfId="0" applyFill="1" applyBorder="1" applyAlignment="1" applyProtection="1">
      <alignment horizontal="center" vertical="center" wrapText="1"/>
      <protection hidden="1"/>
    </xf>
    <xf numFmtId="0" fontId="0" fillId="2" borderId="115" xfId="0" applyFill="1" applyBorder="1" applyAlignment="1" applyProtection="1">
      <alignment horizontal="center" vertical="center" wrapText="1"/>
      <protection hidden="1"/>
    </xf>
    <xf numFmtId="0" fontId="35" fillId="2" borderId="86" xfId="0" applyFont="1" applyFill="1" applyBorder="1" applyAlignment="1" applyProtection="1">
      <alignment horizontal="center" vertical="center" wrapText="1"/>
      <protection hidden="1"/>
    </xf>
    <xf numFmtId="0" fontId="35" fillId="2" borderId="41" xfId="0" applyFont="1" applyFill="1" applyBorder="1" applyAlignment="1" applyProtection="1">
      <alignment horizontal="center" vertical="center" wrapText="1"/>
      <protection hidden="1"/>
    </xf>
    <xf numFmtId="0" fontId="35" fillId="2" borderId="52" xfId="0" applyFont="1" applyFill="1" applyBorder="1" applyAlignment="1" applyProtection="1">
      <alignment horizontal="center" vertical="center" wrapText="1"/>
      <protection hidden="1"/>
    </xf>
    <xf numFmtId="0" fontId="35" fillId="2" borderId="0" xfId="0" applyFont="1" applyFill="1" applyBorder="1" applyAlignment="1" applyProtection="1">
      <alignment horizontal="center" vertical="center" wrapText="1"/>
      <protection hidden="1"/>
    </xf>
    <xf numFmtId="0" fontId="35" fillId="2" borderId="37" xfId="0" applyFont="1" applyFill="1" applyBorder="1" applyAlignment="1" applyProtection="1">
      <alignment horizontal="center" vertical="center" wrapText="1"/>
      <protection hidden="1"/>
    </xf>
    <xf numFmtId="0" fontId="35" fillId="2" borderId="34" xfId="0" applyFont="1" applyFill="1" applyBorder="1" applyAlignment="1" applyProtection="1">
      <alignment horizontal="center" vertical="center" wrapText="1"/>
      <protection hidden="1"/>
    </xf>
    <xf numFmtId="0" fontId="3" fillId="2" borderId="88" xfId="0" applyFont="1" applyFill="1" applyBorder="1" applyAlignment="1" applyProtection="1">
      <alignment horizontal="center" vertical="center" wrapText="1"/>
      <protection hidden="1"/>
    </xf>
    <xf numFmtId="0" fontId="3" fillId="2" borderId="182" xfId="0" applyFont="1" applyFill="1" applyBorder="1" applyAlignment="1" applyProtection="1">
      <alignment horizontal="center" vertical="center" wrapText="1"/>
      <protection hidden="1"/>
    </xf>
    <xf numFmtId="0" fontId="26" fillId="14" borderId="101" xfId="0" applyFont="1" applyFill="1" applyBorder="1" applyAlignment="1" applyProtection="1">
      <alignment vertical="center" wrapText="1"/>
      <protection locked="0" hidden="1"/>
    </xf>
    <xf numFmtId="0" fontId="26" fillId="14" borderId="102" xfId="0" applyFont="1" applyFill="1" applyBorder="1" applyAlignment="1" applyProtection="1">
      <alignment vertical="center" wrapText="1"/>
      <protection locked="0" hidden="1"/>
    </xf>
    <xf numFmtId="0" fontId="9" fillId="0" borderId="103" xfId="0" applyFont="1" applyFill="1" applyBorder="1" applyAlignment="1" applyProtection="1">
      <alignment horizontal="center" vertical="center" wrapText="1"/>
      <protection locked="0" hidden="1"/>
    </xf>
    <xf numFmtId="0" fontId="9" fillId="0" borderId="183" xfId="0" applyFont="1" applyFill="1" applyBorder="1" applyAlignment="1" applyProtection="1">
      <alignment horizontal="center" vertical="center" wrapText="1"/>
      <protection locked="0" hidden="1"/>
    </xf>
    <xf numFmtId="0" fontId="26" fillId="14" borderId="104" xfId="0" applyFont="1" applyFill="1" applyBorder="1" applyAlignment="1" applyProtection="1">
      <alignment vertical="center" wrapText="1"/>
      <protection locked="0" hidden="1"/>
    </xf>
    <xf numFmtId="0" fontId="26" fillId="14" borderId="105" xfId="0" applyFont="1" applyFill="1" applyBorder="1" applyAlignment="1" applyProtection="1">
      <alignment vertical="center" wrapText="1"/>
      <protection locked="0" hidden="1"/>
    </xf>
    <xf numFmtId="0" fontId="9" fillId="0" borderId="106" xfId="0" applyFont="1" applyFill="1" applyBorder="1" applyAlignment="1" applyProtection="1">
      <alignment horizontal="center" vertical="center" wrapText="1"/>
      <protection locked="0" hidden="1"/>
    </xf>
    <xf numFmtId="0" fontId="9" fillId="0" borderId="184" xfId="0" applyFont="1" applyFill="1" applyBorder="1" applyAlignment="1" applyProtection="1">
      <alignment horizontal="center" vertical="center" wrapText="1"/>
      <protection locked="0" hidden="1"/>
    </xf>
    <xf numFmtId="0" fontId="91" fillId="11" borderId="191" xfId="0" applyFont="1" applyFill="1" applyBorder="1" applyAlignment="1" applyProtection="1">
      <alignment horizontal="center" vertical="center" wrapText="1"/>
      <protection hidden="1"/>
    </xf>
    <xf numFmtId="0" fontId="91" fillId="11" borderId="189" xfId="0" applyFont="1" applyFill="1" applyBorder="1" applyAlignment="1" applyProtection="1">
      <alignment horizontal="center" vertical="center" wrapText="1"/>
      <protection hidden="1"/>
    </xf>
    <xf numFmtId="0" fontId="91" fillId="11" borderId="206" xfId="0" applyFont="1" applyFill="1" applyBorder="1" applyAlignment="1" applyProtection="1">
      <alignment horizontal="center" vertical="center" wrapText="1"/>
      <protection hidden="1"/>
    </xf>
    <xf numFmtId="0" fontId="91" fillId="11" borderId="200" xfId="0" applyFont="1" applyFill="1" applyBorder="1" applyAlignment="1" applyProtection="1">
      <alignment horizontal="center" vertical="center" wrapText="1"/>
      <protection hidden="1"/>
    </xf>
    <xf numFmtId="0" fontId="13" fillId="11" borderId="189" xfId="0" applyFont="1" applyFill="1" applyBorder="1" applyAlignment="1" applyProtection="1">
      <alignment horizontal="center" vertical="center" wrapText="1"/>
      <protection locked="0" hidden="1"/>
    </xf>
    <xf numFmtId="0" fontId="13" fillId="11" borderId="202" xfId="0" applyFont="1" applyFill="1" applyBorder="1" applyAlignment="1" applyProtection="1">
      <alignment horizontal="center" vertical="center" wrapText="1"/>
      <protection locked="0" hidden="1"/>
    </xf>
    <xf numFmtId="0" fontId="13" fillId="11" borderId="200" xfId="0" applyFont="1" applyFill="1" applyBorder="1" applyAlignment="1" applyProtection="1">
      <alignment horizontal="center" vertical="center" wrapText="1"/>
      <protection locked="0" hidden="1"/>
    </xf>
    <xf numFmtId="0" fontId="13" fillId="11" borderId="204" xfId="0" applyFont="1" applyFill="1" applyBorder="1" applyAlignment="1" applyProtection="1">
      <alignment horizontal="center" vertical="center" wrapText="1"/>
      <protection locked="0" hidden="1"/>
    </xf>
    <xf numFmtId="0" fontId="88" fillId="13" borderId="287" xfId="0" applyFont="1" applyFill="1" applyBorder="1" applyAlignment="1" applyProtection="1">
      <alignment horizontal="center" vertical="center"/>
      <protection hidden="1"/>
    </xf>
    <xf numFmtId="0" fontId="3" fillId="0" borderId="396" xfId="0" applyFont="1" applyFill="1" applyBorder="1" applyAlignment="1" applyProtection="1">
      <alignment horizontal="center" vertical="center"/>
      <protection hidden="1"/>
    </xf>
    <xf numFmtId="0" fontId="3" fillId="0" borderId="322" xfId="0" applyFont="1" applyFill="1" applyBorder="1" applyAlignment="1" applyProtection="1">
      <alignment horizontal="center" vertical="center"/>
      <protection hidden="1"/>
    </xf>
    <xf numFmtId="0" fontId="3" fillId="0" borderId="397" xfId="0" applyFont="1" applyFill="1" applyBorder="1" applyAlignment="1" applyProtection="1">
      <alignment horizontal="center" vertical="center"/>
      <protection hidden="1"/>
    </xf>
    <xf numFmtId="0" fontId="92" fillId="21" borderId="0" xfId="0" applyFont="1" applyFill="1" applyBorder="1" applyAlignment="1" applyProtection="1">
      <alignment horizontal="center" vertical="center"/>
      <protection hidden="1"/>
    </xf>
    <xf numFmtId="0" fontId="92" fillId="13" borderId="0" xfId="0" applyFont="1" applyFill="1" applyBorder="1" applyAlignment="1" applyProtection="1">
      <alignment horizontal="center" vertical="center"/>
      <protection hidden="1"/>
    </xf>
    <xf numFmtId="165" fontId="92" fillId="0" borderId="0" xfId="0" applyNumberFormat="1" applyFont="1" applyFill="1" applyBorder="1" applyAlignment="1" applyProtection="1">
      <alignment horizontal="center" vertical="center"/>
    </xf>
    <xf numFmtId="0" fontId="91" fillId="3" borderId="0" xfId="0" applyFont="1" applyFill="1" applyBorder="1" applyAlignment="1" applyProtection="1">
      <alignment horizontal="center" vertical="center"/>
      <protection hidden="1"/>
    </xf>
    <xf numFmtId="0" fontId="91" fillId="3" borderId="379" xfId="0" applyFont="1" applyFill="1" applyBorder="1" applyAlignment="1" applyProtection="1">
      <alignment horizontal="center" vertical="center"/>
      <protection hidden="1"/>
    </xf>
    <xf numFmtId="0" fontId="91" fillId="3" borderId="384" xfId="0" applyFont="1" applyFill="1" applyBorder="1" applyAlignment="1" applyProtection="1">
      <alignment horizontal="center" vertical="center"/>
      <protection hidden="1"/>
    </xf>
    <xf numFmtId="0" fontId="91" fillId="3" borderId="201" xfId="0" applyFont="1" applyFill="1" applyBorder="1" applyAlignment="1" applyProtection="1">
      <alignment horizontal="center" vertical="center"/>
      <protection hidden="1"/>
    </xf>
    <xf numFmtId="0" fontId="91" fillId="3" borderId="383" xfId="0" applyFont="1" applyFill="1" applyBorder="1" applyAlignment="1" applyProtection="1">
      <alignment horizontal="center" vertical="center"/>
      <protection hidden="1"/>
    </xf>
    <xf numFmtId="0" fontId="91" fillId="3" borderId="218" xfId="0" applyFont="1" applyFill="1" applyBorder="1" applyAlignment="1" applyProtection="1">
      <alignment horizontal="center" vertical="center"/>
      <protection hidden="1"/>
    </xf>
    <xf numFmtId="0" fontId="91" fillId="3" borderId="205" xfId="0" applyFont="1" applyFill="1" applyBorder="1" applyAlignment="1" applyProtection="1">
      <alignment horizontal="center" vertical="center"/>
      <protection hidden="1"/>
    </xf>
    <xf numFmtId="0" fontId="72" fillId="13" borderId="287" xfId="0" applyFont="1" applyFill="1" applyBorder="1" applyAlignment="1" applyProtection="1">
      <alignment horizontal="center" vertical="center"/>
    </xf>
    <xf numFmtId="1" fontId="72" fillId="13" borderId="0" xfId="0" applyNumberFormat="1" applyFont="1" applyFill="1" applyBorder="1" applyAlignment="1" applyProtection="1">
      <alignment horizontal="center" vertical="center"/>
    </xf>
    <xf numFmtId="0" fontId="72" fillId="13" borderId="0" xfId="0" applyFont="1" applyFill="1" applyBorder="1" applyAlignment="1" applyProtection="1">
      <alignment horizontal="center" vertical="center"/>
    </xf>
    <xf numFmtId="0" fontId="72" fillId="13" borderId="0" xfId="0" applyFont="1" applyFill="1" applyBorder="1" applyAlignment="1" applyProtection="1">
      <alignment horizontal="center" vertical="center"/>
      <protection hidden="1"/>
    </xf>
    <xf numFmtId="165" fontId="72" fillId="13" borderId="0" xfId="0" applyNumberFormat="1" applyFont="1" applyFill="1" applyBorder="1" applyAlignment="1" applyProtection="1">
      <alignment horizontal="center" vertical="center" wrapText="1"/>
      <protection hidden="1"/>
    </xf>
    <xf numFmtId="0" fontId="72" fillId="13" borderId="287" xfId="0" applyFont="1" applyFill="1" applyBorder="1" applyAlignment="1" applyProtection="1">
      <alignment horizontal="center" vertical="center" wrapText="1"/>
      <protection hidden="1"/>
    </xf>
    <xf numFmtId="0" fontId="1" fillId="9" borderId="207" xfId="0" applyFont="1" applyFill="1" applyBorder="1" applyAlignment="1" applyProtection="1">
      <alignment horizontal="center" vertical="center"/>
      <protection locked="0" hidden="1"/>
    </xf>
    <xf numFmtId="0" fontId="47" fillId="0" borderId="199" xfId="0" applyFont="1" applyFill="1" applyBorder="1" applyAlignment="1" applyProtection="1">
      <alignment horizontal="right" vertical="center" wrapText="1"/>
      <protection locked="0" hidden="1"/>
    </xf>
    <xf numFmtId="0" fontId="47" fillId="0" borderId="209" xfId="0" applyFont="1" applyFill="1" applyBorder="1" applyAlignment="1" applyProtection="1">
      <alignment horizontal="right" vertical="center" wrapText="1"/>
      <protection locked="0" hidden="1"/>
    </xf>
    <xf numFmtId="0" fontId="16" fillId="9" borderId="289" xfId="0" applyFont="1" applyFill="1" applyBorder="1" applyAlignment="1" applyProtection="1">
      <alignment horizontal="right" vertical="center"/>
      <protection locked="0" hidden="1"/>
    </xf>
    <xf numFmtId="0" fontId="16" fillId="9" borderId="280" xfId="0" applyFont="1" applyFill="1" applyBorder="1" applyAlignment="1" applyProtection="1">
      <alignment horizontal="right" vertical="center"/>
      <protection locked="0" hidden="1"/>
    </xf>
    <xf numFmtId="0" fontId="1" fillId="0" borderId="207" xfId="0" applyFont="1" applyFill="1" applyBorder="1" applyAlignment="1" applyProtection="1">
      <alignment horizontal="center" vertical="center" wrapText="1"/>
      <protection hidden="1"/>
    </xf>
    <xf numFmtId="0" fontId="58" fillId="9" borderId="261" xfId="0" applyFont="1" applyFill="1" applyBorder="1" applyAlignment="1" applyProtection="1">
      <alignment vertical="center" wrapText="1"/>
      <protection locked="0" hidden="1"/>
    </xf>
    <xf numFmtId="0" fontId="58" fillId="9" borderId="209" xfId="0" applyFont="1" applyFill="1" applyBorder="1" applyAlignment="1" applyProtection="1">
      <alignment vertical="center" wrapText="1"/>
      <protection locked="0" hidden="1"/>
    </xf>
    <xf numFmtId="0" fontId="23" fillId="9" borderId="277" xfId="0" applyFont="1" applyFill="1" applyBorder="1" applyAlignment="1" applyProtection="1">
      <alignment horizontal="left" vertical="center"/>
      <protection hidden="1"/>
    </xf>
    <xf numFmtId="0" fontId="23" fillId="9" borderId="278" xfId="0" applyFont="1" applyFill="1" applyBorder="1" applyAlignment="1" applyProtection="1">
      <alignment horizontal="left" vertical="center"/>
      <protection hidden="1"/>
    </xf>
    <xf numFmtId="0" fontId="60" fillId="0" borderId="283" xfId="0" applyFont="1" applyFill="1" applyBorder="1" applyAlignment="1" applyProtection="1">
      <alignment horizontal="center" vertical="center" wrapText="1"/>
      <protection hidden="1"/>
    </xf>
    <xf numFmtId="0" fontId="60" fillId="0" borderId="284" xfId="0" applyFont="1" applyFill="1" applyBorder="1" applyAlignment="1" applyProtection="1">
      <alignment horizontal="center" vertical="center" wrapText="1"/>
      <protection hidden="1"/>
    </xf>
    <xf numFmtId="0" fontId="68" fillId="0" borderId="234" xfId="0" applyFont="1" applyFill="1" applyBorder="1" applyAlignment="1" applyProtection="1">
      <alignment horizontal="center" vertical="center" wrapText="1"/>
      <protection hidden="1"/>
    </xf>
    <xf numFmtId="0" fontId="68" fillId="0" borderId="253" xfId="0" applyFont="1" applyFill="1" applyBorder="1" applyAlignment="1" applyProtection="1">
      <alignment horizontal="center" vertical="center" wrapText="1"/>
      <protection hidden="1"/>
    </xf>
    <xf numFmtId="0" fontId="13" fillId="9" borderId="318" xfId="0" applyFont="1" applyFill="1" applyBorder="1" applyAlignment="1" applyProtection="1">
      <alignment horizontal="right" vertical="center"/>
      <protection locked="0" hidden="1"/>
    </xf>
    <xf numFmtId="0" fontId="13" fillId="9" borderId="193" xfId="0" applyFont="1" applyFill="1" applyBorder="1" applyAlignment="1" applyProtection="1">
      <alignment horizontal="right" vertical="center"/>
      <protection locked="0" hidden="1"/>
    </xf>
    <xf numFmtId="0" fontId="56" fillId="0" borderId="334" xfId="0" applyFont="1" applyBorder="1" applyAlignment="1" applyProtection="1">
      <alignment horizontal="center" vertical="center" wrapText="1"/>
    </xf>
    <xf numFmtId="0" fontId="56" fillId="0" borderId="220" xfId="0" applyFont="1" applyBorder="1" applyAlignment="1" applyProtection="1">
      <alignment horizontal="center" vertical="center" wrapText="1"/>
    </xf>
    <xf numFmtId="0" fontId="56" fillId="0" borderId="333" xfId="0" applyFont="1" applyFill="1" applyBorder="1" applyAlignment="1" applyProtection="1">
      <alignment horizontal="center" vertical="center"/>
    </xf>
    <xf numFmtId="0" fontId="56" fillId="0" borderId="221" xfId="0" applyFont="1" applyFill="1" applyBorder="1" applyAlignment="1" applyProtection="1">
      <alignment horizontal="center" vertical="center"/>
    </xf>
    <xf numFmtId="14" fontId="13" fillId="0" borderId="221" xfId="0" applyNumberFormat="1" applyFont="1" applyBorder="1" applyAlignment="1" applyProtection="1">
      <alignment horizontal="center" vertical="center" wrapText="1"/>
    </xf>
    <xf numFmtId="14" fontId="13" fillId="0" borderId="385" xfId="0" applyNumberFormat="1" applyFont="1" applyBorder="1" applyAlignment="1" applyProtection="1">
      <alignment horizontal="center" vertical="center" wrapText="1"/>
    </xf>
    <xf numFmtId="14" fontId="13" fillId="0" borderId="221" xfId="0" applyNumberFormat="1" applyFont="1" applyFill="1" applyBorder="1" applyAlignment="1" applyProtection="1">
      <alignment horizontal="center" vertical="center"/>
    </xf>
    <xf numFmtId="14" fontId="13" fillId="0" borderId="222" xfId="0" applyNumberFormat="1" applyFont="1" applyFill="1" applyBorder="1" applyAlignment="1" applyProtection="1">
      <alignment horizontal="center" vertical="center"/>
    </xf>
    <xf numFmtId="0" fontId="72" fillId="13" borderId="370" xfId="0" applyFont="1" applyFill="1" applyBorder="1" applyAlignment="1" applyProtection="1">
      <alignment horizontal="center" vertical="center"/>
      <protection hidden="1"/>
    </xf>
    <xf numFmtId="0" fontId="72" fillId="13" borderId="370" xfId="0" applyFont="1" applyFill="1" applyBorder="1" applyAlignment="1" applyProtection="1">
      <alignment horizontal="center" vertical="center"/>
    </xf>
    <xf numFmtId="2" fontId="72" fillId="13" borderId="370" xfId="0" applyNumberFormat="1" applyFont="1" applyFill="1" applyBorder="1" applyAlignment="1" applyProtection="1">
      <alignment horizontal="center" vertical="center" wrapText="1"/>
      <protection hidden="1"/>
    </xf>
    <xf numFmtId="0" fontId="57" fillId="0" borderId="215" xfId="0" applyFont="1" applyFill="1" applyBorder="1" applyAlignment="1" applyProtection="1">
      <alignment horizontal="center" vertical="center"/>
      <protection hidden="1"/>
    </xf>
    <xf numFmtId="0" fontId="57" fillId="0" borderId="216" xfId="0" applyFont="1" applyFill="1" applyBorder="1" applyAlignment="1" applyProtection="1">
      <alignment horizontal="center" vertical="center"/>
      <protection hidden="1"/>
    </xf>
    <xf numFmtId="0" fontId="56" fillId="0" borderId="216" xfId="0" applyFont="1" applyFill="1" applyBorder="1" applyAlignment="1" applyProtection="1">
      <alignment horizontal="center" vertical="center"/>
      <protection hidden="1"/>
    </xf>
    <xf numFmtId="0" fontId="56" fillId="0" borderId="382" xfId="0" applyFont="1" applyFill="1" applyBorder="1" applyAlignment="1" applyProtection="1">
      <alignment horizontal="center" vertical="center"/>
      <protection hidden="1"/>
    </xf>
    <xf numFmtId="0" fontId="68" fillId="0" borderId="197" xfId="0" applyFont="1" applyFill="1" applyBorder="1" applyAlignment="1" applyProtection="1">
      <alignment horizontal="center" vertical="center" wrapText="1"/>
      <protection hidden="1"/>
    </xf>
    <xf numFmtId="0" fontId="68" fillId="0" borderId="223" xfId="0" applyFont="1" applyFill="1" applyBorder="1" applyAlignment="1" applyProtection="1">
      <alignment horizontal="center" vertical="center" wrapText="1"/>
      <protection hidden="1"/>
    </xf>
    <xf numFmtId="0" fontId="68" fillId="0" borderId="285" xfId="0" applyFont="1" applyFill="1" applyBorder="1" applyAlignment="1" applyProtection="1">
      <alignment horizontal="center" vertical="center" wrapText="1"/>
      <protection hidden="1"/>
    </xf>
    <xf numFmtId="0" fontId="1" fillId="9" borderId="201" xfId="0" applyFont="1" applyFill="1" applyBorder="1" applyAlignment="1" applyProtection="1">
      <alignment horizontal="center" vertical="center"/>
      <protection locked="0" hidden="1"/>
    </xf>
    <xf numFmtId="0" fontId="1" fillId="9" borderId="230" xfId="0" applyFont="1" applyFill="1" applyBorder="1" applyAlignment="1" applyProtection="1">
      <alignment horizontal="center" vertical="center"/>
      <protection locked="0" hidden="1"/>
    </xf>
    <xf numFmtId="0" fontId="1" fillId="9" borderId="287" xfId="0" applyFont="1" applyFill="1" applyBorder="1" applyAlignment="1" applyProtection="1">
      <alignment horizontal="center" vertical="center"/>
      <protection locked="0" hidden="1"/>
    </xf>
    <xf numFmtId="0" fontId="1" fillId="9" borderId="291" xfId="0" applyFont="1" applyFill="1" applyBorder="1" applyAlignment="1" applyProtection="1">
      <alignment horizontal="center" vertical="center"/>
      <protection locked="0" hidden="1"/>
    </xf>
    <xf numFmtId="0" fontId="68" fillId="0" borderId="227" xfId="0" applyFont="1" applyFill="1" applyBorder="1" applyAlignment="1" applyProtection="1">
      <alignment horizontal="center" vertical="center" wrapText="1"/>
      <protection hidden="1"/>
    </xf>
    <xf numFmtId="0" fontId="68" fillId="0" borderId="200" xfId="0" applyFont="1" applyFill="1" applyBorder="1" applyAlignment="1" applyProtection="1">
      <alignment horizontal="center" vertical="center" wrapText="1"/>
      <protection hidden="1"/>
    </xf>
    <xf numFmtId="0" fontId="4" fillId="0" borderId="201" xfId="0" applyFont="1" applyFill="1" applyBorder="1" applyAlignment="1" applyProtection="1">
      <alignment horizontal="center" vertical="center" wrapText="1"/>
      <protection hidden="1"/>
    </xf>
    <xf numFmtId="0" fontId="4" fillId="0" borderId="226" xfId="0" applyFont="1" applyFill="1" applyBorder="1" applyAlignment="1" applyProtection="1">
      <alignment horizontal="center" vertical="center" wrapText="1"/>
      <protection hidden="1"/>
    </xf>
    <xf numFmtId="0" fontId="54" fillId="0" borderId="207" xfId="0" applyFont="1" applyFill="1" applyBorder="1" applyAlignment="1" applyProtection="1">
      <alignment horizontal="right" vertical="center" wrapText="1"/>
      <protection hidden="1"/>
    </xf>
    <xf numFmtId="164" fontId="55" fillId="20" borderId="314" xfId="0" applyNumberFormat="1" applyFont="1" applyFill="1" applyBorder="1" applyAlignment="1" applyProtection="1">
      <alignment horizontal="center" vertical="center"/>
      <protection locked="0" hidden="1"/>
    </xf>
    <xf numFmtId="16" fontId="11" fillId="9" borderId="193" xfId="0" applyNumberFormat="1" applyFont="1" applyFill="1" applyBorder="1" applyAlignment="1" applyProtection="1">
      <alignment horizontal="center" vertical="center" wrapText="1"/>
      <protection locked="0" hidden="1"/>
    </xf>
    <xf numFmtId="0" fontId="11" fillId="9" borderId="193" xfId="0" applyFont="1" applyFill="1" applyBorder="1" applyAlignment="1" applyProtection="1">
      <alignment horizontal="center" vertical="center" wrapText="1"/>
      <protection locked="0" hidden="1"/>
    </xf>
    <xf numFmtId="164" fontId="3" fillId="9" borderId="207" xfId="0" applyNumberFormat="1" applyFont="1" applyFill="1" applyBorder="1" applyAlignment="1" applyProtection="1">
      <alignment horizontal="center" vertical="center" wrapText="1"/>
      <protection locked="0" hidden="1"/>
    </xf>
    <xf numFmtId="0" fontId="50" fillId="0" borderId="252" xfId="0" applyFont="1" applyFill="1" applyBorder="1" applyAlignment="1" applyProtection="1">
      <alignment horizontal="left" vertical="center" wrapText="1"/>
      <protection hidden="1"/>
    </xf>
    <xf numFmtId="0" fontId="50" fillId="0" borderId="234" xfId="0" applyFont="1" applyFill="1" applyBorder="1" applyAlignment="1" applyProtection="1">
      <alignment horizontal="left" vertical="center" wrapText="1"/>
      <protection hidden="1"/>
    </xf>
    <xf numFmtId="0" fontId="50" fillId="0" borderId="200" xfId="0" applyFont="1" applyFill="1" applyBorder="1" applyAlignment="1" applyProtection="1">
      <alignment horizontal="left" vertical="center" wrapText="1"/>
      <protection hidden="1"/>
    </xf>
    <xf numFmtId="0" fontId="31" fillId="9" borderId="328" xfId="0" applyFont="1" applyFill="1" applyBorder="1" applyAlignment="1" applyProtection="1">
      <alignment horizontal="center" vertical="center"/>
      <protection locked="0" hidden="1"/>
    </xf>
    <xf numFmtId="0" fontId="31" fillId="9" borderId="329" xfId="0" applyFont="1" applyFill="1" applyBorder="1" applyAlignment="1" applyProtection="1">
      <alignment horizontal="center" vertical="center"/>
      <protection locked="0" hidden="1"/>
    </xf>
    <xf numFmtId="0" fontId="69" fillId="0" borderId="209" xfId="0" applyFont="1" applyFill="1" applyBorder="1" applyAlignment="1" applyProtection="1">
      <alignment horizontal="center" vertical="center"/>
      <protection hidden="1"/>
    </xf>
    <xf numFmtId="0" fontId="69" fillId="0" borderId="228" xfId="0" applyFont="1" applyFill="1" applyBorder="1" applyAlignment="1" applyProtection="1">
      <alignment horizontal="center" vertical="center"/>
      <protection hidden="1"/>
    </xf>
    <xf numFmtId="0" fontId="23" fillId="0" borderId="199" xfId="0" applyFont="1" applyFill="1" applyBorder="1" applyAlignment="1" applyProtection="1">
      <alignment horizontal="left" vertical="center"/>
      <protection hidden="1"/>
    </xf>
    <xf numFmtId="0" fontId="23" fillId="0" borderId="209" xfId="0" applyFont="1" applyFill="1" applyBorder="1" applyAlignment="1" applyProtection="1">
      <alignment horizontal="left" vertical="center"/>
      <protection hidden="1"/>
    </xf>
    <xf numFmtId="0" fontId="13" fillId="0" borderId="241" xfId="0" applyFont="1" applyFill="1" applyBorder="1" applyAlignment="1" applyProtection="1">
      <alignment horizontal="center" vertical="center" wrapText="1"/>
      <protection hidden="1"/>
    </xf>
    <xf numFmtId="0" fontId="13" fillId="0" borderId="266" xfId="0" applyFont="1" applyFill="1" applyBorder="1" applyAlignment="1" applyProtection="1">
      <alignment horizontal="center" vertical="center" wrapText="1"/>
      <protection hidden="1"/>
    </xf>
    <xf numFmtId="165" fontId="20" fillId="0" borderId="265" xfId="0" applyNumberFormat="1" applyFont="1" applyFill="1" applyBorder="1" applyAlignment="1" applyProtection="1">
      <alignment horizontal="right" vertical="center" wrapText="1"/>
      <protection hidden="1"/>
    </xf>
    <xf numFmtId="165" fontId="20" fillId="0" borderId="241" xfId="0" applyNumberFormat="1" applyFont="1" applyFill="1" applyBorder="1" applyAlignment="1" applyProtection="1">
      <alignment horizontal="right" vertical="center" wrapText="1"/>
      <protection hidden="1"/>
    </xf>
    <xf numFmtId="0" fontId="68" fillId="0" borderId="193" xfId="0" applyFont="1" applyFill="1" applyBorder="1" applyAlignment="1" applyProtection="1">
      <alignment horizontal="center" vertical="center"/>
      <protection hidden="1"/>
    </xf>
    <xf numFmtId="0" fontId="26" fillId="0" borderId="199" xfId="0" applyFont="1" applyFill="1" applyBorder="1" applyAlignment="1" applyProtection="1">
      <alignment horizontal="left" vertical="center"/>
      <protection locked="0" hidden="1"/>
    </xf>
    <xf numFmtId="0" fontId="26" fillId="0" borderId="209" xfId="0" applyFont="1" applyFill="1" applyBorder="1" applyAlignment="1" applyProtection="1">
      <alignment horizontal="left" vertical="center"/>
      <protection locked="0" hidden="1"/>
    </xf>
    <xf numFmtId="0" fontId="26" fillId="0" borderId="196" xfId="0" applyFont="1" applyFill="1" applyBorder="1" applyAlignment="1" applyProtection="1">
      <alignment horizontal="left" vertical="center"/>
      <protection locked="0" hidden="1"/>
    </xf>
    <xf numFmtId="0" fontId="82" fillId="0" borderId="261" xfId="0" applyFont="1" applyFill="1" applyBorder="1" applyAlignment="1" applyProtection="1">
      <alignment horizontal="center" vertical="center"/>
    </xf>
    <xf numFmtId="0" fontId="82" fillId="0" borderId="209" xfId="0" applyFont="1" applyFill="1" applyBorder="1" applyAlignment="1" applyProtection="1">
      <alignment horizontal="center" vertical="center"/>
    </xf>
    <xf numFmtId="0" fontId="50" fillId="0" borderId="241" xfId="0" applyFont="1" applyFill="1" applyBorder="1" applyAlignment="1" applyProtection="1">
      <alignment horizontal="center" vertical="center"/>
    </xf>
    <xf numFmtId="165" fontId="26" fillId="0" borderId="243" xfId="0" applyNumberFormat="1" applyFont="1" applyFill="1" applyBorder="1" applyAlignment="1" applyProtection="1">
      <alignment horizontal="center" vertical="center" wrapText="1"/>
      <protection hidden="1"/>
    </xf>
    <xf numFmtId="165" fontId="26" fillId="0" borderId="241" xfId="0" applyNumberFormat="1" applyFont="1" applyFill="1" applyBorder="1" applyAlignment="1" applyProtection="1">
      <alignment horizontal="center" vertical="center" wrapText="1"/>
      <protection hidden="1"/>
    </xf>
    <xf numFmtId="0" fontId="50" fillId="0" borderId="200" xfId="0" applyFont="1" applyFill="1" applyBorder="1" applyAlignment="1" applyProtection="1">
      <alignment horizontal="center" vertical="center" wrapText="1"/>
      <protection hidden="1"/>
    </xf>
    <xf numFmtId="0" fontId="50" fillId="0" borderId="234" xfId="0" applyFont="1" applyFill="1" applyBorder="1" applyAlignment="1" applyProtection="1">
      <alignment horizontal="center" vertical="center" wrapText="1"/>
      <protection hidden="1"/>
    </xf>
    <xf numFmtId="0" fontId="50" fillId="0" borderId="253" xfId="0" applyFont="1" applyFill="1" applyBorder="1" applyAlignment="1" applyProtection="1">
      <alignment horizontal="center" vertical="center" wrapText="1"/>
      <protection hidden="1"/>
    </xf>
    <xf numFmtId="0" fontId="26" fillId="0" borderId="240" xfId="0" applyFont="1" applyFill="1" applyBorder="1" applyAlignment="1" applyProtection="1">
      <alignment horizontal="center" vertical="center" wrapText="1"/>
      <protection hidden="1"/>
    </xf>
    <xf numFmtId="0" fontId="26" fillId="0" borderId="241" xfId="0" applyFont="1" applyFill="1" applyBorder="1" applyAlignment="1" applyProtection="1">
      <alignment horizontal="center" vertical="center" wrapText="1"/>
      <protection hidden="1"/>
    </xf>
    <xf numFmtId="0" fontId="26" fillId="0" borderId="242" xfId="0" applyFont="1" applyFill="1" applyBorder="1" applyAlignment="1" applyProtection="1">
      <alignment horizontal="center" vertical="center" wrapText="1"/>
      <protection hidden="1"/>
    </xf>
    <xf numFmtId="0" fontId="8" fillId="0" borderId="249" xfId="0" applyFont="1" applyFill="1" applyBorder="1" applyAlignment="1" applyProtection="1">
      <alignment horizontal="center" vertical="center" wrapText="1"/>
      <protection hidden="1"/>
    </xf>
    <xf numFmtId="0" fontId="8" fillId="0" borderId="295" xfId="0" applyFont="1" applyFill="1" applyBorder="1" applyAlignment="1" applyProtection="1">
      <alignment horizontal="center" vertical="center" wrapText="1"/>
      <protection hidden="1"/>
    </xf>
    <xf numFmtId="0" fontId="1" fillId="0" borderId="294" xfId="0" applyFont="1" applyFill="1" applyBorder="1" applyAlignment="1" applyProtection="1">
      <alignment horizontal="center" vertical="center"/>
    </xf>
    <xf numFmtId="0" fontId="1" fillId="0" borderId="233" xfId="0" applyFont="1" applyFill="1" applyBorder="1" applyAlignment="1" applyProtection="1">
      <alignment horizontal="center" vertical="center"/>
    </xf>
    <xf numFmtId="0" fontId="67" fillId="0" borderId="227" xfId="0" applyFont="1" applyFill="1" applyBorder="1" applyAlignment="1" applyProtection="1">
      <alignment horizontal="center"/>
      <protection hidden="1"/>
    </xf>
    <xf numFmtId="0" fontId="67" fillId="0" borderId="200" xfId="0" applyFont="1" applyFill="1" applyBorder="1" applyAlignment="1" applyProtection="1">
      <alignment horizontal="center"/>
      <protection hidden="1"/>
    </xf>
    <xf numFmtId="0" fontId="67" fillId="0" borderId="335" xfId="0" applyFont="1" applyFill="1" applyBorder="1" applyAlignment="1" applyProtection="1">
      <alignment horizontal="center"/>
      <protection hidden="1"/>
    </xf>
    <xf numFmtId="0" fontId="54" fillId="0" borderId="207" xfId="0" applyFont="1" applyFill="1" applyBorder="1" applyAlignment="1" applyProtection="1">
      <alignment horizontal="left" vertical="center" wrapText="1"/>
      <protection hidden="1"/>
    </xf>
    <xf numFmtId="0" fontId="54" fillId="0" borderId="268" xfId="0" applyFont="1" applyFill="1" applyBorder="1" applyAlignment="1" applyProtection="1">
      <alignment horizontal="left" vertical="center" wrapText="1"/>
      <protection hidden="1"/>
    </xf>
    <xf numFmtId="1" fontId="87" fillId="0" borderId="283" xfId="0" applyNumberFormat="1" applyFont="1" applyFill="1" applyBorder="1" applyAlignment="1" applyProtection="1">
      <alignment horizontal="center" vertical="center"/>
      <protection hidden="1"/>
    </xf>
    <xf numFmtId="165" fontId="87" fillId="0" borderId="283" xfId="0" applyNumberFormat="1" applyFont="1" applyFill="1" applyBorder="1" applyAlignment="1" applyProtection="1">
      <alignment horizontal="center" vertical="center"/>
      <protection hidden="1"/>
    </xf>
    <xf numFmtId="0" fontId="68" fillId="0" borderId="199" xfId="0" applyFont="1" applyFill="1" applyBorder="1" applyAlignment="1" applyProtection="1">
      <alignment horizontal="center" vertical="center"/>
      <protection hidden="1"/>
    </xf>
    <xf numFmtId="0" fontId="68" fillId="0" borderId="209" xfId="0" applyFont="1" applyFill="1" applyBorder="1" applyAlignment="1" applyProtection="1">
      <alignment horizontal="center" vertical="center"/>
      <protection hidden="1"/>
    </xf>
    <xf numFmtId="0" fontId="28" fillId="20" borderId="224" xfId="0" applyFont="1" applyFill="1" applyBorder="1" applyAlignment="1" applyProtection="1">
      <alignment horizontal="left" vertical="center" wrapText="1"/>
      <protection hidden="1"/>
    </xf>
    <xf numFmtId="0" fontId="28" fillId="20" borderId="225" xfId="0" applyFont="1" applyFill="1" applyBorder="1" applyAlignment="1" applyProtection="1">
      <alignment horizontal="left" vertical="center" wrapText="1"/>
      <protection hidden="1"/>
    </xf>
    <xf numFmtId="0" fontId="28" fillId="20" borderId="262" xfId="0" applyFont="1" applyFill="1" applyBorder="1" applyAlignment="1" applyProtection="1">
      <alignment horizontal="left" vertical="center" wrapText="1"/>
      <protection hidden="1"/>
    </xf>
    <xf numFmtId="165" fontId="47" fillId="0" borderId="354" xfId="0" applyNumberFormat="1" applyFont="1" applyFill="1" applyBorder="1" applyAlignment="1" applyProtection="1">
      <alignment horizontal="center"/>
    </xf>
    <xf numFmtId="165" fontId="47" fillId="0" borderId="352" xfId="0" applyNumberFormat="1" applyFont="1" applyFill="1" applyBorder="1" applyAlignment="1" applyProtection="1">
      <alignment horizontal="center"/>
    </xf>
    <xf numFmtId="165" fontId="47" fillId="0" borderId="259" xfId="0" applyNumberFormat="1" applyFont="1" applyFill="1" applyBorder="1" applyAlignment="1" applyProtection="1">
      <alignment horizontal="center"/>
    </xf>
    <xf numFmtId="165" fontId="47" fillId="0" borderId="0" xfId="0" applyNumberFormat="1" applyFont="1" applyFill="1" applyBorder="1" applyAlignment="1" applyProtection="1">
      <alignment horizontal="center"/>
    </xf>
    <xf numFmtId="165" fontId="47" fillId="0" borderId="357" xfId="0" applyNumberFormat="1" applyFont="1" applyFill="1" applyBorder="1" applyAlignment="1" applyProtection="1">
      <alignment horizontal="center"/>
    </xf>
    <xf numFmtId="165" fontId="47" fillId="0" borderId="355" xfId="0" applyNumberFormat="1" applyFont="1" applyFill="1" applyBorder="1" applyAlignment="1" applyProtection="1">
      <alignment horizontal="center"/>
    </xf>
    <xf numFmtId="0" fontId="13" fillId="0" borderId="199" xfId="0" applyFont="1" applyFill="1" applyBorder="1" applyAlignment="1" applyProtection="1">
      <alignment horizontal="center" vertical="center"/>
      <protection locked="0" hidden="1"/>
    </xf>
    <xf numFmtId="0" fontId="13" fillId="0" borderId="209" xfId="0" applyFont="1" applyFill="1" applyBorder="1" applyAlignment="1" applyProtection="1">
      <alignment horizontal="center" vertical="center"/>
      <protection locked="0" hidden="1"/>
    </xf>
    <xf numFmtId="0" fontId="13" fillId="0" borderId="196" xfId="0" applyFont="1" applyFill="1" applyBorder="1" applyAlignment="1" applyProtection="1">
      <alignment horizontal="center" vertical="center"/>
      <protection locked="0" hidden="1"/>
    </xf>
    <xf numFmtId="0" fontId="87" fillId="0" borderId="283" xfId="0" applyFont="1" applyFill="1" applyBorder="1" applyAlignment="1" applyProtection="1">
      <alignment horizontal="center" vertical="center"/>
      <protection hidden="1"/>
    </xf>
    <xf numFmtId="0" fontId="72" fillId="13" borderId="370" xfId="0" applyFont="1" applyFill="1" applyBorder="1" applyAlignment="1" applyProtection="1">
      <alignment horizontal="center" vertical="center" wrapText="1"/>
      <protection hidden="1"/>
    </xf>
    <xf numFmtId="0" fontId="0" fillId="0" borderId="193" xfId="0" applyFont="1" applyFill="1" applyBorder="1" applyAlignment="1" applyProtection="1">
      <alignment horizontal="center" vertical="center"/>
      <protection hidden="1"/>
    </xf>
    <xf numFmtId="0" fontId="0" fillId="0" borderId="267" xfId="0" applyFont="1" applyFill="1" applyBorder="1" applyAlignment="1" applyProtection="1">
      <alignment horizontal="center" vertical="center"/>
      <protection hidden="1"/>
    </xf>
    <xf numFmtId="165" fontId="13" fillId="0" borderId="261" xfId="0" applyNumberFormat="1" applyFont="1" applyFill="1" applyBorder="1" applyAlignment="1" applyProtection="1">
      <alignment horizontal="center" vertical="center"/>
      <protection locked="0" hidden="1"/>
    </xf>
    <xf numFmtId="165" fontId="13" fillId="0" borderId="209" xfId="0" applyNumberFormat="1" applyFont="1" applyFill="1" applyBorder="1" applyAlignment="1" applyProtection="1">
      <alignment horizontal="center" vertical="center"/>
      <protection locked="0" hidden="1"/>
    </xf>
    <xf numFmtId="165" fontId="13" fillId="0" borderId="257" xfId="0" applyNumberFormat="1" applyFont="1" applyFill="1" applyBorder="1" applyAlignment="1" applyProtection="1">
      <alignment horizontal="center" vertical="center"/>
      <protection locked="0" hidden="1"/>
    </xf>
    <xf numFmtId="0" fontId="28" fillId="0" borderId="199" xfId="0" applyFont="1" applyFill="1" applyBorder="1" applyAlignment="1" applyProtection="1">
      <alignment horizontal="left" vertical="center" wrapText="1"/>
      <protection hidden="1"/>
    </xf>
    <xf numFmtId="0" fontId="28" fillId="0" borderId="209" xfId="0" applyFont="1" applyFill="1" applyBorder="1" applyAlignment="1" applyProtection="1">
      <alignment horizontal="left" vertical="center" wrapText="1"/>
      <protection hidden="1"/>
    </xf>
    <xf numFmtId="0" fontId="28" fillId="0" borderId="257" xfId="0" applyFont="1" applyFill="1" applyBorder="1" applyAlignment="1" applyProtection="1">
      <alignment horizontal="left" vertical="center" wrapText="1"/>
      <protection hidden="1"/>
    </xf>
    <xf numFmtId="0" fontId="31" fillId="9" borderId="348" xfId="0" applyFont="1" applyFill="1" applyBorder="1" applyAlignment="1" applyProtection="1">
      <alignment horizontal="center"/>
      <protection hidden="1"/>
    </xf>
    <xf numFmtId="0" fontId="31" fillId="9" borderId="347" xfId="0" applyFont="1" applyFill="1" applyBorder="1" applyAlignment="1" applyProtection="1">
      <alignment horizontal="center"/>
      <protection hidden="1"/>
    </xf>
    <xf numFmtId="0" fontId="31" fillId="9" borderId="349" xfId="0" applyFont="1" applyFill="1" applyBorder="1" applyAlignment="1" applyProtection="1">
      <alignment horizontal="center"/>
      <protection hidden="1"/>
    </xf>
    <xf numFmtId="165" fontId="50" fillId="0" borderId="352" xfId="0" applyNumberFormat="1" applyFont="1" applyFill="1" applyBorder="1" applyAlignment="1" applyProtection="1">
      <alignment horizontal="center" wrapText="1"/>
      <protection hidden="1"/>
    </xf>
    <xf numFmtId="165" fontId="50" fillId="0" borderId="353" xfId="0" applyNumberFormat="1" applyFont="1" applyFill="1" applyBorder="1" applyAlignment="1" applyProtection="1">
      <alignment horizontal="center" wrapText="1"/>
      <protection hidden="1"/>
    </xf>
    <xf numFmtId="165" fontId="50" fillId="0" borderId="0" xfId="0" applyNumberFormat="1" applyFont="1" applyFill="1" applyBorder="1" applyAlignment="1" applyProtection="1">
      <alignment horizontal="center" wrapText="1"/>
      <protection hidden="1"/>
    </xf>
    <xf numFmtId="165" fontId="50" fillId="0" borderId="260" xfId="0" applyNumberFormat="1" applyFont="1" applyFill="1" applyBorder="1" applyAlignment="1" applyProtection="1">
      <alignment horizontal="center" wrapText="1"/>
      <protection hidden="1"/>
    </xf>
    <xf numFmtId="165" fontId="50" fillId="0" borderId="355" xfId="0" applyNumberFormat="1" applyFont="1" applyFill="1" applyBorder="1" applyAlignment="1" applyProtection="1">
      <alignment horizontal="center" wrapText="1"/>
      <protection hidden="1"/>
    </xf>
    <xf numFmtId="165" fontId="50" fillId="0" borderId="356" xfId="0" applyNumberFormat="1" applyFont="1" applyFill="1" applyBorder="1" applyAlignment="1" applyProtection="1">
      <alignment horizontal="center" wrapText="1"/>
      <protection hidden="1"/>
    </xf>
    <xf numFmtId="1" fontId="83" fillId="0" borderId="248" xfId="0" applyNumberFormat="1" applyFont="1" applyFill="1" applyBorder="1" applyAlignment="1" applyProtection="1">
      <alignment horizontal="left" wrapText="1"/>
      <protection hidden="1"/>
    </xf>
    <xf numFmtId="1" fontId="83" fillId="0" borderId="366" xfId="0" applyNumberFormat="1" applyFont="1" applyFill="1" applyBorder="1" applyAlignment="1" applyProtection="1">
      <alignment horizontal="left" wrapText="1"/>
      <protection hidden="1"/>
    </xf>
    <xf numFmtId="0" fontId="4" fillId="0" borderId="195" xfId="0" applyFont="1" applyFill="1" applyBorder="1" applyAlignment="1" applyProtection="1">
      <alignment horizontal="center" vertical="center"/>
      <protection locked="0" hidden="1"/>
    </xf>
    <xf numFmtId="0" fontId="4" fillId="0" borderId="250" xfId="0" applyFont="1" applyFill="1" applyBorder="1" applyAlignment="1" applyProtection="1">
      <alignment horizontal="center" vertical="center"/>
      <protection locked="0" hidden="1"/>
    </xf>
    <xf numFmtId="0" fontId="31" fillId="9" borderId="199" xfId="0" applyFont="1" applyFill="1" applyBorder="1" applyAlignment="1" applyProtection="1">
      <alignment horizontal="left" vertical="center" wrapText="1"/>
      <protection locked="0" hidden="1"/>
    </xf>
    <xf numFmtId="0" fontId="31" fillId="9" borderId="209" xfId="0" applyFont="1" applyFill="1" applyBorder="1" applyAlignment="1" applyProtection="1">
      <alignment horizontal="left" vertical="center" wrapText="1"/>
      <protection locked="0" hidden="1"/>
    </xf>
    <xf numFmtId="0" fontId="31" fillId="9" borderId="228" xfId="0" applyFont="1" applyFill="1" applyBorder="1" applyAlignment="1" applyProtection="1">
      <alignment horizontal="left" vertical="center" wrapText="1"/>
      <protection locked="0" hidden="1"/>
    </xf>
    <xf numFmtId="0" fontId="68" fillId="0" borderId="254" xfId="0" applyFont="1" applyFill="1" applyBorder="1" applyAlignment="1" applyProtection="1">
      <alignment horizontal="center" vertical="center" wrapText="1"/>
      <protection hidden="1"/>
    </xf>
    <xf numFmtId="0" fontId="68" fillId="0" borderId="255" xfId="0" applyFont="1" applyFill="1" applyBorder="1" applyAlignment="1" applyProtection="1">
      <alignment horizontal="center" vertical="center" wrapText="1"/>
      <protection hidden="1"/>
    </xf>
    <xf numFmtId="0" fontId="31" fillId="9" borderId="346" xfId="0" applyFont="1" applyFill="1" applyBorder="1" applyAlignment="1" applyProtection="1">
      <alignment horizontal="center"/>
      <protection locked="0" hidden="1"/>
    </xf>
    <xf numFmtId="0" fontId="31" fillId="9" borderId="248" xfId="0" applyFont="1" applyFill="1" applyBorder="1" applyAlignment="1" applyProtection="1">
      <alignment horizontal="center"/>
      <protection locked="0" hidden="1"/>
    </xf>
    <xf numFmtId="0" fontId="31" fillId="9" borderId="293" xfId="0" applyFont="1" applyFill="1" applyBorder="1" applyAlignment="1" applyProtection="1">
      <alignment horizontal="center"/>
      <protection locked="0" hidden="1"/>
    </xf>
    <xf numFmtId="0" fontId="31" fillId="9" borderId="346" xfId="0" applyFont="1" applyFill="1" applyBorder="1" applyAlignment="1" applyProtection="1">
      <alignment horizontal="center"/>
      <protection hidden="1"/>
    </xf>
    <xf numFmtId="0" fontId="31" fillId="9" borderId="248" xfId="0" applyFont="1" applyFill="1" applyBorder="1" applyAlignment="1" applyProtection="1">
      <alignment horizontal="center"/>
      <protection hidden="1"/>
    </xf>
    <xf numFmtId="0" fontId="31" fillId="9" borderId="293" xfId="0" applyFont="1" applyFill="1" applyBorder="1" applyAlignment="1" applyProtection="1">
      <alignment horizontal="center"/>
      <protection hidden="1"/>
    </xf>
    <xf numFmtId="16" fontId="9" fillId="0" borderId="223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223" xfId="0" applyFont="1" applyFill="1" applyBorder="1" applyAlignment="1" applyProtection="1">
      <alignment horizontal="center" vertical="center" wrapText="1"/>
      <protection hidden="1"/>
    </xf>
    <xf numFmtId="0" fontId="9" fillId="0" borderId="193" xfId="0" applyFont="1" applyFill="1" applyBorder="1" applyAlignment="1" applyProtection="1">
      <alignment horizontal="center" vertical="center" wrapText="1"/>
      <protection hidden="1"/>
    </xf>
    <xf numFmtId="0" fontId="9" fillId="0" borderId="251" xfId="0" applyFont="1" applyFill="1" applyBorder="1" applyAlignment="1" applyProtection="1">
      <alignment horizontal="center" vertical="center" wrapText="1"/>
      <protection hidden="1"/>
    </xf>
    <xf numFmtId="0" fontId="16" fillId="0" borderId="193" xfId="0" applyFont="1" applyFill="1" applyBorder="1" applyAlignment="1" applyProtection="1">
      <alignment horizontal="center" vertical="center" wrapText="1"/>
      <protection hidden="1"/>
    </xf>
    <xf numFmtId="0" fontId="3" fillId="9" borderId="199" xfId="0" applyFont="1" applyFill="1" applyBorder="1" applyAlignment="1" applyProtection="1">
      <alignment horizontal="right" vertical="center"/>
      <protection locked="0" hidden="1"/>
    </xf>
    <xf numFmtId="0" fontId="3" fillId="9" borderId="209" xfId="0" applyFont="1" applyFill="1" applyBorder="1" applyAlignment="1" applyProtection="1">
      <alignment horizontal="right" vertical="center"/>
      <protection locked="0" hidden="1"/>
    </xf>
    <xf numFmtId="0" fontId="4" fillId="0" borderId="209" xfId="0" applyFont="1" applyFill="1" applyBorder="1" applyAlignment="1" applyProtection="1">
      <alignment horizontal="center" vertical="center" wrapText="1"/>
      <protection hidden="1"/>
    </xf>
    <xf numFmtId="0" fontId="4" fillId="0" borderId="196" xfId="0" applyFont="1" applyFill="1" applyBorder="1" applyAlignment="1" applyProtection="1">
      <alignment horizontal="center" vertical="center" wrapText="1"/>
      <protection hidden="1"/>
    </xf>
    <xf numFmtId="0" fontId="3" fillId="0" borderId="193" xfId="0" applyFont="1" applyFill="1" applyBorder="1" applyAlignment="1" applyProtection="1">
      <alignment horizontal="right" vertical="center" wrapText="1"/>
      <protection hidden="1"/>
    </xf>
    <xf numFmtId="0" fontId="3" fillId="0" borderId="211" xfId="0" applyFont="1" applyFill="1" applyBorder="1" applyAlignment="1" applyProtection="1">
      <alignment horizontal="right" vertical="center"/>
      <protection hidden="1"/>
    </xf>
    <xf numFmtId="0" fontId="3" fillId="0" borderId="201" xfId="0" applyFont="1" applyFill="1" applyBorder="1" applyAlignment="1" applyProtection="1">
      <alignment horizontal="right" vertical="center"/>
      <protection hidden="1"/>
    </xf>
    <xf numFmtId="0" fontId="59" fillId="0" borderId="313" xfId="0" applyFont="1" applyFill="1" applyBorder="1" applyAlignment="1" applyProtection="1">
      <alignment horizontal="center" vertical="center" wrapText="1"/>
    </xf>
    <xf numFmtId="0" fontId="59" fillId="0" borderId="314" xfId="0" applyFont="1" applyFill="1" applyBorder="1" applyAlignment="1" applyProtection="1">
      <alignment horizontal="center" vertical="center" wrapText="1"/>
    </xf>
    <xf numFmtId="0" fontId="52" fillId="0" borderId="194" xfId="0" applyFont="1" applyFill="1" applyBorder="1" applyAlignment="1" applyProtection="1">
      <alignment horizontal="center" vertical="center" wrapText="1"/>
    </xf>
    <xf numFmtId="0" fontId="52" fillId="0" borderId="195" xfId="0" applyFont="1" applyFill="1" applyBorder="1" applyAlignment="1" applyProtection="1">
      <alignment horizontal="center" vertical="center" wrapText="1"/>
    </xf>
    <xf numFmtId="164" fontId="55" fillId="20" borderId="315" xfId="0" applyNumberFormat="1" applyFont="1" applyFill="1" applyBorder="1" applyAlignment="1" applyProtection="1">
      <alignment horizontal="center" vertical="center"/>
      <protection locked="0" hidden="1"/>
    </xf>
    <xf numFmtId="164" fontId="55" fillId="20" borderId="316" xfId="0" applyNumberFormat="1" applyFont="1" applyFill="1" applyBorder="1" applyAlignment="1" applyProtection="1">
      <alignment horizontal="center" vertical="center"/>
      <protection locked="0" hidden="1"/>
    </xf>
    <xf numFmtId="164" fontId="55" fillId="20" borderId="317" xfId="0" applyNumberFormat="1" applyFont="1" applyFill="1" applyBorder="1" applyAlignment="1" applyProtection="1">
      <alignment horizontal="center" vertical="center"/>
      <protection locked="0" hidden="1"/>
    </xf>
    <xf numFmtId="0" fontId="50" fillId="0" borderId="398" xfId="0" applyFont="1" applyBorder="1" applyAlignment="1" applyProtection="1">
      <alignment horizontal="left" vertical="center"/>
      <protection locked="0"/>
    </xf>
    <xf numFmtId="0" fontId="50" fillId="0" borderId="399" xfId="0" applyFont="1" applyBorder="1" applyAlignment="1" applyProtection="1">
      <alignment horizontal="left" vertical="center"/>
      <protection locked="0"/>
    </xf>
    <xf numFmtId="0" fontId="43" fillId="0" borderId="252" xfId="0" applyFont="1" applyFill="1" applyBorder="1" applyAlignment="1" applyProtection="1">
      <alignment horizontal="left" vertical="center"/>
      <protection hidden="1"/>
    </xf>
    <xf numFmtId="0" fontId="43" fillId="0" borderId="234" xfId="0" applyFont="1" applyFill="1" applyBorder="1" applyAlignment="1" applyProtection="1">
      <alignment horizontal="left" vertical="center"/>
      <protection hidden="1"/>
    </xf>
    <xf numFmtId="0" fontId="43" fillId="0" borderId="373" xfId="0" applyFont="1" applyFill="1" applyBorder="1" applyAlignment="1" applyProtection="1">
      <alignment horizontal="left" vertical="center"/>
      <protection hidden="1"/>
    </xf>
    <xf numFmtId="0" fontId="7" fillId="9" borderId="209" xfId="0" applyFont="1" applyFill="1" applyBorder="1" applyAlignment="1" applyProtection="1">
      <alignment horizontal="center" vertical="center" wrapText="1"/>
      <protection locked="0" hidden="1"/>
    </xf>
    <xf numFmtId="0" fontId="7" fillId="9" borderId="228" xfId="0" applyFont="1" applyFill="1" applyBorder="1" applyAlignment="1" applyProtection="1">
      <alignment horizontal="center" vertical="center" wrapText="1"/>
      <protection locked="0" hidden="1"/>
    </xf>
    <xf numFmtId="0" fontId="0" fillId="9" borderId="277" xfId="0" applyFont="1" applyFill="1" applyBorder="1" applyAlignment="1" applyProtection="1">
      <alignment horizontal="right" vertical="center"/>
      <protection locked="0" hidden="1"/>
    </xf>
    <xf numFmtId="0" fontId="0" fillId="9" borderId="278" xfId="0" applyFont="1" applyFill="1" applyBorder="1" applyAlignment="1" applyProtection="1">
      <alignment horizontal="right" vertical="center"/>
      <protection locked="0" hidden="1"/>
    </xf>
    <xf numFmtId="0" fontId="31" fillId="9" borderId="196" xfId="0" applyFont="1" applyFill="1" applyBorder="1" applyAlignment="1" applyProtection="1">
      <alignment horizontal="left" vertical="center" wrapText="1"/>
      <protection locked="0" hidden="1"/>
    </xf>
    <xf numFmtId="0" fontId="31" fillId="9" borderId="193" xfId="0" applyFont="1" applyFill="1" applyBorder="1" applyAlignment="1" applyProtection="1">
      <alignment horizontal="left" vertical="center" wrapText="1"/>
      <protection locked="0" hidden="1"/>
    </xf>
    <xf numFmtId="0" fontId="31" fillId="9" borderId="297" xfId="0" applyFont="1" applyFill="1" applyBorder="1" applyAlignment="1" applyProtection="1">
      <alignment horizontal="left" vertical="center" wrapText="1"/>
      <protection locked="0" hidden="1"/>
    </xf>
    <xf numFmtId="0" fontId="75" fillId="9" borderId="209" xfId="0" applyFont="1" applyFill="1" applyBorder="1" applyAlignment="1" applyProtection="1">
      <alignment horizontal="center" vertical="center" wrapText="1"/>
      <protection locked="0" hidden="1"/>
    </xf>
    <xf numFmtId="0" fontId="0" fillId="0" borderId="199" xfId="0" applyFont="1" applyFill="1" applyBorder="1" applyAlignment="1" applyProtection="1">
      <alignment horizontal="center" vertical="center" wrapText="1"/>
      <protection hidden="1"/>
    </xf>
    <xf numFmtId="0" fontId="0" fillId="0" borderId="209" xfId="0" applyFont="1" applyFill="1" applyBorder="1" applyAlignment="1" applyProtection="1">
      <alignment horizontal="center" vertical="center" wrapText="1"/>
      <protection hidden="1"/>
    </xf>
    <xf numFmtId="0" fontId="0" fillId="0" borderId="257" xfId="0" applyFont="1" applyFill="1" applyBorder="1" applyAlignment="1" applyProtection="1">
      <alignment horizontal="center" vertical="center" wrapText="1"/>
      <protection hidden="1"/>
    </xf>
    <xf numFmtId="0" fontId="0" fillId="9" borderId="199" xfId="0" applyFont="1" applyFill="1" applyBorder="1" applyAlignment="1" applyProtection="1">
      <alignment horizontal="right" vertical="center"/>
      <protection locked="0" hidden="1"/>
    </xf>
    <xf numFmtId="0" fontId="0" fillId="9" borderId="209" xfId="0" applyFont="1" applyFill="1" applyBorder="1" applyAlignment="1" applyProtection="1">
      <alignment horizontal="right" vertical="center"/>
      <protection locked="0" hidden="1"/>
    </xf>
    <xf numFmtId="0" fontId="67" fillId="0" borderId="308" xfId="0" applyFont="1" applyFill="1" applyBorder="1" applyAlignment="1" applyProtection="1">
      <alignment horizontal="center" vertical="center"/>
      <protection hidden="1"/>
    </xf>
    <xf numFmtId="0" fontId="67" fillId="0" borderId="300" xfId="0" applyFont="1" applyFill="1" applyBorder="1" applyAlignment="1" applyProtection="1">
      <alignment horizontal="center" vertical="center"/>
      <protection hidden="1"/>
    </xf>
    <xf numFmtId="0" fontId="67" fillId="0" borderId="309" xfId="0" applyFont="1" applyFill="1" applyBorder="1" applyAlignment="1" applyProtection="1">
      <alignment horizontal="center" vertical="center"/>
      <protection hidden="1"/>
    </xf>
    <xf numFmtId="0" fontId="0" fillId="0" borderId="209" xfId="0" applyFont="1" applyFill="1" applyBorder="1" applyAlignment="1" applyProtection="1">
      <alignment horizontal="left" vertical="center" wrapText="1"/>
      <protection hidden="1"/>
    </xf>
    <xf numFmtId="0" fontId="0" fillId="0" borderId="196" xfId="0" applyFont="1" applyFill="1" applyBorder="1" applyAlignment="1" applyProtection="1">
      <alignment horizontal="left" vertical="center" wrapText="1"/>
      <protection hidden="1"/>
    </xf>
    <xf numFmtId="0" fontId="0" fillId="20" borderId="362" xfId="0" applyNumberFormat="1" applyFont="1" applyFill="1" applyBorder="1" applyAlignment="1" applyProtection="1">
      <alignment horizontal="right" vertical="center" wrapText="1"/>
      <protection locked="0" hidden="1"/>
    </xf>
    <xf numFmtId="0" fontId="0" fillId="20" borderId="361" xfId="0" applyNumberFormat="1" applyFont="1" applyFill="1" applyBorder="1" applyAlignment="1" applyProtection="1">
      <alignment horizontal="right" vertical="center" wrapText="1"/>
      <protection locked="0" hidden="1"/>
    </xf>
    <xf numFmtId="0" fontId="12" fillId="0" borderId="209" xfId="0" applyFont="1" applyFill="1" applyBorder="1" applyAlignment="1" applyProtection="1">
      <alignment horizontal="left" vertical="center" wrapText="1"/>
      <protection hidden="1"/>
    </xf>
    <xf numFmtId="0" fontId="12" fillId="0" borderId="196" xfId="0" applyFont="1" applyFill="1" applyBorder="1" applyAlignment="1" applyProtection="1">
      <alignment horizontal="left" vertical="center" wrapText="1"/>
      <protection hidden="1"/>
    </xf>
    <xf numFmtId="0" fontId="0" fillId="9" borderId="261" xfId="0" applyFont="1" applyFill="1" applyBorder="1" applyAlignment="1" applyProtection="1">
      <alignment horizontal="right" vertical="center" wrapText="1"/>
      <protection locked="0" hidden="1"/>
    </xf>
    <xf numFmtId="0" fontId="0" fillId="9" borderId="209" xfId="0" applyFont="1" applyFill="1" applyBorder="1" applyAlignment="1" applyProtection="1">
      <alignment horizontal="right" vertical="center" wrapText="1"/>
      <protection locked="0" hidden="1"/>
    </xf>
    <xf numFmtId="0" fontId="0" fillId="0" borderId="209" xfId="0" applyFont="1" applyFill="1" applyBorder="1" applyAlignment="1" applyProtection="1">
      <alignment vertical="center" wrapText="1"/>
      <protection hidden="1"/>
    </xf>
    <xf numFmtId="0" fontId="0" fillId="0" borderId="196" xfId="0" applyFont="1" applyFill="1" applyBorder="1" applyAlignment="1" applyProtection="1">
      <alignment vertical="center" wrapText="1"/>
      <protection hidden="1"/>
    </xf>
    <xf numFmtId="0" fontId="68" fillId="0" borderId="300" xfId="0" applyFont="1" applyFill="1" applyBorder="1" applyAlignment="1" applyProtection="1">
      <alignment horizontal="center" vertical="center" wrapText="1"/>
      <protection hidden="1"/>
    </xf>
    <xf numFmtId="0" fontId="68" fillId="0" borderId="304" xfId="0" applyFont="1" applyFill="1" applyBorder="1" applyAlignment="1" applyProtection="1">
      <alignment horizontal="center" vertical="center" wrapText="1"/>
      <protection hidden="1"/>
    </xf>
    <xf numFmtId="0" fontId="31" fillId="0" borderId="193" xfId="0" applyFont="1" applyFill="1" applyBorder="1" applyAlignment="1" applyProtection="1">
      <alignment horizontal="center" vertical="center" wrapText="1"/>
      <protection hidden="1"/>
    </xf>
    <xf numFmtId="0" fontId="31" fillId="0" borderId="267" xfId="0" applyFont="1" applyFill="1" applyBorder="1" applyAlignment="1" applyProtection="1">
      <alignment horizontal="center" vertical="center" wrapText="1"/>
      <protection hidden="1"/>
    </xf>
    <xf numFmtId="0" fontId="16" fillId="0" borderId="296" xfId="0" applyFont="1" applyFill="1" applyBorder="1" applyAlignment="1" applyProtection="1">
      <alignment horizontal="left" vertical="center"/>
      <protection hidden="1"/>
    </xf>
    <xf numFmtId="0" fontId="16" fillId="0" borderId="193" xfId="0" applyFont="1" applyFill="1" applyBorder="1" applyAlignment="1" applyProtection="1">
      <alignment horizontal="left" vertical="center"/>
      <protection hidden="1"/>
    </xf>
    <xf numFmtId="0" fontId="26" fillId="0" borderId="199" xfId="0" applyFont="1" applyFill="1" applyBorder="1" applyAlignment="1" applyProtection="1">
      <alignment horizontal="left" vertical="center" wrapText="1"/>
      <protection locked="0" hidden="1"/>
    </xf>
    <xf numFmtId="0" fontId="26" fillId="0" borderId="209" xfId="0" applyFont="1" applyFill="1" applyBorder="1" applyAlignment="1" applyProtection="1">
      <alignment horizontal="left" vertical="center" wrapText="1"/>
      <protection locked="0" hidden="1"/>
    </xf>
    <xf numFmtId="0" fontId="26" fillId="0" borderId="196" xfId="0" applyFont="1" applyFill="1" applyBorder="1" applyAlignment="1" applyProtection="1">
      <alignment horizontal="left" vertical="center" wrapText="1"/>
      <protection locked="0" hidden="1"/>
    </xf>
    <xf numFmtId="0" fontId="5" fillId="0" borderId="305" xfId="0" applyFont="1" applyFill="1" applyBorder="1" applyAlignment="1" applyProtection="1">
      <alignment horizontal="center" vertical="center" textRotation="90" wrapText="1"/>
      <protection hidden="1"/>
    </xf>
    <xf numFmtId="0" fontId="5" fillId="0" borderId="306" xfId="0" applyFont="1" applyFill="1" applyBorder="1" applyAlignment="1" applyProtection="1">
      <alignment horizontal="center" vertical="center" textRotation="90" wrapText="1"/>
      <protection hidden="1"/>
    </xf>
    <xf numFmtId="0" fontId="5" fillId="0" borderId="358" xfId="0" applyFont="1" applyFill="1" applyBorder="1" applyAlignment="1" applyProtection="1">
      <alignment horizontal="center" vertical="center" textRotation="90" wrapText="1"/>
      <protection hidden="1"/>
    </xf>
    <xf numFmtId="0" fontId="13" fillId="9" borderId="276" xfId="0" applyFont="1" applyFill="1" applyBorder="1" applyAlignment="1" applyProtection="1">
      <alignment horizontal="center" vertical="center" wrapText="1"/>
      <protection locked="0" hidden="1"/>
    </xf>
    <xf numFmtId="0" fontId="13" fillId="9" borderId="298" xfId="0" applyFont="1" applyFill="1" applyBorder="1" applyAlignment="1" applyProtection="1">
      <alignment horizontal="center" vertical="center" wrapText="1"/>
      <protection locked="0" hidden="1"/>
    </xf>
    <xf numFmtId="0" fontId="13" fillId="9" borderId="193" xfId="0" applyFont="1" applyFill="1" applyBorder="1" applyAlignment="1" applyProtection="1">
      <alignment horizontal="center" vertical="center" wrapText="1"/>
      <protection locked="0" hidden="1"/>
    </xf>
    <xf numFmtId="0" fontId="13" fillId="9" borderId="297" xfId="0" applyFont="1" applyFill="1" applyBorder="1" applyAlignment="1" applyProtection="1">
      <alignment horizontal="center" vertical="center" wrapText="1"/>
      <protection locked="0" hidden="1"/>
    </xf>
    <xf numFmtId="0" fontId="67" fillId="0" borderId="311" xfId="0" applyFont="1" applyFill="1" applyBorder="1" applyAlignment="1" applyProtection="1">
      <alignment horizontal="center" vertical="center" wrapText="1"/>
      <protection hidden="1"/>
    </xf>
    <xf numFmtId="0" fontId="67" fillId="0" borderId="312" xfId="0" applyFont="1" applyFill="1" applyBorder="1" applyAlignment="1" applyProtection="1">
      <alignment horizontal="center" vertical="center" wrapText="1"/>
      <protection hidden="1"/>
    </xf>
    <xf numFmtId="0" fontId="67" fillId="0" borderId="301" xfId="1" applyFont="1" applyFill="1" applyBorder="1" applyAlignment="1" applyProtection="1">
      <alignment horizontal="center" vertical="center" wrapText="1"/>
      <protection hidden="1"/>
    </xf>
    <xf numFmtId="0" fontId="67" fillId="0" borderId="300" xfId="1" applyFont="1" applyFill="1" applyBorder="1" applyAlignment="1" applyProtection="1">
      <alignment horizontal="center" vertical="center" wrapText="1"/>
      <protection hidden="1"/>
    </xf>
    <xf numFmtId="0" fontId="67" fillId="0" borderId="303" xfId="1" applyFont="1" applyFill="1" applyBorder="1" applyAlignment="1" applyProtection="1">
      <alignment horizontal="center" vertical="center" wrapText="1"/>
      <protection hidden="1"/>
    </xf>
    <xf numFmtId="0" fontId="7" fillId="9" borderId="278" xfId="0" applyFont="1" applyFill="1" applyBorder="1" applyAlignment="1" applyProtection="1">
      <alignment horizontal="center" vertical="center" wrapText="1"/>
      <protection locked="0" hidden="1"/>
    </xf>
    <xf numFmtId="0" fontId="7" fillId="9" borderId="281" xfId="0" applyFont="1" applyFill="1" applyBorder="1" applyAlignment="1" applyProtection="1">
      <alignment horizontal="center" vertical="center" wrapText="1"/>
      <protection locked="0" hidden="1"/>
    </xf>
    <xf numFmtId="0" fontId="7" fillId="9" borderId="209" xfId="0" applyFont="1" applyFill="1" applyBorder="1" applyAlignment="1" applyProtection="1">
      <alignment horizontal="center" vertical="center" wrapText="1"/>
      <protection hidden="1"/>
    </xf>
    <xf numFmtId="0" fontId="7" fillId="9" borderId="228" xfId="0" applyFont="1" applyFill="1" applyBorder="1" applyAlignment="1" applyProtection="1">
      <alignment horizontal="center" vertical="center" wrapText="1"/>
      <protection hidden="1"/>
    </xf>
    <xf numFmtId="0" fontId="67" fillId="0" borderId="300" xfId="0" applyFont="1" applyFill="1" applyBorder="1" applyAlignment="1" applyProtection="1">
      <alignment horizontal="center" vertical="center" wrapText="1"/>
      <protection hidden="1"/>
    </xf>
    <xf numFmtId="0" fontId="67" fillId="0" borderId="304" xfId="0" applyFont="1" applyFill="1" applyBorder="1" applyAlignment="1" applyProtection="1">
      <alignment horizontal="center" vertical="center" wrapText="1"/>
      <protection hidden="1"/>
    </xf>
    <xf numFmtId="0" fontId="0" fillId="9" borderId="277" xfId="0" applyFont="1" applyFill="1" applyBorder="1" applyAlignment="1" applyProtection="1">
      <alignment horizontal="center" vertical="center" wrapText="1"/>
      <protection locked="0" hidden="1"/>
    </xf>
    <xf numFmtId="0" fontId="0" fillId="9" borderId="278" xfId="0" applyFont="1" applyFill="1" applyBorder="1" applyAlignment="1" applyProtection="1">
      <alignment horizontal="center" vertical="center" wrapText="1"/>
      <protection locked="0" hidden="1"/>
    </xf>
    <xf numFmtId="0" fontId="0" fillId="9" borderId="290" xfId="0" applyFont="1" applyFill="1" applyBorder="1" applyAlignment="1" applyProtection="1">
      <alignment horizontal="center" vertical="center" wrapText="1"/>
      <protection locked="0" hidden="1"/>
    </xf>
    <xf numFmtId="0" fontId="67" fillId="0" borderId="301" xfId="0" applyFont="1" applyFill="1" applyBorder="1" applyAlignment="1" applyProtection="1">
      <alignment horizontal="center" vertical="center" wrapText="1"/>
      <protection hidden="1"/>
    </xf>
    <xf numFmtId="0" fontId="67" fillId="0" borderId="303" xfId="0" applyFont="1" applyFill="1" applyBorder="1" applyAlignment="1" applyProtection="1">
      <alignment horizontal="center" vertical="center" wrapText="1"/>
      <protection hidden="1"/>
    </xf>
    <xf numFmtId="0" fontId="0" fillId="20" borderId="277" xfId="0" applyFont="1" applyFill="1" applyBorder="1" applyAlignment="1" applyProtection="1">
      <alignment horizontal="center" vertical="center" wrapText="1"/>
      <protection hidden="1"/>
    </xf>
    <xf numFmtId="0" fontId="0" fillId="20" borderId="278" xfId="0" applyFont="1" applyFill="1" applyBorder="1" applyAlignment="1" applyProtection="1">
      <alignment horizontal="center" vertical="center" wrapText="1"/>
      <protection hidden="1"/>
    </xf>
    <xf numFmtId="0" fontId="0" fillId="20" borderId="290" xfId="0" applyFont="1" applyFill="1" applyBorder="1" applyAlignment="1" applyProtection="1">
      <alignment horizontal="center" vertical="center" wrapText="1"/>
      <protection hidden="1"/>
    </xf>
    <xf numFmtId="0" fontId="20" fillId="0" borderId="209" xfId="0" applyFont="1" applyFill="1" applyBorder="1" applyAlignment="1" applyProtection="1">
      <alignment horizontal="left" vertical="center" wrapText="1"/>
      <protection hidden="1"/>
    </xf>
    <xf numFmtId="0" fontId="20" fillId="0" borderId="257" xfId="0" applyFont="1" applyFill="1" applyBorder="1" applyAlignment="1" applyProtection="1">
      <alignment horizontal="left" vertical="center" wrapText="1"/>
      <protection hidden="1"/>
    </xf>
    <xf numFmtId="0" fontId="20" fillId="0" borderId="278" xfId="0" applyFont="1" applyFill="1" applyBorder="1" applyAlignment="1" applyProtection="1">
      <alignment horizontal="left" vertical="center" wrapText="1"/>
      <protection hidden="1"/>
    </xf>
    <xf numFmtId="0" fontId="20" fillId="0" borderId="290" xfId="0" applyFont="1" applyFill="1" applyBorder="1" applyAlignment="1" applyProtection="1">
      <alignment horizontal="left" vertical="center" wrapText="1"/>
      <protection hidden="1"/>
    </xf>
    <xf numFmtId="0" fontId="0" fillId="9" borderId="212" xfId="0" applyFont="1" applyFill="1" applyBorder="1" applyAlignment="1" applyProtection="1">
      <alignment horizontal="left" vertical="center" wrapText="1"/>
      <protection locked="0" hidden="1"/>
    </xf>
    <xf numFmtId="0" fontId="0" fillId="9" borderId="0" xfId="0" applyFont="1" applyFill="1" applyBorder="1" applyAlignment="1" applyProtection="1">
      <alignment horizontal="left" vertical="center" wrapText="1"/>
      <protection locked="0" hidden="1"/>
    </xf>
    <xf numFmtId="0" fontId="0" fillId="9" borderId="289" xfId="0" applyFont="1" applyFill="1" applyBorder="1" applyAlignment="1" applyProtection="1">
      <alignment horizontal="right" vertical="center" wrapText="1"/>
      <protection locked="0" hidden="1"/>
    </xf>
    <xf numFmtId="0" fontId="0" fillId="9" borderId="278" xfId="0" applyFont="1" applyFill="1" applyBorder="1" applyAlignment="1" applyProtection="1">
      <alignment horizontal="right" vertical="center" wrapText="1"/>
      <protection locked="0" hidden="1"/>
    </xf>
    <xf numFmtId="0" fontId="0" fillId="20" borderId="278" xfId="0" applyFont="1" applyFill="1" applyBorder="1" applyAlignment="1" applyProtection="1">
      <alignment horizontal="left" vertical="center" wrapText="1"/>
      <protection hidden="1"/>
    </xf>
    <xf numFmtId="0" fontId="0" fillId="20" borderId="280" xfId="0" applyFont="1" applyFill="1" applyBorder="1" applyAlignment="1" applyProtection="1">
      <alignment horizontal="left" vertical="center" wrapText="1"/>
      <protection hidden="1"/>
    </xf>
    <xf numFmtId="0" fontId="22" fillId="0" borderId="199" xfId="0" applyFont="1" applyFill="1" applyBorder="1" applyAlignment="1" applyProtection="1">
      <alignment horizontal="left" vertical="center" wrapText="1"/>
      <protection hidden="1"/>
    </xf>
    <xf numFmtId="0" fontId="22" fillId="0" borderId="209" xfId="0" applyFont="1" applyFill="1" applyBorder="1" applyAlignment="1" applyProtection="1">
      <alignment horizontal="left" vertical="center" wrapText="1"/>
      <protection hidden="1"/>
    </xf>
    <xf numFmtId="0" fontId="23" fillId="0" borderId="193" xfId="0" applyFont="1" applyFill="1" applyBorder="1" applyAlignment="1" applyProtection="1">
      <alignment horizontal="left" vertical="center" wrapText="1"/>
      <protection hidden="1"/>
    </xf>
    <xf numFmtId="0" fontId="23" fillId="0" borderId="199" xfId="0" applyFont="1" applyFill="1" applyBorder="1" applyAlignment="1" applyProtection="1">
      <alignment horizontal="left" vertical="center" wrapText="1"/>
      <protection hidden="1"/>
    </xf>
    <xf numFmtId="0" fontId="26" fillId="0" borderId="193" xfId="0" applyFont="1" applyFill="1" applyBorder="1" applyAlignment="1" applyProtection="1">
      <alignment horizontal="left" vertical="center" wrapText="1"/>
      <protection locked="0" hidden="1"/>
    </xf>
    <xf numFmtId="0" fontId="0" fillId="9" borderId="261" xfId="0" applyNumberFormat="1" applyFont="1" applyFill="1" applyBorder="1" applyAlignment="1" applyProtection="1">
      <alignment horizontal="right" vertical="center" wrapText="1"/>
      <protection locked="0" hidden="1"/>
    </xf>
    <xf numFmtId="0" fontId="0" fillId="9" borderId="209" xfId="0" applyNumberFormat="1" applyFont="1" applyFill="1" applyBorder="1" applyAlignment="1" applyProtection="1">
      <alignment horizontal="right" vertical="center" wrapText="1"/>
      <protection locked="0" hidden="1"/>
    </xf>
    <xf numFmtId="0" fontId="67" fillId="0" borderId="193" xfId="0" applyFont="1" applyFill="1" applyBorder="1" applyAlignment="1" applyProtection="1">
      <alignment horizontal="center" vertical="center"/>
      <protection hidden="1"/>
    </xf>
    <xf numFmtId="0" fontId="67" fillId="0" borderId="199" xfId="0" applyFont="1" applyFill="1" applyBorder="1" applyAlignment="1" applyProtection="1">
      <alignment horizontal="center" vertical="center"/>
      <protection hidden="1"/>
    </xf>
    <xf numFmtId="0" fontId="26" fillId="9" borderId="199" xfId="0" applyFont="1" applyFill="1" applyBorder="1" applyAlignment="1" applyProtection="1">
      <alignment horizontal="left" vertical="center" wrapText="1"/>
      <protection locked="0" hidden="1"/>
    </xf>
    <xf numFmtId="0" fontId="26" fillId="9" borderId="209" xfId="0" applyFont="1" applyFill="1" applyBorder="1" applyAlignment="1" applyProtection="1">
      <alignment horizontal="left" vertical="center" wrapText="1"/>
      <protection locked="0" hidden="1"/>
    </xf>
    <xf numFmtId="0" fontId="26" fillId="9" borderId="196" xfId="0" applyFont="1" applyFill="1" applyBorder="1" applyAlignment="1" applyProtection="1">
      <alignment horizontal="left" vertical="center" wrapText="1"/>
      <protection locked="0" hidden="1"/>
    </xf>
    <xf numFmtId="0" fontId="22" fillId="9" borderId="199" xfId="0" applyFont="1" applyFill="1" applyBorder="1" applyAlignment="1" applyProtection="1">
      <alignment horizontal="center" vertical="center" wrapText="1"/>
      <protection locked="0" hidden="1"/>
    </xf>
    <xf numFmtId="0" fontId="22" fillId="9" borderId="209" xfId="0" applyFont="1" applyFill="1" applyBorder="1" applyAlignment="1" applyProtection="1">
      <alignment horizontal="center" vertical="center" wrapText="1"/>
      <protection locked="0" hidden="1"/>
    </xf>
    <xf numFmtId="0" fontId="22" fillId="9" borderId="257" xfId="0" applyFont="1" applyFill="1" applyBorder="1" applyAlignment="1" applyProtection="1">
      <alignment horizontal="center" vertical="center" wrapText="1"/>
      <protection locked="0" hidden="1"/>
    </xf>
    <xf numFmtId="0" fontId="58" fillId="9" borderId="261" xfId="0" applyFont="1" applyFill="1" applyBorder="1" applyAlignment="1" applyProtection="1">
      <alignment horizontal="center" vertical="center" wrapText="1"/>
      <protection locked="0" hidden="1"/>
    </xf>
    <xf numFmtId="0" fontId="58" fillId="9" borderId="209" xfId="0" applyFont="1" applyFill="1" applyBorder="1" applyAlignment="1" applyProtection="1">
      <alignment horizontal="center" vertical="center" wrapText="1"/>
      <protection locked="0" hidden="1"/>
    </xf>
    <xf numFmtId="0" fontId="60" fillId="2" borderId="282" xfId="0" applyFont="1" applyFill="1" applyBorder="1" applyAlignment="1" applyProtection="1">
      <alignment horizontal="left" vertical="center" wrapText="1"/>
      <protection hidden="1"/>
    </xf>
    <xf numFmtId="0" fontId="60" fillId="2" borderId="283" xfId="0" applyFont="1" applyFill="1" applyBorder="1" applyAlignment="1" applyProtection="1">
      <alignment horizontal="left" vertical="center" wrapText="1"/>
      <protection hidden="1"/>
    </xf>
    <xf numFmtId="0" fontId="26" fillId="0" borderId="193" xfId="0" applyFont="1" applyFill="1" applyBorder="1" applyAlignment="1" applyProtection="1">
      <alignment horizontal="left" vertical="center"/>
      <protection hidden="1"/>
    </xf>
    <xf numFmtId="0" fontId="23" fillId="0" borderId="199" xfId="0" applyFont="1" applyFill="1" applyBorder="1" applyAlignment="1" applyProtection="1">
      <alignment horizontal="center" vertical="center" wrapText="1"/>
      <protection hidden="1"/>
    </xf>
    <xf numFmtId="0" fontId="23" fillId="0" borderId="209" xfId="0" applyFont="1" applyFill="1" applyBorder="1" applyAlignment="1" applyProtection="1">
      <alignment horizontal="center" vertical="center" wrapText="1"/>
      <protection hidden="1"/>
    </xf>
    <xf numFmtId="0" fontId="67" fillId="0" borderId="301" xfId="0" applyFont="1" applyFill="1" applyBorder="1" applyAlignment="1" applyProtection="1">
      <alignment horizontal="center" vertical="center"/>
      <protection hidden="1"/>
    </xf>
    <xf numFmtId="0" fontId="67" fillId="0" borderId="303" xfId="0" applyFont="1" applyFill="1" applyBorder="1" applyAlignment="1" applyProtection="1">
      <alignment horizontal="center" vertical="center"/>
      <protection hidden="1"/>
    </xf>
    <xf numFmtId="0" fontId="49" fillId="0" borderId="193" xfId="0" applyFont="1" applyFill="1" applyBorder="1" applyAlignment="1" applyProtection="1">
      <alignment horizontal="center" vertical="center" wrapText="1"/>
      <protection hidden="1"/>
    </xf>
    <xf numFmtId="0" fontId="23" fillId="20" borderId="360" xfId="0" applyFont="1" applyFill="1" applyBorder="1" applyAlignment="1" applyProtection="1">
      <alignment horizontal="center" vertical="center" wrapText="1"/>
      <protection hidden="1"/>
    </xf>
    <xf numFmtId="0" fontId="23" fillId="20" borderId="361" xfId="0" applyFont="1" applyFill="1" applyBorder="1" applyAlignment="1" applyProtection="1">
      <alignment horizontal="center" vertical="center" wrapText="1"/>
      <protection hidden="1"/>
    </xf>
    <xf numFmtId="0" fontId="31" fillId="9" borderId="359" xfId="0" applyFont="1" applyFill="1" applyBorder="1" applyAlignment="1" applyProtection="1">
      <alignment horizontal="left" vertical="center" wrapText="1"/>
      <protection locked="0" hidden="1"/>
    </xf>
    <xf numFmtId="0" fontId="31" fillId="9" borderId="363" xfId="0" applyFont="1" applyFill="1" applyBorder="1" applyAlignment="1" applyProtection="1">
      <alignment horizontal="left" vertical="center" wrapText="1"/>
      <protection locked="0" hidden="1"/>
    </xf>
    <xf numFmtId="0" fontId="31" fillId="9" borderId="365" xfId="0" applyFont="1" applyFill="1" applyBorder="1" applyAlignment="1" applyProtection="1">
      <alignment horizontal="left" vertical="center" wrapText="1"/>
      <protection locked="0" hidden="1"/>
    </xf>
    <xf numFmtId="0" fontId="31" fillId="20" borderId="363" xfId="0" applyFont="1" applyFill="1" applyBorder="1" applyAlignment="1" applyProtection="1">
      <alignment horizontal="center" vertical="center" wrapText="1"/>
      <protection hidden="1"/>
    </xf>
    <xf numFmtId="0" fontId="31" fillId="20" borderId="364" xfId="0" applyFont="1" applyFill="1" applyBorder="1" applyAlignment="1" applyProtection="1">
      <alignment horizontal="center" vertical="center" wrapText="1"/>
      <protection hidden="1"/>
    </xf>
    <xf numFmtId="0" fontId="49" fillId="20" borderId="363" xfId="0" applyFont="1" applyFill="1" applyBorder="1" applyAlignment="1" applyProtection="1">
      <alignment horizontal="center" vertical="center" wrapText="1"/>
      <protection hidden="1"/>
    </xf>
    <xf numFmtId="0" fontId="12" fillId="20" borderId="361" xfId="0" applyFont="1" applyFill="1" applyBorder="1" applyAlignment="1" applyProtection="1">
      <alignment horizontal="left" vertical="center" wrapText="1"/>
      <protection hidden="1"/>
    </xf>
    <xf numFmtId="0" fontId="12" fillId="20" borderId="359" xfId="0" applyFont="1" applyFill="1" applyBorder="1" applyAlignment="1" applyProtection="1">
      <alignment horizontal="left" vertical="center" wrapText="1"/>
      <protection hidden="1"/>
    </xf>
    <xf numFmtId="0" fontId="67" fillId="0" borderId="302" xfId="1" applyFont="1" applyFill="1" applyBorder="1" applyAlignment="1" applyProtection="1">
      <alignment horizontal="center" vertical="center" wrapText="1"/>
      <protection hidden="1"/>
    </xf>
    <xf numFmtId="0" fontId="67" fillId="0" borderId="273" xfId="1" applyFont="1" applyFill="1" applyBorder="1" applyAlignment="1" applyProtection="1">
      <alignment horizontal="center" vertical="center" wrapText="1"/>
      <protection hidden="1"/>
    </xf>
    <xf numFmtId="0" fontId="23" fillId="9" borderId="277" xfId="0" applyFont="1" applyFill="1" applyBorder="1" applyAlignment="1" applyProtection="1">
      <alignment horizontal="center" vertical="center" wrapText="1"/>
      <protection locked="0" hidden="1"/>
    </xf>
    <xf numFmtId="0" fontId="23" fillId="9" borderId="278" xfId="0" applyFont="1" applyFill="1" applyBorder="1" applyAlignment="1" applyProtection="1">
      <alignment horizontal="center" vertical="center" wrapText="1"/>
      <protection locked="0" hidden="1"/>
    </xf>
    <xf numFmtId="0" fontId="86" fillId="9" borderId="277" xfId="0" applyFont="1" applyFill="1" applyBorder="1" applyAlignment="1" applyProtection="1">
      <alignment horizontal="left" vertical="center"/>
      <protection locked="0" hidden="1"/>
    </xf>
    <xf numFmtId="0" fontId="86" fillId="9" borderId="278" xfId="0" applyFont="1" applyFill="1" applyBorder="1" applyAlignment="1" applyProtection="1">
      <alignment horizontal="left" vertical="center"/>
      <protection locked="0" hidden="1"/>
    </xf>
    <xf numFmtId="0" fontId="86" fillId="9" borderId="280" xfId="0" applyFont="1" applyFill="1" applyBorder="1" applyAlignment="1" applyProtection="1">
      <alignment horizontal="left" vertical="center"/>
      <protection locked="0" hidden="1"/>
    </xf>
    <xf numFmtId="0" fontId="67" fillId="0" borderId="254" xfId="0" applyFont="1" applyFill="1" applyBorder="1" applyAlignment="1" applyProtection="1">
      <alignment horizontal="center" vertical="center"/>
      <protection hidden="1"/>
    </xf>
    <xf numFmtId="0" fontId="67" fillId="0" borderId="234" xfId="0" applyFont="1" applyFill="1" applyBorder="1" applyAlignment="1" applyProtection="1">
      <alignment horizontal="center" vertical="center"/>
      <protection hidden="1"/>
    </xf>
    <xf numFmtId="0" fontId="67" fillId="0" borderId="246" xfId="0" applyFont="1" applyFill="1" applyBorder="1" applyAlignment="1" applyProtection="1">
      <alignment horizontal="center" vertical="center"/>
      <protection hidden="1"/>
    </xf>
    <xf numFmtId="0" fontId="67" fillId="0" borderId="245" xfId="0" applyFont="1" applyFill="1" applyBorder="1" applyAlignment="1" applyProtection="1">
      <alignment horizontal="center" vertical="center"/>
      <protection hidden="1"/>
    </xf>
    <xf numFmtId="0" fontId="16" fillId="0" borderId="252" xfId="0" applyFont="1" applyFill="1" applyBorder="1" applyAlignment="1" applyProtection="1">
      <alignment horizontal="left" vertical="center"/>
      <protection hidden="1"/>
    </xf>
    <xf numFmtId="0" fontId="16" fillId="0" borderId="234" xfId="0" applyFont="1" applyFill="1" applyBorder="1" applyAlignment="1" applyProtection="1">
      <alignment horizontal="left" vertical="center"/>
      <protection hidden="1"/>
    </xf>
    <xf numFmtId="0" fontId="16" fillId="0" borderId="246" xfId="0" applyFont="1" applyFill="1" applyBorder="1" applyAlignment="1" applyProtection="1">
      <alignment horizontal="left" vertical="center"/>
      <protection hidden="1"/>
    </xf>
    <xf numFmtId="0" fontId="29" fillId="0" borderId="277" xfId="0" applyFont="1" applyFill="1" applyBorder="1" applyAlignment="1" applyProtection="1">
      <alignment horizontal="left" vertical="center"/>
      <protection locked="0" hidden="1"/>
    </xf>
    <xf numFmtId="0" fontId="29" fillId="0" borderId="278" xfId="0" applyFont="1" applyFill="1" applyBorder="1" applyAlignment="1" applyProtection="1">
      <alignment horizontal="left" vertical="center"/>
      <protection locked="0" hidden="1"/>
    </xf>
    <xf numFmtId="0" fontId="5" fillId="0" borderId="229" xfId="0" applyFont="1" applyFill="1" applyBorder="1" applyAlignment="1" applyProtection="1">
      <alignment horizontal="center" vertical="center" textRotation="90" wrapText="1"/>
      <protection hidden="1"/>
    </xf>
    <xf numFmtId="0" fontId="5" fillId="0" borderId="231" xfId="0" applyFont="1" applyFill="1" applyBorder="1" applyAlignment="1" applyProtection="1">
      <alignment horizontal="center" vertical="center" textRotation="90" wrapText="1"/>
      <protection hidden="1"/>
    </xf>
    <xf numFmtId="0" fontId="5" fillId="0" borderId="286" xfId="0" applyFont="1" applyFill="1" applyBorder="1" applyAlignment="1" applyProtection="1">
      <alignment horizontal="center" vertical="center" textRotation="90" wrapText="1"/>
      <protection hidden="1"/>
    </xf>
    <xf numFmtId="0" fontId="68" fillId="0" borderId="196" xfId="0" applyFont="1" applyFill="1" applyBorder="1" applyAlignment="1" applyProtection="1">
      <alignment horizontal="center" vertical="center"/>
      <protection hidden="1"/>
    </xf>
    <xf numFmtId="0" fontId="29" fillId="0" borderId="199" xfId="0" applyFont="1" applyFill="1" applyBorder="1" applyAlignment="1" applyProtection="1">
      <alignment horizontal="left" vertical="center"/>
      <protection locked="0" hidden="1"/>
    </xf>
    <xf numFmtId="0" fontId="29" fillId="0" borderId="209" xfId="0" applyFont="1" applyFill="1" applyBorder="1" applyAlignment="1" applyProtection="1">
      <alignment horizontal="left" vertical="center"/>
      <protection locked="0" hidden="1"/>
    </xf>
    <xf numFmtId="0" fontId="68" fillId="0" borderId="318" xfId="0" applyFont="1" applyFill="1" applyBorder="1" applyAlignment="1" applyProtection="1">
      <alignment horizontal="center" vertical="center"/>
      <protection hidden="1"/>
    </xf>
    <xf numFmtId="0" fontId="67" fillId="0" borderId="267" xfId="0" applyFont="1" applyFill="1" applyBorder="1" applyAlignment="1" applyProtection="1">
      <alignment horizontal="center" vertical="center"/>
      <protection hidden="1"/>
    </xf>
    <xf numFmtId="2" fontId="0" fillId="0" borderId="193" xfId="0" applyNumberFormat="1" applyFont="1" applyFill="1" applyBorder="1" applyAlignment="1" applyProtection="1">
      <alignment horizontal="right" vertical="center"/>
      <protection hidden="1"/>
    </xf>
    <xf numFmtId="0" fontId="67" fillId="0" borderId="255" xfId="0" applyFont="1" applyFill="1" applyBorder="1" applyAlignment="1" applyProtection="1">
      <alignment horizontal="center" vertical="center"/>
      <protection hidden="1"/>
    </xf>
    <xf numFmtId="0" fontId="13" fillId="9" borderId="319" xfId="0" applyFont="1" applyFill="1" applyBorder="1" applyAlignment="1" applyProtection="1">
      <alignment horizontal="right" vertical="center"/>
      <protection locked="0" hidden="1"/>
    </xf>
    <xf numFmtId="0" fontId="13" fillId="9" borderId="276" xfId="0" applyFont="1" applyFill="1" applyBorder="1" applyAlignment="1" applyProtection="1">
      <alignment horizontal="right" vertical="center"/>
      <protection locked="0" hidden="1"/>
    </xf>
    <xf numFmtId="0" fontId="5" fillId="2" borderId="299" xfId="1" applyFont="1" applyFill="1" applyBorder="1" applyAlignment="1" applyProtection="1">
      <alignment horizontal="left" vertical="center" wrapText="1"/>
      <protection hidden="1"/>
    </xf>
    <xf numFmtId="0" fontId="5" fillId="2" borderId="300" xfId="1" applyFont="1" applyFill="1" applyBorder="1" applyAlignment="1" applyProtection="1">
      <alignment horizontal="left" vertical="center" wrapText="1"/>
      <protection hidden="1"/>
    </xf>
    <xf numFmtId="0" fontId="34" fillId="0" borderId="408" xfId="0" applyFont="1" applyFill="1" applyBorder="1" applyAlignment="1" applyProtection="1">
      <alignment horizontal="right" vertical="center" wrapText="1"/>
      <protection hidden="1"/>
    </xf>
    <xf numFmtId="0" fontId="34" fillId="0" borderId="401" xfId="0" applyFont="1" applyFill="1" applyBorder="1" applyAlignment="1" applyProtection="1">
      <alignment horizontal="right" vertical="center" wrapText="1"/>
      <protection hidden="1"/>
    </xf>
    <xf numFmtId="0" fontId="5" fillId="0" borderId="369" xfId="0" applyFont="1" applyFill="1" applyBorder="1" applyAlignment="1" applyProtection="1">
      <alignment horizontal="center" vertical="center" textRotation="90" wrapText="1"/>
      <protection hidden="1"/>
    </xf>
    <xf numFmtId="0" fontId="5" fillId="0" borderId="368" xfId="0" applyFont="1" applyFill="1" applyBorder="1" applyAlignment="1" applyProtection="1">
      <alignment horizontal="center" vertical="center" textRotation="90" wrapText="1"/>
      <protection hidden="1"/>
    </xf>
    <xf numFmtId="0" fontId="7" fillId="9" borderId="212" xfId="0" applyFont="1" applyFill="1" applyBorder="1" applyAlignment="1" applyProtection="1">
      <alignment horizontal="left" vertical="center" wrapText="1"/>
      <protection locked="0" hidden="1"/>
    </xf>
    <xf numFmtId="0" fontId="7" fillId="9" borderId="0" xfId="0" applyFont="1" applyFill="1" applyBorder="1" applyAlignment="1" applyProtection="1">
      <alignment horizontal="left" vertical="center" wrapText="1"/>
      <protection locked="0" hidden="1"/>
    </xf>
    <xf numFmtId="164" fontId="31" fillId="9" borderId="196" xfId="0" applyNumberFormat="1" applyFont="1" applyFill="1" applyBorder="1" applyAlignment="1" applyProtection="1">
      <alignment horizontal="left" vertical="center" wrapText="1"/>
      <protection locked="0" hidden="1"/>
    </xf>
    <xf numFmtId="164" fontId="31" fillId="9" borderId="193" xfId="0" applyNumberFormat="1" applyFont="1" applyFill="1" applyBorder="1" applyAlignment="1" applyProtection="1">
      <alignment horizontal="left" vertical="center" wrapText="1"/>
      <protection locked="0" hidden="1"/>
    </xf>
    <xf numFmtId="164" fontId="31" fillId="9" borderId="297" xfId="0" applyNumberFormat="1" applyFont="1" applyFill="1" applyBorder="1" applyAlignment="1" applyProtection="1">
      <alignment horizontal="left" vertical="center" wrapText="1"/>
      <protection locked="0" hidden="1"/>
    </xf>
    <xf numFmtId="0" fontId="67" fillId="0" borderId="304" xfId="1" applyFont="1" applyFill="1" applyBorder="1" applyAlignment="1" applyProtection="1">
      <alignment horizontal="center" vertical="center" wrapText="1"/>
      <protection hidden="1"/>
    </xf>
    <xf numFmtId="0" fontId="31" fillId="0" borderId="327" xfId="0" applyFont="1" applyFill="1" applyBorder="1" applyAlignment="1" applyProtection="1">
      <alignment horizontal="center" vertical="center"/>
      <protection hidden="1"/>
    </xf>
    <xf numFmtId="0" fontId="31" fillId="0" borderId="328" xfId="0" applyFont="1" applyFill="1" applyBorder="1" applyAlignment="1" applyProtection="1">
      <alignment horizontal="center" vertical="center"/>
      <protection hidden="1"/>
    </xf>
    <xf numFmtId="0" fontId="7" fillId="9" borderId="331" xfId="0" applyFont="1" applyFill="1" applyBorder="1" applyAlignment="1" applyProtection="1">
      <alignment horizontal="center" vertical="center"/>
      <protection locked="0" hidden="1"/>
    </xf>
    <xf numFmtId="0" fontId="7" fillId="9" borderId="332" xfId="0" applyFont="1" applyFill="1" applyBorder="1" applyAlignment="1" applyProtection="1">
      <alignment horizontal="center" vertical="center"/>
      <protection locked="0" hidden="1"/>
    </xf>
    <xf numFmtId="0" fontId="26" fillId="0" borderId="276" xfId="0" applyFont="1" applyFill="1" applyBorder="1" applyAlignment="1" applyProtection="1">
      <alignment horizontal="left" vertical="center"/>
      <protection hidden="1"/>
    </xf>
    <xf numFmtId="0" fontId="26" fillId="9" borderId="196" xfId="0" applyFont="1" applyFill="1" applyBorder="1" applyAlignment="1" applyProtection="1">
      <alignment horizontal="center" vertical="center" wrapText="1"/>
      <protection locked="0" hidden="1"/>
    </xf>
    <xf numFmtId="0" fontId="26" fillId="9" borderId="193" xfId="0" applyFont="1" applyFill="1" applyBorder="1" applyAlignment="1" applyProtection="1">
      <alignment horizontal="center" vertical="center" wrapText="1"/>
      <protection locked="0" hidden="1"/>
    </xf>
    <xf numFmtId="0" fontId="26" fillId="9" borderId="297" xfId="0" applyFont="1" applyFill="1" applyBorder="1" applyAlignment="1" applyProtection="1">
      <alignment horizontal="center" vertical="center" wrapText="1"/>
      <protection locked="0" hidden="1"/>
    </xf>
    <xf numFmtId="0" fontId="13" fillId="0" borderId="261" xfId="0" applyFont="1" applyFill="1" applyBorder="1" applyAlignment="1" applyProtection="1">
      <alignment horizontal="center" vertical="center"/>
      <protection hidden="1"/>
    </xf>
    <xf numFmtId="0" fontId="13" fillId="0" borderId="209" xfId="0" applyFont="1" applyFill="1" applyBorder="1" applyAlignment="1" applyProtection="1">
      <alignment horizontal="center" vertical="center"/>
      <protection hidden="1"/>
    </xf>
    <xf numFmtId="0" fontId="13" fillId="0" borderId="228" xfId="0" applyFont="1" applyFill="1" applyBorder="1" applyAlignment="1" applyProtection="1">
      <alignment horizontal="center" vertical="center"/>
      <protection hidden="1"/>
    </xf>
    <xf numFmtId="0" fontId="28" fillId="0" borderId="199" xfId="0" applyFont="1" applyFill="1" applyBorder="1" applyAlignment="1" applyProtection="1">
      <alignment horizontal="center" vertical="center" wrapText="1"/>
      <protection hidden="1"/>
    </xf>
    <xf numFmtId="0" fontId="28" fillId="0" borderId="209" xfId="0" applyFont="1" applyFill="1" applyBorder="1" applyAlignment="1" applyProtection="1">
      <alignment horizontal="center" vertical="center" wrapText="1"/>
      <protection hidden="1"/>
    </xf>
    <xf numFmtId="0" fontId="28" fillId="0" borderId="257" xfId="0" applyFont="1" applyFill="1" applyBorder="1" applyAlignment="1" applyProtection="1">
      <alignment horizontal="center" vertical="center" wrapText="1"/>
      <protection hidden="1"/>
    </xf>
    <xf numFmtId="166" fontId="83" fillId="0" borderId="237" xfId="0" applyNumberFormat="1" applyFont="1" applyFill="1" applyBorder="1" applyAlignment="1" applyProtection="1">
      <alignment horizontal="center" vertical="center" wrapText="1"/>
      <protection hidden="1"/>
    </xf>
    <xf numFmtId="166" fontId="83" fillId="0" borderId="238" xfId="0" applyNumberFormat="1" applyFont="1" applyFill="1" applyBorder="1" applyAlignment="1" applyProtection="1">
      <alignment horizontal="center" vertical="center" wrapText="1"/>
      <protection hidden="1"/>
    </xf>
    <xf numFmtId="0" fontId="26" fillId="20" borderId="360" xfId="0" applyFont="1" applyFill="1" applyBorder="1" applyAlignment="1" applyProtection="1">
      <alignment horizontal="left" vertical="center" wrapText="1"/>
      <protection locked="0" hidden="1"/>
    </xf>
    <xf numFmtId="0" fontId="26" fillId="20" borderId="361" xfId="0" applyFont="1" applyFill="1" applyBorder="1" applyAlignment="1" applyProtection="1">
      <alignment horizontal="left" vertical="center" wrapText="1"/>
      <protection locked="0" hidden="1"/>
    </xf>
    <xf numFmtId="0" fontId="26" fillId="20" borderId="359" xfId="0" applyFont="1" applyFill="1" applyBorder="1" applyAlignment="1" applyProtection="1">
      <alignment horizontal="left" vertical="center" wrapText="1"/>
      <protection locked="0" hidden="1"/>
    </xf>
    <xf numFmtId="0" fontId="13" fillId="0" borderId="248" xfId="0" applyFont="1" applyFill="1" applyBorder="1" applyAlignment="1" applyProtection="1">
      <alignment horizontal="center" vertical="center"/>
      <protection hidden="1"/>
    </xf>
    <xf numFmtId="0" fontId="13" fillId="0" borderId="293" xfId="0" applyFont="1" applyFill="1" applyBorder="1" applyAlignment="1" applyProtection="1">
      <alignment horizontal="center" vertical="center"/>
      <protection hidden="1"/>
    </xf>
    <xf numFmtId="0" fontId="67" fillId="0" borderId="263" xfId="0" applyFont="1" applyFill="1" applyBorder="1" applyAlignment="1" applyProtection="1">
      <alignment horizontal="center" vertical="center"/>
      <protection hidden="1"/>
    </xf>
    <xf numFmtId="0" fontId="67" fillId="0" borderId="244" xfId="0" applyFont="1" applyFill="1" applyBorder="1" applyAlignment="1" applyProtection="1">
      <alignment horizontal="center" vertical="center"/>
      <protection hidden="1"/>
    </xf>
    <xf numFmtId="0" fontId="67" fillId="0" borderId="264" xfId="0" applyFont="1" applyFill="1" applyBorder="1" applyAlignment="1" applyProtection="1">
      <alignment horizontal="center" vertical="center"/>
      <protection hidden="1"/>
    </xf>
    <xf numFmtId="0" fontId="13" fillId="20" borderId="224" xfId="0" applyFont="1" applyFill="1" applyBorder="1" applyAlignment="1" applyProtection="1">
      <alignment horizontal="left" vertical="center"/>
      <protection locked="0" hidden="1"/>
    </xf>
    <xf numFmtId="0" fontId="13" fillId="20" borderId="225" xfId="0" applyFont="1" applyFill="1" applyBorder="1" applyAlignment="1" applyProtection="1">
      <alignment horizontal="left" vertical="center"/>
      <protection locked="0" hidden="1"/>
    </xf>
    <xf numFmtId="0" fontId="13" fillId="0" borderId="227" xfId="0" applyFont="1" applyFill="1" applyBorder="1" applyAlignment="1" applyProtection="1">
      <alignment horizontal="left" vertical="center"/>
      <protection locked="0" hidden="1"/>
    </xf>
    <xf numFmtId="0" fontId="13" fillId="0" borderId="200" xfId="0" applyFont="1" applyFill="1" applyBorder="1" applyAlignment="1" applyProtection="1">
      <alignment horizontal="left" vertical="center"/>
      <protection locked="0" hidden="1"/>
    </xf>
    <xf numFmtId="0" fontId="13" fillId="0" borderId="199" xfId="0" applyFont="1" applyFill="1" applyBorder="1" applyAlignment="1" applyProtection="1">
      <alignment horizontal="left" vertical="center"/>
      <protection locked="0" hidden="1"/>
    </xf>
    <xf numFmtId="0" fontId="13" fillId="0" borderId="209" xfId="0" applyFont="1" applyFill="1" applyBorder="1" applyAlignment="1" applyProtection="1">
      <alignment horizontal="left" vertical="center"/>
      <protection locked="0" hidden="1"/>
    </xf>
    <xf numFmtId="0" fontId="56" fillId="0" borderId="217" xfId="0" applyFont="1" applyFill="1" applyBorder="1" applyAlignment="1" applyProtection="1">
      <alignment horizontal="center" vertical="center"/>
      <protection hidden="1"/>
    </xf>
    <xf numFmtId="165" fontId="13" fillId="20" borderId="256" xfId="0" applyNumberFormat="1" applyFont="1" applyFill="1" applyBorder="1" applyAlignment="1" applyProtection="1">
      <alignment horizontal="right" vertical="center"/>
      <protection locked="0" hidden="1"/>
    </xf>
    <xf numFmtId="165" fontId="13" fillId="20" borderId="201" xfId="0" applyNumberFormat="1" applyFont="1" applyFill="1" applyBorder="1" applyAlignment="1" applyProtection="1">
      <alignment horizontal="right" vertical="center"/>
      <protection locked="0" hidden="1"/>
    </xf>
    <xf numFmtId="0" fontId="29" fillId="0" borderId="193" xfId="0" applyFont="1" applyFill="1" applyBorder="1" applyAlignment="1" applyProtection="1">
      <alignment horizontal="center" vertical="center" wrapText="1"/>
      <protection locked="0" hidden="1"/>
    </xf>
    <xf numFmtId="0" fontId="29" fillId="0" borderId="267" xfId="0" applyFont="1" applyFill="1" applyBorder="1" applyAlignment="1" applyProtection="1">
      <alignment horizontal="center" vertical="center" wrapText="1"/>
      <protection locked="0" hidden="1"/>
    </xf>
    <xf numFmtId="0" fontId="74" fillId="0" borderId="209" xfId="0" applyFont="1" applyFill="1" applyBorder="1" applyAlignment="1" applyProtection="1">
      <alignment horizontal="left" vertical="center" wrapText="1"/>
      <protection hidden="1"/>
    </xf>
    <xf numFmtId="0" fontId="74" fillId="0" borderId="196" xfId="0" applyFont="1" applyFill="1" applyBorder="1" applyAlignment="1" applyProtection="1">
      <alignment horizontal="left" vertical="center" wrapText="1"/>
      <protection hidden="1"/>
    </xf>
    <xf numFmtId="0" fontId="75" fillId="0" borderId="209" xfId="0" applyFont="1" applyFill="1" applyBorder="1" applyAlignment="1" applyProtection="1">
      <alignment horizontal="left" vertical="center" wrapText="1"/>
      <protection hidden="1"/>
    </xf>
    <xf numFmtId="0" fontId="75" fillId="0" borderId="196" xfId="0" applyFont="1" applyFill="1" applyBorder="1" applyAlignment="1" applyProtection="1">
      <alignment horizontal="left" vertical="center" wrapText="1"/>
      <protection hidden="1"/>
    </xf>
    <xf numFmtId="0" fontId="0" fillId="0" borderId="276" xfId="0" applyFont="1" applyFill="1" applyBorder="1" applyAlignment="1" applyProtection="1">
      <alignment horizontal="center" vertical="center"/>
      <protection hidden="1"/>
    </xf>
    <xf numFmtId="0" fontId="0" fillId="0" borderId="279" xfId="0" applyFont="1" applyFill="1" applyBorder="1" applyAlignment="1" applyProtection="1">
      <alignment horizontal="center" vertical="center"/>
      <protection hidden="1"/>
    </xf>
    <xf numFmtId="2" fontId="0" fillId="0" borderId="276" xfId="0" applyNumberFormat="1" applyFont="1" applyFill="1" applyBorder="1" applyAlignment="1" applyProtection="1">
      <alignment horizontal="right" vertical="center"/>
      <protection hidden="1"/>
    </xf>
    <xf numFmtId="0" fontId="7" fillId="0" borderId="330" xfId="0" applyFont="1" applyFill="1" applyBorder="1" applyAlignment="1" applyProtection="1">
      <alignment horizontal="center" vertical="center"/>
      <protection hidden="1"/>
    </xf>
    <xf numFmtId="0" fontId="7" fillId="0" borderId="331" xfId="0" applyFont="1" applyFill="1" applyBorder="1" applyAlignment="1" applyProtection="1">
      <alignment horizontal="center" vertical="center"/>
      <protection hidden="1"/>
    </xf>
    <xf numFmtId="0" fontId="26" fillId="9" borderId="261" xfId="0" applyFont="1" applyFill="1" applyBorder="1" applyAlignment="1" applyProtection="1">
      <alignment horizontal="center" vertical="center" wrapText="1"/>
      <protection locked="0" hidden="1"/>
    </xf>
    <xf numFmtId="0" fontId="26" fillId="9" borderId="209" xfId="0" applyFont="1" applyFill="1" applyBorder="1" applyAlignment="1" applyProtection="1">
      <alignment horizontal="center" vertical="center" wrapText="1"/>
      <protection locked="0" hidden="1"/>
    </xf>
    <xf numFmtId="0" fontId="26" fillId="9" borderId="228" xfId="0" applyFont="1" applyFill="1" applyBorder="1" applyAlignment="1" applyProtection="1">
      <alignment horizontal="center" vertical="center" wrapText="1"/>
      <protection locked="0" hidden="1"/>
    </xf>
    <xf numFmtId="0" fontId="67" fillId="0" borderId="209" xfId="0" applyFont="1" applyFill="1" applyBorder="1" applyAlignment="1" applyProtection="1">
      <alignment horizontal="center" vertical="center"/>
      <protection hidden="1"/>
    </xf>
    <xf numFmtId="0" fontId="67" fillId="0" borderId="228" xfId="0" applyFont="1" applyFill="1" applyBorder="1" applyAlignment="1" applyProtection="1">
      <alignment horizontal="center" vertical="center"/>
      <protection hidden="1"/>
    </xf>
    <xf numFmtId="0" fontId="34" fillId="0" borderId="409" xfId="1" applyFont="1" applyFill="1" applyBorder="1" applyAlignment="1" applyProtection="1">
      <alignment horizontal="center" vertical="center" wrapText="1"/>
      <protection hidden="1"/>
    </xf>
    <xf numFmtId="0" fontId="34" fillId="0" borderId="406" xfId="1" applyFont="1" applyFill="1" applyBorder="1" applyAlignment="1" applyProtection="1">
      <alignment horizontal="center" vertical="center" wrapText="1"/>
      <protection hidden="1"/>
    </xf>
    <xf numFmtId="0" fontId="26" fillId="9" borderId="276" xfId="0" applyFont="1" applyFill="1" applyBorder="1" applyAlignment="1" applyProtection="1">
      <alignment vertical="center" wrapText="1"/>
      <protection locked="0" hidden="1"/>
    </xf>
    <xf numFmtId="0" fontId="4" fillId="0" borderId="296" xfId="0" applyFont="1" applyFill="1" applyBorder="1" applyAlignment="1" applyProtection="1">
      <alignment horizontal="center" vertical="center" textRotation="90" wrapText="1"/>
      <protection hidden="1"/>
    </xf>
    <xf numFmtId="0" fontId="4" fillId="0" borderId="275" xfId="0" applyFont="1" applyFill="1" applyBorder="1" applyAlignment="1" applyProtection="1">
      <alignment horizontal="center" vertical="center" textRotation="90" wrapText="1"/>
      <protection hidden="1"/>
    </xf>
    <xf numFmtId="0" fontId="67" fillId="0" borderId="302" xfId="0" applyFont="1" applyFill="1" applyBorder="1" applyAlignment="1" applyProtection="1">
      <alignment horizontal="center" vertical="center" wrapText="1"/>
      <protection hidden="1"/>
    </xf>
    <xf numFmtId="0" fontId="67" fillId="0" borderId="273" xfId="0" applyFont="1" applyFill="1" applyBorder="1" applyAlignment="1" applyProtection="1">
      <alignment horizontal="center" vertical="center" wrapText="1"/>
      <protection hidden="1"/>
    </xf>
    <xf numFmtId="0" fontId="60" fillId="2" borderId="299" xfId="0" applyFont="1" applyFill="1" applyBorder="1" applyAlignment="1" applyProtection="1">
      <alignment horizontal="left" vertical="center" wrapText="1"/>
      <protection hidden="1"/>
    </xf>
    <xf numFmtId="0" fontId="60" fillId="2" borderId="300" xfId="0" applyFont="1" applyFill="1" applyBorder="1" applyAlignment="1" applyProtection="1">
      <alignment horizontal="left" vertical="center" wrapText="1"/>
      <protection hidden="1"/>
    </xf>
    <xf numFmtId="0" fontId="60" fillId="2" borderId="309" xfId="0" applyFont="1" applyFill="1" applyBorder="1" applyAlignment="1" applyProtection="1">
      <alignment horizontal="left" vertical="center" wrapText="1"/>
      <protection hidden="1"/>
    </xf>
    <xf numFmtId="0" fontId="4" fillId="0" borderId="305" xfId="0" applyFont="1" applyFill="1" applyBorder="1" applyAlignment="1" applyProtection="1">
      <alignment horizontal="center" vertical="center" textRotation="90" wrapText="1"/>
      <protection hidden="1"/>
    </xf>
    <xf numFmtId="0" fontId="4" fillId="0" borderId="306" xfId="0" applyFont="1" applyFill="1" applyBorder="1" applyAlignment="1" applyProtection="1">
      <alignment horizontal="center" vertical="center" textRotation="90" wrapText="1"/>
      <protection hidden="1"/>
    </xf>
    <xf numFmtId="0" fontId="4" fillId="0" borderId="307" xfId="0" applyFont="1" applyFill="1" applyBorder="1" applyAlignment="1" applyProtection="1">
      <alignment horizontal="center" vertical="center" textRotation="90" wrapText="1"/>
      <protection hidden="1"/>
    </xf>
    <xf numFmtId="0" fontId="67" fillId="0" borderId="261" xfId="0" applyFont="1" applyFill="1" applyBorder="1" applyAlignment="1" applyProtection="1">
      <alignment horizontal="center" vertical="center"/>
      <protection hidden="1"/>
    </xf>
    <xf numFmtId="0" fontId="67" fillId="0" borderId="196" xfId="0" applyFont="1" applyFill="1" applyBorder="1" applyAlignment="1" applyProtection="1">
      <alignment horizontal="center" vertical="center"/>
      <protection hidden="1"/>
    </xf>
    <xf numFmtId="0" fontId="67" fillId="0" borderId="257" xfId="0" applyFont="1" applyFill="1" applyBorder="1" applyAlignment="1" applyProtection="1">
      <alignment horizontal="center" vertical="center"/>
      <protection hidden="1"/>
    </xf>
    <xf numFmtId="0" fontId="75" fillId="9" borderId="196" xfId="0" applyFont="1" applyFill="1" applyBorder="1" applyAlignment="1" applyProtection="1">
      <alignment horizontal="center" vertical="center" wrapText="1"/>
      <protection locked="0" hidden="1"/>
    </xf>
    <xf numFmtId="0" fontId="29" fillId="9" borderId="199" xfId="0" applyFont="1" applyFill="1" applyBorder="1" applyAlignment="1" applyProtection="1">
      <alignment horizontal="center" vertical="center" wrapText="1"/>
      <protection locked="0" hidden="1"/>
    </xf>
    <xf numFmtId="0" fontId="29" fillId="9" borderId="209" xfId="0" applyFont="1" applyFill="1" applyBorder="1" applyAlignment="1" applyProtection="1">
      <alignment horizontal="center" vertical="center" wrapText="1"/>
      <protection locked="0" hidden="1"/>
    </xf>
    <xf numFmtId="0" fontId="29" fillId="9" borderId="257" xfId="0" applyFont="1" applyFill="1" applyBorder="1" applyAlignment="1" applyProtection="1">
      <alignment horizontal="center" vertical="center" wrapText="1"/>
      <protection locked="0" hidden="1"/>
    </xf>
    <xf numFmtId="0" fontId="26" fillId="20" borderId="276" xfId="0" applyFont="1" applyFill="1" applyBorder="1" applyAlignment="1" applyProtection="1">
      <alignment vertical="center" wrapText="1"/>
      <protection locked="0" hidden="1"/>
    </xf>
    <xf numFmtId="0" fontId="67" fillId="0" borderId="310" xfId="0" applyFont="1" applyFill="1" applyBorder="1" applyAlignment="1" applyProtection="1">
      <alignment horizontal="center" vertical="center" wrapText="1"/>
      <protection hidden="1"/>
    </xf>
    <xf numFmtId="0" fontId="13" fillId="0" borderId="193" xfId="0" applyFont="1" applyFill="1" applyBorder="1" applyAlignment="1" applyProtection="1">
      <alignment horizontal="center" vertical="center" wrapText="1"/>
      <protection locked="0" hidden="1"/>
    </xf>
    <xf numFmtId="0" fontId="26" fillId="20" borderId="276" xfId="0" applyFont="1" applyFill="1" applyBorder="1" applyAlignment="1" applyProtection="1">
      <alignment horizontal="center" vertical="center" wrapText="1"/>
      <protection locked="0" hidden="1"/>
    </xf>
    <xf numFmtId="0" fontId="1" fillId="0" borderId="278" xfId="0" applyFont="1" applyFill="1" applyBorder="1" applyAlignment="1" applyProtection="1">
      <alignment horizontal="left" vertical="center" wrapText="1"/>
      <protection hidden="1"/>
    </xf>
    <xf numFmtId="0" fontId="1" fillId="0" borderId="280" xfId="0" applyFont="1" applyFill="1" applyBorder="1" applyAlignment="1" applyProtection="1">
      <alignment horizontal="left" vertical="center" wrapText="1"/>
      <protection hidden="1"/>
    </xf>
    <xf numFmtId="0" fontId="51" fillId="0" borderId="277" xfId="0" applyFont="1" applyFill="1" applyBorder="1" applyAlignment="1" applyProtection="1">
      <alignment horizontal="center" vertical="center" wrapText="1"/>
      <protection hidden="1"/>
    </xf>
    <xf numFmtId="0" fontId="51" fillId="0" borderId="278" xfId="0" applyFont="1" applyFill="1" applyBorder="1" applyAlignment="1" applyProtection="1">
      <alignment horizontal="center" vertical="center" wrapText="1"/>
      <protection hidden="1"/>
    </xf>
    <xf numFmtId="0" fontId="51" fillId="0" borderId="199" xfId="0" applyFont="1" applyFill="1" applyBorder="1" applyAlignment="1" applyProtection="1">
      <alignment horizontal="center" vertical="center" wrapText="1"/>
      <protection hidden="1"/>
    </xf>
    <xf numFmtId="0" fontId="51" fillId="0" borderId="209" xfId="0" applyFont="1" applyFill="1" applyBorder="1" applyAlignment="1" applyProtection="1">
      <alignment horizontal="center" vertical="center" wrapText="1"/>
      <protection hidden="1"/>
    </xf>
    <xf numFmtId="0" fontId="26" fillId="0" borderId="277" xfId="0" applyFont="1" applyFill="1" applyBorder="1" applyAlignment="1" applyProtection="1">
      <alignment horizontal="left" vertical="center" wrapText="1"/>
      <protection locked="0" hidden="1"/>
    </xf>
    <xf numFmtId="0" fontId="26" fillId="0" borderId="278" xfId="0" applyFont="1" applyFill="1" applyBorder="1" applyAlignment="1" applyProtection="1">
      <alignment horizontal="left" vertical="center" wrapText="1"/>
      <protection locked="0" hidden="1"/>
    </xf>
    <xf numFmtId="0" fontId="26" fillId="0" borderId="280" xfId="0" applyFont="1" applyFill="1" applyBorder="1" applyAlignment="1" applyProtection="1">
      <alignment horizontal="left" vertical="center" wrapText="1"/>
      <protection locked="0" hidden="1"/>
    </xf>
    <xf numFmtId="0" fontId="26" fillId="0" borderId="227" xfId="0" applyFont="1" applyFill="1" applyBorder="1" applyAlignment="1" applyProtection="1">
      <alignment horizontal="left" vertical="center" wrapText="1"/>
      <protection locked="0" hidden="1"/>
    </xf>
    <xf numFmtId="0" fontId="26" fillId="0" borderId="200" xfId="0" applyFont="1" applyFill="1" applyBorder="1" applyAlignment="1" applyProtection="1">
      <alignment horizontal="left" vertical="center" wrapText="1"/>
      <protection locked="0" hidden="1"/>
    </xf>
    <xf numFmtId="0" fontId="26" fillId="0" borderId="197" xfId="0" applyFont="1" applyFill="1" applyBorder="1" applyAlignment="1" applyProtection="1">
      <alignment horizontal="left" vertical="center" wrapText="1"/>
      <protection locked="0" hidden="1"/>
    </xf>
    <xf numFmtId="0" fontId="0" fillId="9" borderId="289" xfId="0" applyFont="1" applyFill="1" applyBorder="1" applyAlignment="1" applyProtection="1">
      <alignment horizontal="right" vertical="center"/>
      <protection locked="0" hidden="1"/>
    </xf>
    <xf numFmtId="0" fontId="4" fillId="0" borderId="305" xfId="0" applyFont="1" applyFill="1" applyBorder="1" applyAlignment="1" applyProtection="1">
      <alignment horizontal="center" vertical="center" wrapText="1"/>
      <protection hidden="1"/>
    </xf>
    <xf numFmtId="0" fontId="4" fillId="0" borderId="306" xfId="0" applyFont="1" applyFill="1" applyBorder="1" applyAlignment="1" applyProtection="1">
      <alignment horizontal="center" vertical="center" wrapText="1"/>
      <protection hidden="1"/>
    </xf>
    <xf numFmtId="0" fontId="4" fillId="0" borderId="307" xfId="0" applyFont="1" applyFill="1" applyBorder="1" applyAlignment="1" applyProtection="1">
      <alignment horizontal="center" vertical="center" wrapText="1"/>
      <protection hidden="1"/>
    </xf>
    <xf numFmtId="0" fontId="0" fillId="9" borderId="261" xfId="0" applyFont="1" applyFill="1" applyBorder="1" applyAlignment="1" applyProtection="1">
      <alignment horizontal="right" vertical="center"/>
      <protection locked="0" hidden="1"/>
    </xf>
    <xf numFmtId="0" fontId="1" fillId="0" borderId="209" xfId="0" applyFont="1" applyFill="1" applyBorder="1" applyAlignment="1" applyProtection="1">
      <alignment horizontal="left" vertical="center" wrapText="1"/>
      <protection hidden="1"/>
    </xf>
    <xf numFmtId="0" fontId="1" fillId="0" borderId="196" xfId="0" applyFont="1" applyFill="1" applyBorder="1" applyAlignment="1" applyProtection="1">
      <alignment horizontal="left" vertical="center" wrapText="1"/>
      <protection hidden="1"/>
    </xf>
    <xf numFmtId="0" fontId="26" fillId="0" borderId="209" xfId="0" applyFont="1" applyFill="1" applyBorder="1" applyAlignment="1" applyProtection="1">
      <alignment horizontal="left" vertical="center"/>
      <protection hidden="1"/>
    </xf>
    <xf numFmtId="0" fontId="26" fillId="0" borderId="257" xfId="0" applyFont="1" applyFill="1" applyBorder="1" applyAlignment="1" applyProtection="1">
      <alignment horizontal="left" vertical="center"/>
      <protection hidden="1"/>
    </xf>
    <xf numFmtId="165" fontId="13" fillId="0" borderId="261" xfId="0" applyNumberFormat="1" applyFont="1" applyFill="1" applyBorder="1" applyAlignment="1" applyProtection="1">
      <alignment horizontal="right" vertical="center"/>
      <protection locked="0" hidden="1"/>
    </xf>
    <xf numFmtId="165" fontId="13" fillId="0" borderId="209" xfId="0" applyNumberFormat="1" applyFont="1" applyFill="1" applyBorder="1" applyAlignment="1" applyProtection="1">
      <alignment horizontal="right" vertical="center"/>
      <protection locked="0" hidden="1"/>
    </xf>
    <xf numFmtId="0" fontId="13" fillId="20" borderId="247" xfId="0" applyFont="1" applyFill="1" applyBorder="1" applyAlignment="1" applyProtection="1">
      <alignment horizontal="left" vertical="center" wrapText="1"/>
      <protection hidden="1"/>
    </xf>
    <xf numFmtId="0" fontId="13" fillId="20" borderId="292" xfId="0" applyFont="1" applyFill="1" applyBorder="1" applyAlignment="1" applyProtection="1">
      <alignment horizontal="left" vertical="center" wrapText="1"/>
      <protection hidden="1"/>
    </xf>
    <xf numFmtId="0" fontId="13" fillId="20" borderId="225" xfId="0" applyFont="1" applyFill="1" applyBorder="1" applyAlignment="1" applyProtection="1">
      <alignment horizontal="left" vertical="center"/>
      <protection hidden="1"/>
    </xf>
    <xf numFmtId="0" fontId="13" fillId="20" borderId="262" xfId="0" applyFont="1" applyFill="1" applyBorder="1" applyAlignment="1" applyProtection="1">
      <alignment horizontal="left" vertical="center"/>
      <protection hidden="1"/>
    </xf>
    <xf numFmtId="0" fontId="60" fillId="2" borderId="270" xfId="0" applyFont="1" applyFill="1" applyBorder="1" applyAlignment="1" applyProtection="1">
      <alignment horizontal="left" vertical="center" wrapText="1"/>
      <protection hidden="1"/>
    </xf>
    <xf numFmtId="0" fontId="60" fillId="2" borderId="271" xfId="0" applyFont="1" applyFill="1" applyBorder="1" applyAlignment="1" applyProtection="1">
      <alignment horizontal="left" vertical="center" wrapText="1"/>
      <protection hidden="1"/>
    </xf>
    <xf numFmtId="0" fontId="0" fillId="9" borderId="278" xfId="0" applyFont="1" applyFill="1" applyBorder="1" applyAlignment="1" applyProtection="1">
      <alignment vertical="center" wrapText="1"/>
      <protection locked="0" hidden="1"/>
    </xf>
    <xf numFmtId="0" fontId="0" fillId="9" borderId="280" xfId="0" applyFont="1" applyFill="1" applyBorder="1" applyAlignment="1" applyProtection="1">
      <alignment vertical="center" wrapText="1"/>
      <protection locked="0" hidden="1"/>
    </xf>
    <xf numFmtId="0" fontId="26" fillId="20" borderId="360" xfId="0" applyFont="1" applyFill="1" applyBorder="1" applyAlignment="1" applyProtection="1">
      <alignment vertical="center" wrapText="1"/>
      <protection locked="0" hidden="1"/>
    </xf>
    <xf numFmtId="0" fontId="26" fillId="20" borderId="361" xfId="0" applyFont="1" applyFill="1" applyBorder="1" applyAlignment="1" applyProtection="1">
      <alignment vertical="center" wrapText="1"/>
      <protection locked="0" hidden="1"/>
    </xf>
    <xf numFmtId="0" fontId="26" fillId="20" borderId="359" xfId="0" applyFont="1" applyFill="1" applyBorder="1" applyAlignment="1" applyProtection="1">
      <alignment vertical="center" wrapText="1"/>
      <protection locked="0" hidden="1"/>
    </xf>
    <xf numFmtId="1" fontId="83" fillId="0" borderId="347" xfId="0" applyNumberFormat="1" applyFont="1" applyFill="1" applyBorder="1" applyAlignment="1" applyProtection="1">
      <alignment horizontal="left" wrapText="1"/>
      <protection hidden="1"/>
    </xf>
    <xf numFmtId="1" fontId="83" fillId="0" borderId="367" xfId="0" applyNumberFormat="1" applyFont="1" applyFill="1" applyBorder="1" applyAlignment="1" applyProtection="1">
      <alignment horizontal="left" wrapText="1"/>
      <protection hidden="1"/>
    </xf>
    <xf numFmtId="1" fontId="13" fillId="0" borderId="347" xfId="0" applyNumberFormat="1" applyFont="1" applyFill="1" applyBorder="1" applyAlignment="1" applyProtection="1">
      <protection hidden="1"/>
    </xf>
    <xf numFmtId="0" fontId="13" fillId="0" borderId="347" xfId="0" applyFont="1" applyFill="1" applyBorder="1" applyAlignment="1" applyProtection="1">
      <alignment horizontal="center" wrapText="1"/>
      <protection hidden="1"/>
    </xf>
    <xf numFmtId="0" fontId="37" fillId="0" borderId="326" xfId="0" applyFont="1" applyFill="1" applyBorder="1" applyAlignment="1" applyProtection="1">
      <alignment horizontal="right" vertical="center" wrapText="1"/>
      <protection hidden="1"/>
    </xf>
    <xf numFmtId="0" fontId="37" fillId="0" borderId="278" xfId="0" applyFont="1" applyFill="1" applyBorder="1" applyAlignment="1" applyProtection="1">
      <alignment horizontal="right" vertical="center" wrapText="1"/>
      <protection hidden="1"/>
    </xf>
    <xf numFmtId="0" fontId="37" fillId="0" borderId="280" xfId="0" applyFont="1" applyFill="1" applyBorder="1" applyAlignment="1" applyProtection="1">
      <alignment horizontal="right" vertical="center" wrapText="1"/>
      <protection hidden="1"/>
    </xf>
    <xf numFmtId="0" fontId="67" fillId="0" borderId="223" xfId="0" applyFont="1" applyFill="1" applyBorder="1" applyAlignment="1" applyProtection="1">
      <alignment horizontal="center" vertical="center" wrapText="1"/>
      <protection hidden="1"/>
    </xf>
    <xf numFmtId="0" fontId="67" fillId="0" borderId="274" xfId="0" applyFont="1" applyFill="1" applyBorder="1" applyAlignment="1" applyProtection="1">
      <alignment horizontal="center" vertical="center" wrapText="1"/>
      <protection hidden="1"/>
    </xf>
    <xf numFmtId="0" fontId="3" fillId="0" borderId="207" xfId="0" applyFont="1" applyFill="1" applyBorder="1" applyAlignment="1" applyProtection="1">
      <alignment horizontal="right" vertical="center" wrapText="1"/>
      <protection hidden="1"/>
    </xf>
    <xf numFmtId="0" fontId="13" fillId="0" borderId="276" xfId="0" applyFont="1" applyFill="1" applyBorder="1" applyAlignment="1" applyProtection="1">
      <alignment horizontal="left" vertical="center" wrapText="1"/>
      <protection hidden="1"/>
    </xf>
    <xf numFmtId="0" fontId="13" fillId="0" borderId="279" xfId="0" applyFont="1" applyFill="1" applyBorder="1" applyAlignment="1" applyProtection="1">
      <alignment horizontal="left" vertical="center" wrapText="1"/>
      <protection hidden="1"/>
    </xf>
    <xf numFmtId="0" fontId="16" fillId="0" borderId="207" xfId="0" applyFont="1" applyFill="1" applyBorder="1" applyAlignment="1" applyProtection="1">
      <alignment horizontal="center" vertical="center" wrapText="1"/>
      <protection hidden="1"/>
    </xf>
    <xf numFmtId="0" fontId="0" fillId="0" borderId="278" xfId="0" applyFont="1" applyFill="1" applyBorder="1" applyAlignment="1" applyProtection="1">
      <alignment horizontal="center" vertical="center" wrapText="1"/>
      <protection hidden="1"/>
    </xf>
    <xf numFmtId="0" fontId="0" fillId="0" borderId="280" xfId="0" applyFont="1" applyFill="1" applyBorder="1" applyAlignment="1" applyProtection="1">
      <alignment horizontal="center" vertical="center" wrapText="1"/>
      <protection hidden="1"/>
    </xf>
    <xf numFmtId="0" fontId="70" fillId="0" borderId="277" xfId="0" applyFont="1" applyFill="1" applyBorder="1" applyAlignment="1" applyProtection="1">
      <alignment horizontal="left" vertical="center" wrapText="1"/>
      <protection hidden="1"/>
    </xf>
    <xf numFmtId="0" fontId="70" fillId="0" borderId="278" xfId="0" applyFont="1" applyFill="1" applyBorder="1" applyAlignment="1" applyProtection="1">
      <alignment horizontal="left" vertical="center" wrapText="1"/>
      <protection hidden="1"/>
    </xf>
    <xf numFmtId="0" fontId="70" fillId="0" borderId="281" xfId="0" applyFont="1" applyFill="1" applyBorder="1" applyAlignment="1" applyProtection="1">
      <alignment horizontal="left" vertical="center" wrapText="1"/>
      <protection hidden="1"/>
    </xf>
    <xf numFmtId="0" fontId="5" fillId="0" borderId="235" xfId="0" applyFont="1" applyFill="1" applyBorder="1" applyAlignment="1" applyProtection="1">
      <alignment horizontal="center" vertical="center" wrapText="1"/>
      <protection hidden="1"/>
    </xf>
    <xf numFmtId="0" fontId="5" fillId="0" borderId="200" xfId="0" applyFont="1" applyFill="1" applyBorder="1" applyAlignment="1" applyProtection="1">
      <alignment horizontal="center" vertical="center" wrapText="1"/>
      <protection hidden="1"/>
    </xf>
    <xf numFmtId="0" fontId="5" fillId="0" borderId="197" xfId="0" applyFont="1" applyFill="1" applyBorder="1" applyAlignment="1" applyProtection="1">
      <alignment horizontal="center" vertical="center" wrapText="1"/>
      <protection hidden="1"/>
    </xf>
    <xf numFmtId="0" fontId="5" fillId="2" borderId="270" xfId="0" applyFont="1" applyFill="1" applyBorder="1" applyAlignment="1" applyProtection="1">
      <alignment horizontal="left" vertical="center" wrapText="1"/>
      <protection hidden="1"/>
    </xf>
    <xf numFmtId="0" fontId="5" fillId="2" borderId="271" xfId="0" applyFont="1" applyFill="1" applyBorder="1" applyAlignment="1" applyProtection="1">
      <alignment horizontal="left" vertical="center" wrapText="1"/>
      <protection hidden="1"/>
    </xf>
    <xf numFmtId="0" fontId="5" fillId="2" borderId="272" xfId="0" applyFont="1" applyFill="1" applyBorder="1" applyAlignment="1" applyProtection="1">
      <alignment horizontal="left" vertical="center" wrapText="1"/>
      <protection hidden="1"/>
    </xf>
    <xf numFmtId="0" fontId="5" fillId="2" borderId="231" xfId="0" applyFont="1" applyFill="1" applyBorder="1" applyAlignment="1" applyProtection="1">
      <alignment horizontal="left" vertical="center" wrapText="1"/>
      <protection hidden="1"/>
    </xf>
    <xf numFmtId="0" fontId="5" fillId="2" borderId="0" xfId="0" applyFont="1" applyFill="1" applyBorder="1" applyAlignment="1" applyProtection="1">
      <alignment horizontal="left" vertical="center" wrapText="1"/>
      <protection hidden="1"/>
    </xf>
    <xf numFmtId="0" fontId="5" fillId="2" borderId="198" xfId="0" applyFont="1" applyFill="1" applyBorder="1" applyAlignment="1" applyProtection="1">
      <alignment horizontal="left" vertical="center" wrapText="1"/>
      <protection hidden="1"/>
    </xf>
    <xf numFmtId="0" fontId="3" fillId="9" borderId="323" xfId="0" applyFont="1" applyFill="1" applyBorder="1" applyAlignment="1" applyProtection="1">
      <alignment horizontal="right" vertical="center"/>
      <protection locked="0" hidden="1"/>
    </xf>
    <xf numFmtId="0" fontId="0" fillId="9" borderId="324" xfId="0" applyFill="1" applyBorder="1" applyAlignment="1" applyProtection="1">
      <alignment horizontal="right" vertical="center"/>
      <protection locked="0"/>
    </xf>
    <xf numFmtId="0" fontId="88" fillId="13" borderId="407" xfId="0" applyFont="1" applyFill="1" applyBorder="1" applyAlignment="1" applyProtection="1">
      <alignment horizontal="center" vertical="center"/>
      <protection hidden="1"/>
    </xf>
    <xf numFmtId="0" fontId="88" fillId="13" borderId="370" xfId="0" applyFont="1" applyFill="1" applyBorder="1" applyAlignment="1" applyProtection="1">
      <alignment horizontal="center" vertical="center"/>
      <protection hidden="1"/>
    </xf>
    <xf numFmtId="0" fontId="72" fillId="13" borderId="370" xfId="0" applyFont="1" applyFill="1" applyBorder="1" applyAlignment="1" applyProtection="1">
      <alignment horizontal="left" vertical="center"/>
    </xf>
    <xf numFmtId="165" fontId="72" fillId="13" borderId="370" xfId="0" applyNumberFormat="1" applyFont="1" applyFill="1" applyBorder="1" applyAlignment="1" applyProtection="1">
      <alignment horizontal="center" vertical="center"/>
    </xf>
    <xf numFmtId="0" fontId="66" fillId="0" borderId="287" xfId="0" applyFont="1" applyFill="1" applyBorder="1" applyAlignment="1" applyProtection="1">
      <alignment horizontal="right" wrapText="1"/>
      <protection locked="0" hidden="1"/>
    </xf>
    <xf numFmtId="0" fontId="5" fillId="2" borderId="282" xfId="0" applyFont="1" applyFill="1" applyBorder="1" applyAlignment="1" applyProtection="1">
      <alignment horizontal="left" vertical="center" wrapText="1"/>
      <protection hidden="1"/>
    </xf>
    <xf numFmtId="0" fontId="5" fillId="2" borderId="283" xfId="0" applyFont="1" applyFill="1" applyBorder="1" applyAlignment="1" applyProtection="1">
      <alignment horizontal="left" vertical="center" wrapText="1"/>
      <protection hidden="1"/>
    </xf>
    <xf numFmtId="0" fontId="50" fillId="0" borderId="200" xfId="0" applyFont="1" applyFill="1" applyBorder="1" applyAlignment="1" applyProtection="1">
      <alignment horizontal="left"/>
      <protection hidden="1"/>
    </xf>
    <xf numFmtId="0" fontId="50" fillId="0" borderId="197" xfId="0" applyFont="1" applyFill="1" applyBorder="1" applyAlignment="1" applyProtection="1">
      <alignment horizontal="left"/>
      <protection hidden="1"/>
    </xf>
    <xf numFmtId="0" fontId="50" fillId="9" borderId="351" xfId="0" applyFont="1" applyFill="1" applyBorder="1" applyAlignment="1" applyProtection="1">
      <alignment horizontal="center" wrapText="1"/>
      <protection locked="0" hidden="1"/>
    </xf>
    <xf numFmtId="0" fontId="50" fillId="9" borderId="347" xfId="0" applyFont="1" applyFill="1" applyBorder="1" applyAlignment="1" applyProtection="1">
      <alignment horizontal="center" wrapText="1"/>
      <protection locked="0" hidden="1"/>
    </xf>
    <xf numFmtId="0" fontId="60" fillId="0" borderId="210" xfId="0" applyFont="1" applyFill="1" applyBorder="1" applyAlignment="1" applyProtection="1">
      <alignment horizontal="center" vertical="center" textRotation="90" wrapText="1"/>
      <protection hidden="1"/>
    </xf>
    <xf numFmtId="0" fontId="60" fillId="0" borderId="54" xfId="0" applyFont="1" applyFill="1" applyBorder="1" applyAlignment="1" applyProtection="1">
      <alignment horizontal="center" vertical="center" textRotation="90" wrapText="1"/>
      <protection hidden="1"/>
    </xf>
    <xf numFmtId="0" fontId="60" fillId="0" borderId="208" xfId="0" applyFont="1" applyFill="1" applyBorder="1" applyAlignment="1" applyProtection="1">
      <alignment horizontal="center" vertical="center" textRotation="90" wrapText="1"/>
      <protection hidden="1"/>
    </xf>
    <xf numFmtId="0" fontId="13" fillId="0" borderId="248" xfId="0" applyFont="1" applyFill="1" applyBorder="1" applyAlignment="1" applyProtection="1">
      <alignment horizontal="left" wrapText="1"/>
      <protection hidden="1"/>
    </xf>
    <xf numFmtId="0" fontId="13" fillId="0" borderId="345" xfId="0" applyFont="1" applyFill="1" applyBorder="1" applyAlignment="1" applyProtection="1">
      <alignment horizontal="left" wrapText="1"/>
      <protection hidden="1"/>
    </xf>
    <xf numFmtId="1" fontId="13" fillId="0" borderId="248" xfId="0" applyNumberFormat="1" applyFont="1" applyFill="1" applyBorder="1" applyAlignment="1" applyProtection="1">
      <protection hidden="1"/>
    </xf>
    <xf numFmtId="0" fontId="50" fillId="9" borderId="343" xfId="0" applyFont="1" applyFill="1" applyBorder="1" applyAlignment="1" applyProtection="1">
      <alignment horizontal="center" wrapText="1"/>
      <protection locked="0" hidden="1"/>
    </xf>
    <xf numFmtId="0" fontId="50" fillId="9" borderId="248" xfId="0" applyFont="1" applyFill="1" applyBorder="1" applyAlignment="1" applyProtection="1">
      <alignment horizontal="center" wrapText="1"/>
      <protection locked="0" hidden="1"/>
    </xf>
    <xf numFmtId="165" fontId="13" fillId="0" borderId="344" xfId="0" applyNumberFormat="1" applyFont="1" applyFill="1" applyBorder="1" applyAlignment="1" applyProtection="1">
      <alignment horizontal="right" wrapText="1"/>
      <protection hidden="1"/>
    </xf>
    <xf numFmtId="165" fontId="13" fillId="0" borderId="248" xfId="0" applyNumberFormat="1" applyFont="1" applyFill="1" applyBorder="1" applyAlignment="1" applyProtection="1">
      <alignment horizontal="right" wrapText="1"/>
      <protection hidden="1"/>
    </xf>
    <xf numFmtId="0" fontId="13" fillId="0" borderId="344" xfId="0" applyFont="1" applyFill="1" applyBorder="1" applyAlignment="1" applyProtection="1">
      <alignment horizontal="right" wrapText="1"/>
      <protection hidden="1"/>
    </xf>
    <xf numFmtId="0" fontId="13" fillId="0" borderId="248" xfId="0" applyFont="1" applyFill="1" applyBorder="1" applyAlignment="1" applyProtection="1">
      <alignment horizontal="right" wrapText="1"/>
      <protection hidden="1"/>
    </xf>
    <xf numFmtId="0" fontId="85" fillId="0" borderId="340" xfId="0" applyFont="1" applyFill="1" applyBorder="1" applyAlignment="1" applyProtection="1">
      <alignment horizontal="center" vertical="center" wrapText="1"/>
      <protection hidden="1"/>
    </xf>
    <xf numFmtId="0" fontId="85" fillId="0" borderId="341" xfId="0" applyFont="1" applyFill="1" applyBorder="1" applyAlignment="1" applyProtection="1">
      <alignment horizontal="center" vertical="center" wrapText="1"/>
      <protection hidden="1"/>
    </xf>
    <xf numFmtId="0" fontId="85" fillId="0" borderId="338" xfId="0" applyFont="1" applyFill="1" applyBorder="1" applyAlignment="1" applyProtection="1">
      <alignment horizontal="center" vertical="center" wrapText="1"/>
      <protection hidden="1"/>
    </xf>
    <xf numFmtId="0" fontId="85" fillId="0" borderId="339" xfId="0" applyFont="1" applyFill="1" applyBorder="1" applyAlignment="1" applyProtection="1">
      <alignment horizontal="center" vertical="center" wrapText="1"/>
      <protection hidden="1"/>
    </xf>
    <xf numFmtId="0" fontId="60" fillId="0" borderId="231" xfId="0" applyFont="1" applyFill="1" applyBorder="1" applyAlignment="1" applyProtection="1">
      <alignment horizontal="center" vertical="center" textRotation="90" wrapText="1"/>
      <protection hidden="1"/>
    </xf>
    <xf numFmtId="0" fontId="60" fillId="0" borderId="0" xfId="0" applyFont="1" applyFill="1" applyBorder="1" applyAlignment="1" applyProtection="1">
      <alignment horizontal="center" vertical="center" textRotation="90" wrapText="1"/>
      <protection hidden="1"/>
    </xf>
    <xf numFmtId="0" fontId="92" fillId="21" borderId="200" xfId="0" applyFont="1" applyFill="1" applyBorder="1" applyAlignment="1" applyProtection="1">
      <alignment vertical="center"/>
      <protection hidden="1"/>
    </xf>
    <xf numFmtId="0" fontId="92" fillId="13" borderId="200" xfId="0" applyFont="1" applyFill="1" applyBorder="1" applyAlignment="1" applyProtection="1">
      <alignment vertical="center"/>
      <protection hidden="1"/>
    </xf>
    <xf numFmtId="0" fontId="92" fillId="21" borderId="411" xfId="0" applyFont="1" applyFill="1" applyBorder="1" applyAlignment="1" applyProtection="1">
      <alignment vertical="center"/>
      <protection hidden="1"/>
    </xf>
    <xf numFmtId="0" fontId="29" fillId="2" borderId="271" xfId="0" applyFont="1" applyFill="1" applyBorder="1" applyAlignment="1" applyProtection="1">
      <alignment horizontal="left" vertical="center" wrapText="1"/>
      <protection hidden="1"/>
    </xf>
    <xf numFmtId="0" fontId="50" fillId="0" borderId="231" xfId="0" applyFont="1" applyFill="1" applyBorder="1" applyAlignment="1" applyProtection="1">
      <alignment horizontal="left" vertical="center"/>
      <protection hidden="1"/>
    </xf>
    <xf numFmtId="0" fontId="16" fillId="0" borderId="0" xfId="0" applyFont="1" applyFill="1" applyBorder="1" applyAlignment="1" applyProtection="1">
      <alignment horizontal="left" vertical="center"/>
      <protection hidden="1"/>
    </xf>
    <xf numFmtId="0" fontId="16" fillId="0" borderId="236" xfId="0" applyFont="1" applyFill="1" applyBorder="1" applyAlignment="1" applyProtection="1">
      <alignment horizontal="left" vertical="center"/>
      <protection hidden="1"/>
    </xf>
    <xf numFmtId="0" fontId="65" fillId="0" borderId="239" xfId="0" applyFont="1" applyFill="1" applyBorder="1" applyAlignment="1" applyProtection="1">
      <alignment horizontal="left" vertical="center"/>
      <protection locked="0" hidden="1"/>
    </xf>
    <xf numFmtId="0" fontId="65" fillId="0" borderId="0" xfId="0" applyFont="1" applyFill="1" applyBorder="1" applyAlignment="1" applyProtection="1">
      <alignment horizontal="left" vertical="center"/>
      <protection locked="0" hidden="1"/>
    </xf>
    <xf numFmtId="0" fontId="60" fillId="2" borderId="282" xfId="0" applyFont="1" applyFill="1" applyBorder="1" applyAlignment="1" applyProtection="1">
      <alignment horizontal="left" vertical="center"/>
      <protection hidden="1"/>
    </xf>
    <xf numFmtId="0" fontId="60" fillId="2" borderId="283" xfId="0" applyFont="1" applyFill="1" applyBorder="1" applyAlignment="1" applyProtection="1">
      <alignment horizontal="left" vertical="center"/>
      <protection hidden="1"/>
    </xf>
    <xf numFmtId="0" fontId="0" fillId="0" borderId="231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231" xfId="0" applyFill="1" applyBorder="1" applyAlignment="1" applyProtection="1">
      <alignment horizontal="center" vertical="center"/>
      <protection hidden="1"/>
    </xf>
    <xf numFmtId="0" fontId="0" fillId="0" borderId="286" xfId="0" applyFill="1" applyBorder="1" applyAlignment="1" applyProtection="1">
      <alignment horizontal="center" vertical="center"/>
      <protection hidden="1"/>
    </xf>
    <xf numFmtId="0" fontId="67" fillId="0" borderId="336" xfId="0" applyFont="1" applyFill="1" applyBorder="1" applyAlignment="1" applyProtection="1">
      <alignment horizontal="center"/>
      <protection hidden="1"/>
    </xf>
    <xf numFmtId="0" fontId="67" fillId="0" borderId="223" xfId="0" applyFont="1" applyFill="1" applyBorder="1" applyAlignment="1" applyProtection="1">
      <alignment horizontal="center"/>
      <protection hidden="1"/>
    </xf>
    <xf numFmtId="0" fontId="67" fillId="0" borderId="337" xfId="0" applyFont="1" applyFill="1" applyBorder="1" applyAlignment="1" applyProtection="1">
      <alignment horizontal="center"/>
      <protection hidden="1"/>
    </xf>
    <xf numFmtId="0" fontId="67" fillId="0" borderId="197" xfId="0" applyFont="1" applyFill="1" applyBorder="1" applyAlignment="1" applyProtection="1">
      <alignment horizontal="center"/>
      <protection hidden="1"/>
    </xf>
    <xf numFmtId="0" fontId="67" fillId="0" borderId="285" xfId="0" applyFont="1" applyFill="1" applyBorder="1" applyAlignment="1" applyProtection="1">
      <alignment horizontal="center"/>
      <protection hidden="1"/>
    </xf>
    <xf numFmtId="0" fontId="29" fillId="0" borderId="247" xfId="0" applyFont="1" applyFill="1" applyBorder="1" applyAlignment="1" applyProtection="1">
      <alignment horizontal="center" vertical="center"/>
    </xf>
    <xf numFmtId="0" fontId="29" fillId="0" borderId="292" xfId="0" applyFont="1" applyFill="1" applyBorder="1" applyAlignment="1" applyProtection="1">
      <alignment horizontal="center" vertical="center"/>
    </xf>
    <xf numFmtId="0" fontId="31" fillId="0" borderId="193" xfId="0" applyFont="1" applyFill="1" applyBorder="1" applyAlignment="1" applyProtection="1">
      <alignment horizontal="left" vertical="center" wrapText="1"/>
      <protection locked="0" hidden="1"/>
    </xf>
    <xf numFmtId="0" fontId="51" fillId="0" borderId="276" xfId="0" applyFont="1" applyFill="1" applyBorder="1" applyAlignment="1" applyProtection="1">
      <alignment horizontal="left" vertical="center" wrapText="1"/>
      <protection locked="0" hidden="1"/>
    </xf>
    <xf numFmtId="0" fontId="13" fillId="0" borderId="0" xfId="0" applyFont="1" applyFill="1" applyBorder="1" applyAlignment="1" applyProtection="1">
      <alignment horizontal="center" vertical="center" wrapText="1"/>
      <protection locked="0" hidden="1"/>
    </xf>
    <xf numFmtId="0" fontId="13" fillId="0" borderId="211" xfId="0" applyFont="1" applyFill="1" applyBorder="1" applyAlignment="1" applyProtection="1">
      <alignment horizontal="center" vertical="center" wrapText="1"/>
      <protection locked="0" hidden="1"/>
    </xf>
    <xf numFmtId="0" fontId="13" fillId="0" borderId="201" xfId="0" applyFont="1" applyFill="1" applyBorder="1" applyAlignment="1" applyProtection="1">
      <alignment horizontal="center" vertical="center" wrapText="1"/>
      <protection locked="0" hidden="1"/>
    </xf>
    <xf numFmtId="0" fontId="13" fillId="0" borderId="288" xfId="0" applyFont="1" applyFill="1" applyBorder="1" applyAlignment="1" applyProtection="1">
      <alignment horizontal="center" vertical="center" wrapText="1"/>
      <protection locked="0" hidden="1"/>
    </xf>
    <xf numFmtId="0" fontId="13" fillId="0" borderId="287" xfId="0" applyFont="1" applyFill="1" applyBorder="1" applyAlignment="1" applyProtection="1">
      <alignment horizontal="center" vertical="center" wrapText="1"/>
      <protection locked="0" hidden="1"/>
    </xf>
    <xf numFmtId="0" fontId="68" fillId="0" borderId="342" xfId="0" applyFont="1" applyFill="1" applyBorder="1" applyAlignment="1" applyProtection="1">
      <alignment horizontal="center" vertical="center" wrapText="1"/>
      <protection hidden="1"/>
    </xf>
    <xf numFmtId="0" fontId="68" fillId="0" borderId="371" xfId="0" applyFont="1" applyFill="1" applyBorder="1" applyAlignment="1" applyProtection="1">
      <alignment horizontal="center" vertical="center" wrapText="1"/>
      <protection hidden="1"/>
    </xf>
    <xf numFmtId="0" fontId="68" fillId="0" borderId="372" xfId="0" applyFont="1" applyFill="1" applyBorder="1" applyAlignment="1" applyProtection="1">
      <alignment horizontal="center" vertical="center" wrapText="1"/>
      <protection hidden="1"/>
    </xf>
    <xf numFmtId="0" fontId="13" fillId="0" borderId="350" xfId="0" applyFont="1" applyFill="1" applyBorder="1" applyAlignment="1" applyProtection="1">
      <alignment horizontal="right" wrapText="1"/>
      <protection hidden="1"/>
    </xf>
    <xf numFmtId="0" fontId="13" fillId="0" borderId="347" xfId="0" applyFont="1" applyFill="1" applyBorder="1" applyAlignment="1" applyProtection="1">
      <alignment horizontal="right" wrapText="1"/>
      <protection hidden="1"/>
    </xf>
    <xf numFmtId="1" fontId="83" fillId="0" borderId="247" xfId="0" applyNumberFormat="1" applyFont="1" applyFill="1" applyBorder="1" applyAlignment="1" applyProtection="1">
      <alignment horizontal="left" wrapText="1"/>
      <protection hidden="1"/>
    </xf>
    <xf numFmtId="1" fontId="83" fillId="0" borderId="394" xfId="0" applyNumberFormat="1" applyFont="1" applyFill="1" applyBorder="1" applyAlignment="1" applyProtection="1">
      <alignment horizontal="left" wrapText="1"/>
      <protection hidden="1"/>
    </xf>
    <xf numFmtId="0" fontId="27" fillId="0" borderId="18" xfId="0" applyFont="1" applyBorder="1" applyAlignment="1">
      <alignment horizontal="left"/>
    </xf>
    <xf numFmtId="0" fontId="27" fillId="0" borderId="19" xfId="0" applyFont="1" applyBorder="1" applyAlignment="1">
      <alignment horizontal="left"/>
    </xf>
    <xf numFmtId="0" fontId="27" fillId="0" borderId="20" xfId="0" applyFont="1" applyBorder="1" applyAlignment="1">
      <alignment horizontal="left"/>
    </xf>
    <xf numFmtId="0" fontId="0" fillId="10" borderId="22" xfId="0" applyFill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10" borderId="30" xfId="0" applyFill="1" applyBorder="1" applyAlignment="1">
      <alignment horizontal="center"/>
    </xf>
    <xf numFmtId="0" fontId="0" fillId="10" borderId="31" xfId="0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16" fillId="10" borderId="30" xfId="0" applyFont="1" applyFill="1" applyBorder="1" applyAlignment="1">
      <alignment horizontal="center"/>
    </xf>
    <xf numFmtId="0" fontId="16" fillId="10" borderId="31" xfId="0" applyFont="1" applyFill="1" applyBorder="1" applyAlignment="1">
      <alignment horizontal="center"/>
    </xf>
    <xf numFmtId="0" fontId="16" fillId="10" borderId="32" xfId="0" applyFont="1" applyFill="1" applyBorder="1" applyAlignment="1">
      <alignment horizontal="center"/>
    </xf>
    <xf numFmtId="0" fontId="16" fillId="10" borderId="22" xfId="0" applyFont="1" applyFill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26" xfId="0" applyBorder="1" applyAlignment="1">
      <alignment horizontal="left"/>
    </xf>
    <xf numFmtId="0" fontId="27" fillId="0" borderId="25" xfId="0" applyFont="1" applyBorder="1" applyAlignment="1">
      <alignment horizontal="left"/>
    </xf>
    <xf numFmtId="0" fontId="27" fillId="0" borderId="26" xfId="0" applyFont="1" applyBorder="1" applyAlignment="1">
      <alignment horizontal="left"/>
    </xf>
    <xf numFmtId="0" fontId="27" fillId="0" borderId="33" xfId="0" applyFont="1" applyBorder="1" applyAlignment="1">
      <alignment horizontal="left"/>
    </xf>
    <xf numFmtId="0" fontId="27" fillId="0" borderId="34" xfId="0" applyFont="1" applyBorder="1" applyAlignment="1">
      <alignment horizontal="left"/>
    </xf>
    <xf numFmtId="0" fontId="27" fillId="0" borderId="35" xfId="0" applyFont="1" applyBorder="1" applyAlignment="1">
      <alignment horizontal="left"/>
    </xf>
    <xf numFmtId="0" fontId="0" fillId="0" borderId="41" xfId="0" applyFill="1" applyBorder="1" applyAlignment="1">
      <alignment horizontal="center"/>
    </xf>
    <xf numFmtId="0" fontId="24" fillId="5" borderId="1" xfId="0" applyFont="1" applyFill="1" applyBorder="1" applyAlignment="1">
      <alignment horizontal="center" vertical="center"/>
    </xf>
    <xf numFmtId="0" fontId="4" fillId="5" borderId="0" xfId="0" applyFont="1" applyFill="1"/>
    <xf numFmtId="0" fontId="4" fillId="5" borderId="0" xfId="0" applyFont="1" applyFill="1" applyAlignment="1">
      <alignment horizontal="left"/>
    </xf>
    <xf numFmtId="0" fontId="0" fillId="0" borderId="0" xfId="0"/>
    <xf numFmtId="0" fontId="0" fillId="0" borderId="0" xfId="0" applyAlignment="1">
      <alignment horizontal="left"/>
    </xf>
  </cellXfs>
  <cellStyles count="2">
    <cellStyle name="NiveauLigne_1" xfId="1" builtinId="1" iLevel="0"/>
    <cellStyle name="Normal" xfId="0" builtinId="0"/>
  </cellStyles>
  <dxfs count="12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EAEAEA"/>
      <color rgb="FFFFFFB7"/>
      <color rgb="FFFFFFBD"/>
      <color rgb="FFFFFFC9"/>
      <color rgb="FF0000FF"/>
      <color rgb="FFFF33CC"/>
      <color rgb="FFFF00FF"/>
      <color rgb="FFFFB3FF"/>
      <color rgb="FFFF3BFF"/>
      <color rgb="FF0808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32</xdr:col>
      <xdr:colOff>114300</xdr:colOff>
      <xdr:row>4</xdr:row>
      <xdr:rowOff>45174</xdr:rowOff>
    </xdr:from>
    <xdr:ext cx="936000" cy="221525"/>
    <xdr:sp macro="" textlink="">
      <xdr:nvSpPr>
        <xdr:cNvPr id="2" name="ZoneTexte 1"/>
        <xdr:cNvSpPr txBox="1"/>
      </xdr:nvSpPr>
      <xdr:spPr>
        <a:xfrm>
          <a:off x="6296025" y="1035774"/>
          <a:ext cx="936000" cy="2215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</a:rPr>
            <a:t>Paraphe infirmier</a:t>
          </a:r>
        </a:p>
      </xdr:txBody>
    </xdr:sp>
    <xdr:clientData/>
  </xdr:oneCellAnchor>
  <xdr:oneCellAnchor>
    <xdr:from>
      <xdr:col>41</xdr:col>
      <xdr:colOff>66675</xdr:colOff>
      <xdr:row>4</xdr:row>
      <xdr:rowOff>35649</xdr:rowOff>
    </xdr:from>
    <xdr:ext cx="918000" cy="221525"/>
    <xdr:sp macro="" textlink="">
      <xdr:nvSpPr>
        <xdr:cNvPr id="3" name="ZoneTexte 2"/>
        <xdr:cNvSpPr txBox="1"/>
      </xdr:nvSpPr>
      <xdr:spPr>
        <a:xfrm>
          <a:off x="7534275" y="1026249"/>
          <a:ext cx="918000" cy="2215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</a:rPr>
            <a:t>Paraphe infirmier</a:t>
          </a:r>
        </a:p>
      </xdr:txBody>
    </xdr:sp>
    <xdr:clientData/>
  </xdr:oneCellAnchor>
  <xdr:oneCellAnchor>
    <xdr:from>
      <xdr:col>49</xdr:col>
      <xdr:colOff>34636</xdr:colOff>
      <xdr:row>4</xdr:row>
      <xdr:rowOff>35649</xdr:rowOff>
    </xdr:from>
    <xdr:ext cx="935393" cy="221525"/>
    <xdr:sp macro="" textlink="">
      <xdr:nvSpPr>
        <xdr:cNvPr id="4" name="ZoneTexte 3"/>
        <xdr:cNvSpPr txBox="1"/>
      </xdr:nvSpPr>
      <xdr:spPr>
        <a:xfrm>
          <a:off x="8645236" y="1026249"/>
          <a:ext cx="935393" cy="2215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</a:rPr>
            <a:t>Paraphe infirmier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171450</xdr:rowOff>
    </xdr:from>
    <xdr:to>
      <xdr:col>9</xdr:col>
      <xdr:colOff>85725</xdr:colOff>
      <xdr:row>52</xdr:row>
      <xdr:rowOff>28575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171450"/>
          <a:ext cx="6638925" cy="9763125"/>
        </a:xfrm>
        <a:prstGeom prst="rect">
          <a:avLst/>
        </a:prstGeom>
        <a:solidFill>
          <a:schemeClr val="bg2"/>
        </a:solidFill>
      </xdr:spPr>
    </xdr:pic>
    <xdr:clientData/>
  </xdr:twoCellAnchor>
  <xdr:twoCellAnchor editAs="oneCell">
    <xdr:from>
      <xdr:col>0</xdr:col>
      <xdr:colOff>314325</xdr:colOff>
      <xdr:row>52</xdr:row>
      <xdr:rowOff>9525</xdr:rowOff>
    </xdr:from>
    <xdr:to>
      <xdr:col>9</xdr:col>
      <xdr:colOff>76200</xdr:colOff>
      <xdr:row>99</xdr:row>
      <xdr:rowOff>114300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9915525"/>
          <a:ext cx="6619875" cy="9058275"/>
        </a:xfrm>
        <a:prstGeom prst="rect">
          <a:avLst/>
        </a:prstGeom>
        <a:solidFill>
          <a:schemeClr val="bg2"/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D20"/>
  <sheetViews>
    <sheetView workbookViewId="0">
      <selection activeCell="A2" sqref="A2:D15"/>
    </sheetView>
  </sheetViews>
  <sheetFormatPr baseColWidth="10" defaultRowHeight="15"/>
  <cols>
    <col min="1" max="1" width="35.42578125" customWidth="1"/>
    <col min="2" max="2" width="18" customWidth="1"/>
    <col min="4" max="4" width="35.28515625" customWidth="1"/>
  </cols>
  <sheetData>
    <row r="1" spans="1:4" ht="18.75">
      <c r="A1" s="31" t="s">
        <v>8</v>
      </c>
      <c r="B1" s="8" t="s">
        <v>12</v>
      </c>
      <c r="C1" s="8" t="s">
        <v>1</v>
      </c>
      <c r="D1" s="32" t="s">
        <v>9</v>
      </c>
    </row>
    <row r="2" spans="1:4" s="10" customFormat="1" ht="18.75">
      <c r="A2" s="33"/>
      <c r="B2" s="9"/>
      <c r="C2" s="9"/>
      <c r="D2" s="34"/>
    </row>
    <row r="3" spans="1:4">
      <c r="A3" s="16" t="s">
        <v>136</v>
      </c>
      <c r="B3" s="2" t="s">
        <v>523</v>
      </c>
      <c r="C3" s="2" t="s">
        <v>232</v>
      </c>
      <c r="D3" s="17"/>
    </row>
    <row r="4" spans="1:4">
      <c r="A4" s="16" t="s">
        <v>137</v>
      </c>
      <c r="B4" s="2" t="s">
        <v>524</v>
      </c>
      <c r="C4" s="2" t="s">
        <v>232</v>
      </c>
      <c r="D4" s="17"/>
    </row>
    <row r="5" spans="1:4">
      <c r="A5" s="16" t="s">
        <v>138</v>
      </c>
      <c r="B5" s="2"/>
      <c r="C5" s="2" t="s">
        <v>232</v>
      </c>
      <c r="D5" s="17"/>
    </row>
    <row r="6" spans="1:4">
      <c r="A6" s="16" t="s">
        <v>522</v>
      </c>
      <c r="B6" s="2"/>
      <c r="C6" s="2"/>
      <c r="D6" s="17"/>
    </row>
    <row r="7" spans="1:4">
      <c r="A7" s="16"/>
      <c r="B7" s="2"/>
      <c r="C7" s="2"/>
      <c r="D7" s="17"/>
    </row>
    <row r="8" spans="1:4">
      <c r="A8" s="16"/>
      <c r="B8" s="2"/>
      <c r="C8" s="2"/>
      <c r="D8" s="17"/>
    </row>
    <row r="9" spans="1:4">
      <c r="A9" s="16"/>
      <c r="B9" s="2"/>
      <c r="C9" s="2"/>
      <c r="D9" s="17"/>
    </row>
    <row r="10" spans="1:4">
      <c r="A10" s="16"/>
      <c r="B10" s="2"/>
      <c r="C10" s="2"/>
      <c r="D10" s="17"/>
    </row>
    <row r="11" spans="1:4">
      <c r="A11" s="16"/>
      <c r="B11" s="2"/>
      <c r="C11" s="2"/>
      <c r="D11" s="17"/>
    </row>
    <row r="12" spans="1:4">
      <c r="A12" s="16"/>
      <c r="B12" s="2"/>
      <c r="C12" s="2"/>
      <c r="D12" s="17"/>
    </row>
    <row r="13" spans="1:4">
      <c r="A13" s="16"/>
      <c r="B13" s="2"/>
      <c r="C13" s="2"/>
      <c r="D13" s="17"/>
    </row>
    <row r="14" spans="1:4">
      <c r="A14" s="16"/>
      <c r="B14" s="2"/>
      <c r="C14" s="2"/>
      <c r="D14" s="17"/>
    </row>
    <row r="15" spans="1:4" ht="15.75" thickBot="1">
      <c r="A15" s="20"/>
      <c r="B15" s="21"/>
      <c r="C15" s="21"/>
      <c r="D15" s="22"/>
    </row>
    <row r="16" spans="1:4" ht="15.75" thickTop="1">
      <c r="A16" s="13"/>
      <c r="B16" s="13"/>
      <c r="C16" s="13"/>
      <c r="D16" s="13"/>
    </row>
    <row r="17" spans="1:4">
      <c r="A17" s="2"/>
      <c r="B17" s="2"/>
      <c r="C17" s="2"/>
      <c r="D17" s="2"/>
    </row>
    <row r="18" spans="1:4">
      <c r="A18" s="2"/>
      <c r="B18" s="2"/>
      <c r="C18" s="2"/>
      <c r="D18" s="2"/>
    </row>
    <row r="19" spans="1:4">
      <c r="A19" s="2"/>
      <c r="B19" s="2"/>
      <c r="C19" s="2"/>
      <c r="D19" s="2"/>
    </row>
    <row r="20" spans="1:4">
      <c r="A20" s="2"/>
      <c r="B20" s="2"/>
      <c r="C20" s="2"/>
      <c r="D2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tabColor theme="1"/>
  </sheetPr>
  <dimension ref="A1"/>
  <sheetViews>
    <sheetView workbookViewId="0">
      <selection activeCell="H18" sqref="H18"/>
    </sheetView>
  </sheetViews>
  <sheetFormatPr baseColWidth="10" defaultRowHeight="15"/>
  <sheetData/>
  <sheetProtection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00B050"/>
    <outlinePr applyStyles="1"/>
  </sheetPr>
  <dimension ref="A1:BD30"/>
  <sheetViews>
    <sheetView topLeftCell="B1" zoomScale="110" zoomScaleNormal="110" workbookViewId="0">
      <selection activeCell="C15" sqref="C15:K15"/>
    </sheetView>
  </sheetViews>
  <sheetFormatPr baseColWidth="10" defaultColWidth="11.42578125" defaultRowHeight="15"/>
  <cols>
    <col min="1" max="1" width="5.7109375" style="106" hidden="1" customWidth="1"/>
    <col min="2" max="3" width="3" style="113" customWidth="1"/>
    <col min="4" max="16" width="3" style="107" customWidth="1"/>
    <col min="17" max="17" width="3.28515625" style="107" customWidth="1"/>
    <col min="18" max="31" width="3" style="107" customWidth="1"/>
    <col min="32" max="32" width="2.42578125" style="143" customWidth="1"/>
    <col min="33" max="33" width="2.140625" style="114" customWidth="1"/>
    <col min="34" max="34" width="2.140625" style="115" customWidth="1"/>
    <col min="35" max="35" width="2.140625" style="116" customWidth="1"/>
    <col min="36" max="36" width="2.140625" style="115" customWidth="1"/>
    <col min="37" max="37" width="2.140625" style="116" customWidth="1"/>
    <col min="38" max="38" width="2.140625" style="115" customWidth="1"/>
    <col min="39" max="39" width="2.140625" style="116" customWidth="1"/>
    <col min="40" max="40" width="2.140625" style="115" customWidth="1"/>
    <col min="41" max="41" width="2.140625" style="116" customWidth="1"/>
    <col min="42" max="42" width="2.140625" style="115" customWidth="1"/>
    <col min="43" max="43" width="2.140625" style="116" customWidth="1"/>
    <col min="44" max="44" width="2.140625" style="115" customWidth="1"/>
    <col min="45" max="45" width="2.140625" style="116" customWidth="1"/>
    <col min="46" max="46" width="2.140625" style="115" customWidth="1"/>
    <col min="47" max="47" width="2.140625" style="116" customWidth="1"/>
    <col min="48" max="48" width="2.140625" style="115" customWidth="1"/>
    <col min="49" max="49" width="2.140625" style="116" customWidth="1"/>
    <col min="50" max="50" width="2.140625" style="115" customWidth="1"/>
    <col min="51" max="51" width="2.140625" style="116" customWidth="1"/>
    <col min="52" max="52" width="2.140625" style="115" customWidth="1"/>
    <col min="53" max="53" width="2.140625" style="116" customWidth="1"/>
    <col min="54" max="54" width="2.140625" style="115" customWidth="1"/>
    <col min="55" max="55" width="2.140625" style="116" customWidth="1"/>
    <col min="56" max="56" width="2.140625" style="115" customWidth="1"/>
    <col min="57" max="16384" width="11.42578125" style="106"/>
  </cols>
  <sheetData>
    <row r="1" spans="2:56" ht="19.5" customHeight="1" thickBot="1">
      <c r="B1" s="757" t="e">
        <f>REA!#REF!</f>
        <v>#REF!</v>
      </c>
      <c r="C1" s="757"/>
      <c r="D1" s="757"/>
      <c r="E1" s="757"/>
      <c r="F1" s="757"/>
      <c r="G1" s="757"/>
      <c r="H1" s="757"/>
      <c r="I1" s="757"/>
      <c r="J1" s="757"/>
      <c r="K1" s="757"/>
      <c r="L1" s="758" t="e">
        <f>REA!#REF!</f>
        <v>#REF!</v>
      </c>
      <c r="M1" s="758"/>
      <c r="N1" s="155"/>
      <c r="O1" s="155"/>
      <c r="P1" s="155"/>
      <c r="Q1" s="759" t="e">
        <f>REA!#REF!</f>
        <v>#REF!</v>
      </c>
      <c r="R1" s="760"/>
      <c r="S1" s="760"/>
      <c r="T1" s="760"/>
      <c r="U1" s="760"/>
      <c r="V1" s="760"/>
      <c r="W1" s="761" t="e">
        <f>REA!#REF!</f>
        <v>#REF!</v>
      </c>
      <c r="X1" s="761"/>
      <c r="Y1" s="761"/>
      <c r="Z1" s="761"/>
      <c r="AA1" s="761"/>
      <c r="AB1" s="761"/>
      <c r="AC1" s="762"/>
      <c r="AD1" s="156"/>
      <c r="AE1" s="156"/>
      <c r="AF1" s="702" t="s">
        <v>399</v>
      </c>
      <c r="AG1" s="703"/>
      <c r="AH1" s="703"/>
      <c r="AI1" s="703"/>
      <c r="AJ1" s="703"/>
      <c r="AK1" s="703"/>
      <c r="AL1" s="703"/>
      <c r="AM1" s="703"/>
      <c r="AN1" s="703"/>
      <c r="AO1" s="703"/>
      <c r="AP1" s="703"/>
      <c r="AQ1" s="703"/>
      <c r="AR1" s="703"/>
      <c r="AS1" s="703"/>
      <c r="AT1" s="703"/>
      <c r="AU1" s="703"/>
      <c r="AV1" s="703"/>
      <c r="AW1" s="703"/>
      <c r="AX1" s="704"/>
      <c r="AY1" s="705"/>
      <c r="AZ1" s="705"/>
      <c r="BA1" s="705"/>
      <c r="BB1" s="705"/>
      <c r="BC1" s="705"/>
      <c r="BD1" s="706"/>
    </row>
    <row r="2" spans="2:56" ht="19.5" customHeight="1" thickBot="1">
      <c r="B2" s="202">
        <f>REA!B2</f>
        <v>0</v>
      </c>
      <c r="C2" s="157">
        <f>REA!C2</f>
        <v>0</v>
      </c>
      <c r="D2" s="157">
        <f>REA!D2</f>
        <v>0</v>
      </c>
      <c r="E2" s="157">
        <f>REA!E2</f>
        <v>0</v>
      </c>
      <c r="F2" s="157">
        <f>REA!F2</f>
        <v>0</v>
      </c>
      <c r="G2" s="157">
        <f>REA!G2</f>
        <v>0</v>
      </c>
      <c r="H2" s="157">
        <f>REA!H2</f>
        <v>0</v>
      </c>
      <c r="I2" s="157">
        <f>REA!I2</f>
        <v>0</v>
      </c>
      <c r="J2" s="157">
        <f>REA!J2</f>
        <v>0</v>
      </c>
      <c r="K2" s="157">
        <f>REA!K2</f>
        <v>0</v>
      </c>
      <c r="L2" s="157">
        <f>REA!L2</f>
        <v>0</v>
      </c>
      <c r="M2" s="157">
        <f>REA!M2</f>
        <v>0</v>
      </c>
      <c r="N2" s="157">
        <f>REA!N2</f>
        <v>0</v>
      </c>
      <c r="O2" s="157">
        <f>REA!O2</f>
        <v>0</v>
      </c>
      <c r="P2" s="157">
        <f>REA!P2</f>
        <v>0</v>
      </c>
      <c r="Q2" s="707">
        <f>REA!Q2</f>
        <v>0</v>
      </c>
      <c r="R2" s="708"/>
      <c r="S2" s="708"/>
      <c r="T2" s="709"/>
      <c r="U2" s="709"/>
      <c r="V2" s="708"/>
      <c r="W2" s="710">
        <f>REA!W2</f>
        <v>0</v>
      </c>
      <c r="X2" s="711"/>
      <c r="Y2" s="712"/>
      <c r="Z2" s="712"/>
      <c r="AA2" s="712"/>
      <c r="AB2" s="712"/>
      <c r="AC2" s="713"/>
      <c r="AD2" s="158"/>
      <c r="AE2" s="158"/>
      <c r="AF2" s="159"/>
      <c r="AG2" s="157"/>
      <c r="AH2" s="714" t="s">
        <v>389</v>
      </c>
      <c r="AI2" s="715"/>
      <c r="AJ2" s="715"/>
      <c r="AK2" s="715"/>
      <c r="AL2" s="715"/>
      <c r="AM2" s="715"/>
      <c r="AN2" s="715"/>
      <c r="AO2" s="715"/>
      <c r="AP2" s="715"/>
      <c r="AQ2" s="715"/>
      <c r="AR2" s="715"/>
      <c r="AS2" s="715"/>
      <c r="AT2" s="715"/>
      <c r="AU2" s="715"/>
      <c r="AV2" s="715"/>
      <c r="AW2" s="715"/>
      <c r="AX2" s="715"/>
      <c r="AY2" s="715"/>
      <c r="AZ2" s="715"/>
      <c r="BA2" s="715"/>
      <c r="BB2" s="715"/>
      <c r="BC2" s="715"/>
      <c r="BD2" s="716"/>
    </row>
    <row r="3" spans="2:56" ht="20.100000000000001" customHeight="1" thickBot="1">
      <c r="B3" s="720" t="str">
        <f>REA!B3</f>
        <v>Nom</v>
      </c>
      <c r="C3" s="721"/>
      <c r="D3" s="722">
        <f>REA!D3</f>
        <v>0</v>
      </c>
      <c r="E3" s="723"/>
      <c r="F3" s="723"/>
      <c r="G3" s="723"/>
      <c r="H3" s="723"/>
      <c r="I3" s="723"/>
      <c r="J3" s="723"/>
      <c r="K3" s="723"/>
      <c r="L3" s="723"/>
      <c r="M3" s="723"/>
      <c r="N3" s="723"/>
      <c r="O3" s="723"/>
      <c r="P3" s="723"/>
      <c r="Q3" s="726" t="str">
        <f>REA!Q3</f>
        <v xml:space="preserve">A.G.: </v>
      </c>
      <c r="R3" s="726"/>
      <c r="S3" s="727"/>
      <c r="T3" s="728">
        <f>REA!T3</f>
        <v>0</v>
      </c>
      <c r="U3" s="729"/>
      <c r="V3" s="708" t="str">
        <f>REA!V3</f>
        <v>sem</v>
      </c>
      <c r="W3" s="708"/>
      <c r="X3" s="291">
        <f>REA!X3</f>
        <v>0</v>
      </c>
      <c r="Y3" s="160" t="str">
        <f>REA!Y3</f>
        <v>jrs</v>
      </c>
      <c r="Z3" s="730"/>
      <c r="AA3" s="731"/>
      <c r="AB3" s="731"/>
      <c r="AC3" s="732"/>
      <c r="AD3" s="158"/>
      <c r="AE3" s="158"/>
      <c r="AF3" s="161"/>
      <c r="AG3" s="162"/>
      <c r="AH3" s="717"/>
      <c r="AI3" s="718"/>
      <c r="AJ3" s="718"/>
      <c r="AK3" s="718"/>
      <c r="AL3" s="718"/>
      <c r="AM3" s="718"/>
      <c r="AN3" s="718"/>
      <c r="AO3" s="718"/>
      <c r="AP3" s="718"/>
      <c r="AQ3" s="718"/>
      <c r="AR3" s="718"/>
      <c r="AS3" s="718"/>
      <c r="AT3" s="718"/>
      <c r="AU3" s="718"/>
      <c r="AV3" s="718"/>
      <c r="AW3" s="718"/>
      <c r="AX3" s="718"/>
      <c r="AY3" s="718"/>
      <c r="AZ3" s="718"/>
      <c r="BA3" s="718"/>
      <c r="BB3" s="718"/>
      <c r="BC3" s="718"/>
      <c r="BD3" s="719"/>
    </row>
    <row r="4" spans="2:56" s="108" customFormat="1" ht="20.100000000000001" customHeight="1">
      <c r="B4" s="720"/>
      <c r="C4" s="721"/>
      <c r="D4" s="724"/>
      <c r="E4" s="725"/>
      <c r="F4" s="725"/>
      <c r="G4" s="725"/>
      <c r="H4" s="725"/>
      <c r="I4" s="725"/>
      <c r="J4" s="725"/>
      <c r="K4" s="725"/>
      <c r="L4" s="725"/>
      <c r="M4" s="725"/>
      <c r="N4" s="725"/>
      <c r="O4" s="725"/>
      <c r="P4" s="725"/>
      <c r="Q4" s="738" t="str">
        <f>REA!Q4</f>
        <v>P.N.:</v>
      </c>
      <c r="R4" s="738"/>
      <c r="S4" s="738"/>
      <c r="T4" s="739" t="e">
        <f>REA!#REF!</f>
        <v>#REF!</v>
      </c>
      <c r="U4" s="740"/>
      <c r="V4" s="741">
        <f>REA!T4</f>
        <v>0</v>
      </c>
      <c r="W4" s="741"/>
      <c r="X4" s="163">
        <f>REA!X4</f>
        <v>0</v>
      </c>
      <c r="Y4" s="164">
        <f>REA!Y4</f>
        <v>0</v>
      </c>
      <c r="Z4" s="733"/>
      <c r="AA4" s="734"/>
      <c r="AB4" s="734"/>
      <c r="AC4" s="735"/>
      <c r="AD4" s="158"/>
      <c r="AE4" s="158"/>
      <c r="AF4" s="166"/>
      <c r="AG4" s="167"/>
      <c r="AH4" s="168"/>
      <c r="AI4" s="169"/>
      <c r="AJ4" s="168"/>
      <c r="AK4" s="169"/>
      <c r="AL4" s="168"/>
      <c r="AM4" s="169"/>
      <c r="AN4" s="168"/>
      <c r="AO4" s="170"/>
      <c r="AP4" s="168"/>
      <c r="AQ4" s="169"/>
      <c r="AR4" s="168"/>
      <c r="AS4" s="169"/>
      <c r="AT4" s="168"/>
      <c r="AU4" s="169"/>
      <c r="AV4" s="168"/>
      <c r="AW4" s="170"/>
      <c r="AX4" s="168"/>
      <c r="AY4" s="169"/>
      <c r="AZ4" s="168"/>
      <c r="BA4" s="169"/>
      <c r="BB4" s="171"/>
      <c r="BC4" s="169"/>
      <c r="BD4" s="172"/>
    </row>
    <row r="5" spans="2:56" s="108" customFormat="1" ht="20.100000000000001" customHeight="1" thickBot="1">
      <c r="B5" s="742" t="str">
        <f>REA!B5</f>
        <v>D.N.</v>
      </c>
      <c r="C5" s="743"/>
      <c r="D5" s="744">
        <f>REA!D5</f>
        <v>0</v>
      </c>
      <c r="E5" s="745"/>
      <c r="F5" s="745"/>
      <c r="G5" s="745"/>
      <c r="H5" s="745"/>
      <c r="I5" s="173" t="str">
        <f>REA!I5</f>
        <v>à</v>
      </c>
      <c r="J5" s="746">
        <f>REA!J5</f>
        <v>0</v>
      </c>
      <c r="K5" s="746"/>
      <c r="L5" s="174" t="str">
        <f>REA!L5</f>
        <v>h</v>
      </c>
      <c r="M5" s="746">
        <f>REA!M5</f>
        <v>0</v>
      </c>
      <c r="N5" s="746"/>
      <c r="O5" s="747" t="str">
        <f>REA!O5</f>
        <v>min</v>
      </c>
      <c r="P5" s="747"/>
      <c r="Q5" s="748" t="str">
        <f>REA!Q5</f>
        <v>A.P.C.:</v>
      </c>
      <c r="R5" s="748"/>
      <c r="S5" s="748"/>
      <c r="T5" s="749" t="str">
        <f>REA!T5</f>
        <v/>
      </c>
      <c r="U5" s="750"/>
      <c r="V5" s="175" t="str">
        <f>REA!V5</f>
        <v>sem</v>
      </c>
      <c r="W5" s="736">
        <f>REA!W5</f>
        <v>0</v>
      </c>
      <c r="X5" s="736"/>
      <c r="Y5" s="737"/>
      <c r="Z5" s="733"/>
      <c r="AA5" s="734"/>
      <c r="AB5" s="734"/>
      <c r="AC5" s="735"/>
      <c r="AD5" s="158"/>
      <c r="AE5" s="158"/>
      <c r="AF5" s="161"/>
      <c r="AG5" s="162"/>
      <c r="AH5" s="176"/>
      <c r="AI5" s="176"/>
      <c r="AJ5" s="176"/>
      <c r="AK5" s="176"/>
      <c r="AL5" s="176"/>
      <c r="AM5" s="176"/>
      <c r="AN5" s="176"/>
      <c r="AO5" s="176"/>
      <c r="AP5" s="177"/>
      <c r="AQ5" s="176"/>
      <c r="AR5" s="176"/>
      <c r="AS5" s="176"/>
      <c r="AT5" s="176"/>
      <c r="AU5" s="176"/>
      <c r="AV5" s="178"/>
      <c r="AW5" s="179"/>
      <c r="AX5" s="177"/>
      <c r="AY5" s="176"/>
      <c r="AZ5" s="176"/>
      <c r="BA5" s="176"/>
      <c r="BB5" s="176"/>
      <c r="BC5" s="176"/>
      <c r="BD5" s="180"/>
    </row>
    <row r="6" spans="2:56" s="108" customFormat="1" ht="17.100000000000001" customHeight="1" thickBot="1">
      <c r="B6" s="777" t="s">
        <v>189</v>
      </c>
      <c r="C6" s="778"/>
      <c r="D6" s="778"/>
      <c r="E6" s="778"/>
      <c r="F6" s="778"/>
      <c r="G6" s="778"/>
      <c r="H6" s="778"/>
      <c r="I6" s="778"/>
      <c r="J6" s="783" t="s">
        <v>2</v>
      </c>
      <c r="K6" s="783"/>
      <c r="L6" s="783"/>
      <c r="M6" s="783"/>
      <c r="N6" s="783"/>
      <c r="O6" s="783"/>
      <c r="P6" s="783"/>
      <c r="Q6" s="783"/>
      <c r="R6" s="783"/>
      <c r="S6" s="783"/>
      <c r="T6" s="783"/>
      <c r="U6" s="783" t="s">
        <v>9</v>
      </c>
      <c r="V6" s="783"/>
      <c r="W6" s="783"/>
      <c r="X6" s="783"/>
      <c r="Y6" s="783"/>
      <c r="Z6" s="783"/>
      <c r="AA6" s="783"/>
      <c r="AB6" s="783"/>
      <c r="AC6" s="783"/>
      <c r="AD6" s="783"/>
      <c r="AE6" s="784"/>
      <c r="AF6" s="277" t="s">
        <v>188</v>
      </c>
      <c r="AG6" s="206">
        <v>14</v>
      </c>
      <c r="AH6" s="203"/>
      <c r="AI6" s="204">
        <v>16</v>
      </c>
      <c r="AJ6" s="203"/>
      <c r="AK6" s="204">
        <v>18</v>
      </c>
      <c r="AL6" s="203"/>
      <c r="AM6" s="204">
        <v>20</v>
      </c>
      <c r="AN6" s="203"/>
      <c r="AO6" s="205">
        <v>22</v>
      </c>
      <c r="AP6" s="206"/>
      <c r="AQ6" s="204">
        <v>0</v>
      </c>
      <c r="AR6" s="203"/>
      <c r="AS6" s="204">
        <v>2</v>
      </c>
      <c r="AT6" s="203"/>
      <c r="AU6" s="204">
        <v>4</v>
      </c>
      <c r="AV6" s="207"/>
      <c r="AW6" s="208">
        <v>6</v>
      </c>
      <c r="AX6" s="209"/>
      <c r="AY6" s="204">
        <v>8</v>
      </c>
      <c r="AZ6" s="203"/>
      <c r="BA6" s="204">
        <v>10</v>
      </c>
      <c r="BB6" s="203"/>
      <c r="BC6" s="204">
        <v>12</v>
      </c>
      <c r="BD6" s="210"/>
    </row>
    <row r="7" spans="2:56" ht="17.100000000000001" customHeight="1">
      <c r="B7" s="779"/>
      <c r="C7" s="780"/>
      <c r="D7" s="780"/>
      <c r="E7" s="780"/>
      <c r="F7" s="780"/>
      <c r="G7" s="780"/>
      <c r="H7" s="780"/>
      <c r="I7" s="780"/>
      <c r="J7" s="785">
        <f>REA!$J$7</f>
        <v>0</v>
      </c>
      <c r="K7" s="786"/>
      <c r="L7" s="786"/>
      <c r="M7" s="786"/>
      <c r="N7" s="786"/>
      <c r="O7" s="786"/>
      <c r="P7" s="786"/>
      <c r="Q7" s="786"/>
      <c r="R7" s="786"/>
      <c r="S7" s="786"/>
      <c r="T7" s="786"/>
      <c r="U7" s="787">
        <f>REA!U7</f>
        <v>0</v>
      </c>
      <c r="V7" s="787"/>
      <c r="W7" s="787"/>
      <c r="X7" s="787"/>
      <c r="Y7" s="787"/>
      <c r="Z7" s="787"/>
      <c r="AA7" s="787"/>
      <c r="AB7" s="787"/>
      <c r="AC7" s="787"/>
      <c r="AD7" s="787"/>
      <c r="AE7" s="788"/>
      <c r="AF7" s="278"/>
      <c r="AG7" s="267"/>
      <c r="AH7" s="268"/>
      <c r="AI7" s="269"/>
      <c r="AJ7" s="268"/>
      <c r="AK7" s="269"/>
      <c r="AL7" s="268"/>
      <c r="AM7" s="270"/>
      <c r="AN7" s="271"/>
      <c r="AO7" s="272"/>
      <c r="AP7" s="273"/>
      <c r="AQ7" s="270"/>
      <c r="AR7" s="271"/>
      <c r="AS7" s="270"/>
      <c r="AT7" s="271"/>
      <c r="AU7" s="270"/>
      <c r="AV7" s="271"/>
      <c r="AW7" s="272"/>
      <c r="AX7" s="273"/>
      <c r="AY7" s="270"/>
      <c r="AZ7" s="271"/>
      <c r="BA7" s="269"/>
      <c r="BB7" s="268"/>
      <c r="BC7" s="269"/>
      <c r="BD7" s="274"/>
    </row>
    <row r="8" spans="2:56" ht="17.100000000000001" customHeight="1">
      <c r="B8" s="781"/>
      <c r="C8" s="782"/>
      <c r="D8" s="782"/>
      <c r="E8" s="782"/>
      <c r="F8" s="782"/>
      <c r="G8" s="782"/>
      <c r="H8" s="782"/>
      <c r="I8" s="782"/>
      <c r="J8" s="789">
        <f>REA!$J$8</f>
        <v>0</v>
      </c>
      <c r="K8" s="790"/>
      <c r="L8" s="790"/>
      <c r="M8" s="790"/>
      <c r="N8" s="790"/>
      <c r="O8" s="790"/>
      <c r="P8" s="790"/>
      <c r="Q8" s="790"/>
      <c r="R8" s="790"/>
      <c r="S8" s="790"/>
      <c r="T8" s="790"/>
      <c r="U8" s="791">
        <f>REA!U8</f>
        <v>0</v>
      </c>
      <c r="V8" s="791"/>
      <c r="W8" s="791"/>
      <c r="X8" s="791"/>
      <c r="Y8" s="791"/>
      <c r="Z8" s="791"/>
      <c r="AA8" s="791"/>
      <c r="AB8" s="791"/>
      <c r="AC8" s="791"/>
      <c r="AD8" s="791"/>
      <c r="AE8" s="792"/>
      <c r="AF8" s="279"/>
      <c r="AG8" s="275"/>
      <c r="AH8" s="254"/>
      <c r="AI8" s="255"/>
      <c r="AJ8" s="254"/>
      <c r="AK8" s="255"/>
      <c r="AL8" s="254"/>
      <c r="AM8" s="255"/>
      <c r="AN8" s="254"/>
      <c r="AO8" s="256"/>
      <c r="AP8" s="257"/>
      <c r="AQ8" s="255"/>
      <c r="AR8" s="254"/>
      <c r="AS8" s="255"/>
      <c r="AT8" s="254"/>
      <c r="AU8" s="255"/>
      <c r="AV8" s="254"/>
      <c r="AW8" s="256"/>
      <c r="AX8" s="257"/>
      <c r="AY8" s="255"/>
      <c r="AZ8" s="254"/>
      <c r="BA8" s="255"/>
      <c r="BB8" s="254"/>
      <c r="BC8" s="255"/>
      <c r="BD8" s="258"/>
    </row>
    <row r="9" spans="2:56" ht="17.100000000000001" customHeight="1" thickBot="1">
      <c r="B9" s="763" t="s">
        <v>190</v>
      </c>
      <c r="C9" s="764"/>
      <c r="D9" s="764"/>
      <c r="E9" s="764"/>
      <c r="F9" s="764"/>
      <c r="G9" s="764"/>
      <c r="H9" s="764"/>
      <c r="I9" s="765"/>
      <c r="J9" s="766" t="str">
        <f>REA!$J$9</f>
        <v>-</v>
      </c>
      <c r="K9" s="767"/>
      <c r="L9" s="767"/>
      <c r="M9" s="767"/>
      <c r="N9" s="767"/>
      <c r="O9" s="767"/>
      <c r="P9" s="767"/>
      <c r="Q9" s="767"/>
      <c r="R9" s="767"/>
      <c r="S9" s="768"/>
      <c r="T9" s="769"/>
      <c r="U9" s="686" t="str">
        <f>IF(S9="","","mg")</f>
        <v/>
      </c>
      <c r="V9" s="686"/>
      <c r="W9" s="770"/>
      <c r="X9" s="771"/>
      <c r="Y9" s="771"/>
      <c r="Z9" s="771"/>
      <c r="AA9" s="771"/>
      <c r="AB9" s="771"/>
      <c r="AC9" s="771"/>
      <c r="AD9" s="771"/>
      <c r="AE9" s="771"/>
      <c r="AF9" s="280"/>
      <c r="AG9" s="276"/>
      <c r="AH9" s="262"/>
      <c r="AI9" s="263"/>
      <c r="AJ9" s="262"/>
      <c r="AK9" s="263"/>
      <c r="AL9" s="262"/>
      <c r="AM9" s="263"/>
      <c r="AN9" s="262"/>
      <c r="AO9" s="264"/>
      <c r="AP9" s="265"/>
      <c r="AQ9" s="263"/>
      <c r="AR9" s="262"/>
      <c r="AS9" s="263"/>
      <c r="AT9" s="262"/>
      <c r="AU9" s="263"/>
      <c r="AV9" s="262"/>
      <c r="AW9" s="264"/>
      <c r="AX9" s="265"/>
      <c r="AY9" s="263"/>
      <c r="AZ9" s="262"/>
      <c r="BA9" s="263"/>
      <c r="BB9" s="262"/>
      <c r="BC9" s="263"/>
      <c r="BD9" s="266"/>
    </row>
    <row r="10" spans="2:56" ht="18.75" customHeight="1" thickBot="1">
      <c r="B10" s="772" t="s">
        <v>386</v>
      </c>
      <c r="C10" s="773"/>
      <c r="D10" s="773"/>
      <c r="E10" s="773"/>
      <c r="F10" s="773"/>
      <c r="G10" s="773"/>
      <c r="H10" s="773"/>
      <c r="I10" s="773"/>
      <c r="J10" s="773"/>
      <c r="K10" s="773"/>
      <c r="L10" s="773"/>
      <c r="M10" s="773"/>
      <c r="N10" s="773"/>
      <c r="O10" s="773"/>
      <c r="P10" s="773"/>
      <c r="Q10" s="773"/>
      <c r="R10" s="773"/>
      <c r="S10" s="773"/>
      <c r="T10" s="774" t="s">
        <v>2</v>
      </c>
      <c r="U10" s="774"/>
      <c r="V10" s="774"/>
      <c r="W10" s="774"/>
      <c r="X10" s="774"/>
      <c r="Y10" s="774"/>
      <c r="Z10" s="774" t="s">
        <v>387</v>
      </c>
      <c r="AA10" s="774"/>
      <c r="AB10" s="775"/>
      <c r="AC10" s="775"/>
      <c r="AD10" s="775"/>
      <c r="AE10" s="776"/>
      <c r="AF10" s="181"/>
      <c r="AG10" s="182"/>
      <c r="AH10" s="183"/>
      <c r="AI10" s="184"/>
      <c r="AJ10" s="183"/>
      <c r="AK10" s="184"/>
      <c r="AL10" s="183"/>
      <c r="AM10" s="184"/>
      <c r="AN10" s="183"/>
      <c r="AO10" s="185"/>
      <c r="AP10" s="183"/>
      <c r="AQ10" s="184"/>
      <c r="AR10" s="183"/>
      <c r="AS10" s="184"/>
      <c r="AT10" s="183"/>
      <c r="AU10" s="184"/>
      <c r="AV10" s="183"/>
      <c r="AW10" s="185"/>
      <c r="AX10" s="183"/>
      <c r="AY10" s="184"/>
      <c r="AZ10" s="183"/>
      <c r="BA10" s="184"/>
      <c r="BB10" s="183"/>
      <c r="BC10" s="184"/>
      <c r="BD10" s="186"/>
    </row>
    <row r="11" spans="2:56" ht="17.100000000000001" customHeight="1">
      <c r="B11" s="687"/>
      <c r="C11" s="688"/>
      <c r="D11" s="688"/>
      <c r="E11" s="688"/>
      <c r="F11" s="691" t="e">
        <f>REA!#REF!</f>
        <v>#REF!</v>
      </c>
      <c r="G11" s="691"/>
      <c r="H11" s="691"/>
      <c r="I11" s="691"/>
      <c r="J11" s="691"/>
      <c r="K11" s="691"/>
      <c r="L11" s="693" t="s">
        <v>304</v>
      </c>
      <c r="M11" s="693"/>
      <c r="N11" s="691" t="e">
        <f>REA!#REF!</f>
        <v>#REF!</v>
      </c>
      <c r="O11" s="691"/>
      <c r="P11" s="691"/>
      <c r="Q11" s="691"/>
      <c r="R11" s="691"/>
      <c r="S11" s="691"/>
      <c r="T11" s="695" t="e">
        <f>REA!#REF!</f>
        <v>#REF!</v>
      </c>
      <c r="U11" s="696"/>
      <c r="V11" s="696"/>
      <c r="W11" s="696"/>
      <c r="X11" s="696"/>
      <c r="Y11" s="696"/>
      <c r="Z11" s="699" t="e">
        <f>REA!#REF!</f>
        <v>#REF!</v>
      </c>
      <c r="AA11" s="700"/>
      <c r="AB11" s="701" t="e">
        <f>REA!#REF!</f>
        <v>#REF!</v>
      </c>
      <c r="AC11" s="701"/>
      <c r="AD11" s="682" t="e">
        <f>IF(Z11="","","mL")</f>
        <v>#REF!</v>
      </c>
      <c r="AE11" s="682"/>
      <c r="AF11" s="281"/>
      <c r="AG11" s="248"/>
      <c r="AH11" s="249"/>
      <c r="AI11" s="250"/>
      <c r="AJ11" s="249"/>
      <c r="AK11" s="250"/>
      <c r="AL11" s="249"/>
      <c r="AM11" s="250"/>
      <c r="AN11" s="249"/>
      <c r="AO11" s="251"/>
      <c r="AP11" s="252"/>
      <c r="AQ11" s="250"/>
      <c r="AR11" s="249"/>
      <c r="AS11" s="250"/>
      <c r="AT11" s="249"/>
      <c r="AU11" s="250"/>
      <c r="AV11" s="249"/>
      <c r="AW11" s="251"/>
      <c r="AX11" s="252"/>
      <c r="AY11" s="250"/>
      <c r="AZ11" s="249"/>
      <c r="BA11" s="250"/>
      <c r="BB11" s="249"/>
      <c r="BC11" s="250"/>
      <c r="BD11" s="253"/>
    </row>
    <row r="12" spans="2:56" ht="16.5" customHeight="1" thickBot="1">
      <c r="B12" s="689"/>
      <c r="C12" s="690"/>
      <c r="D12" s="690"/>
      <c r="E12" s="690"/>
      <c r="F12" s="692"/>
      <c r="G12" s="692"/>
      <c r="H12" s="692"/>
      <c r="I12" s="692"/>
      <c r="J12" s="692"/>
      <c r="K12" s="692"/>
      <c r="L12" s="694"/>
      <c r="M12" s="694"/>
      <c r="N12" s="692"/>
      <c r="O12" s="692"/>
      <c r="P12" s="692"/>
      <c r="Q12" s="692"/>
      <c r="R12" s="692"/>
      <c r="S12" s="692"/>
      <c r="T12" s="697"/>
      <c r="U12" s="698"/>
      <c r="V12" s="698"/>
      <c r="W12" s="698"/>
      <c r="X12" s="698"/>
      <c r="Y12" s="698"/>
      <c r="Z12" s="683" t="e">
        <f>REA!#REF!</f>
        <v>#REF!</v>
      </c>
      <c r="AA12" s="684"/>
      <c r="AB12" s="685" t="e">
        <f>REA!#REF!</f>
        <v>#REF!</v>
      </c>
      <c r="AC12" s="685"/>
      <c r="AD12" s="686" t="e">
        <f>IF(Z12="","","mL")</f>
        <v>#REF!</v>
      </c>
      <c r="AE12" s="686"/>
      <c r="AF12" s="282"/>
      <c r="AG12" s="261"/>
      <c r="AH12" s="262"/>
      <c r="AI12" s="263"/>
      <c r="AJ12" s="262"/>
      <c r="AK12" s="263"/>
      <c r="AL12" s="262"/>
      <c r="AM12" s="263"/>
      <c r="AN12" s="262"/>
      <c r="AO12" s="264"/>
      <c r="AP12" s="265"/>
      <c r="AQ12" s="263"/>
      <c r="AR12" s="262"/>
      <c r="AS12" s="263"/>
      <c r="AT12" s="262"/>
      <c r="AU12" s="263"/>
      <c r="AV12" s="262"/>
      <c r="AW12" s="264"/>
      <c r="AX12" s="265"/>
      <c r="AY12" s="263"/>
      <c r="AZ12" s="262"/>
      <c r="BA12" s="263"/>
      <c r="BB12" s="262"/>
      <c r="BC12" s="263"/>
      <c r="BD12" s="266"/>
    </row>
    <row r="13" spans="2:56" ht="20.25" customHeight="1" thickBot="1">
      <c r="B13" s="754"/>
      <c r="C13" s="754"/>
      <c r="D13" s="754"/>
      <c r="E13" s="754"/>
      <c r="F13" s="751" t="s">
        <v>409</v>
      </c>
      <c r="G13" s="751"/>
      <c r="H13" s="751"/>
      <c r="I13" s="751"/>
      <c r="J13" s="751"/>
      <c r="K13" s="751"/>
      <c r="L13" s="752" t="e">
        <f>(SUM(IF(Z11="1x",1*AB11,IF(Z11="2x",2*AB11,IF(Z11="3x",3*AB11,IF(Z11="4x",4*AB11,IF(Z11="6x",6*AB11,IF(Z11="8x",8*AB11,IF(Z11="10x",10*AB11,IF(Z11="12x",12*AB11,IF(Z11="24x",24*AB11))))))))),IF(Z12="1x",1*AB12,IF(Z12="2x",2*AB12,IF(Z12="3x",R309,IF(Z12="4x",4*AB12,IF(Z12="6x",6*AB12,IF(Z12="8x",8*AB12,IF(Z12="10x",10*AB12,IF(Z12="12x",12*AB12,IF(Z12="24x",24*AB12))))))))))/T5*1000)</f>
        <v>#REF!</v>
      </c>
      <c r="M13" s="752"/>
      <c r="N13" s="753" t="s">
        <v>408</v>
      </c>
      <c r="O13" s="753"/>
      <c r="P13" s="753"/>
      <c r="Q13" s="753"/>
      <c r="R13" s="755"/>
      <c r="S13" s="755"/>
      <c r="T13" s="755"/>
      <c r="U13" s="755"/>
      <c r="V13" s="755"/>
      <c r="W13" s="755"/>
      <c r="X13" s="755"/>
      <c r="Y13" s="755"/>
      <c r="Z13" s="755"/>
      <c r="AA13" s="755"/>
      <c r="AB13" s="755"/>
      <c r="AC13" s="755"/>
      <c r="AD13" s="755"/>
      <c r="AE13" s="756"/>
      <c r="AF13" s="292"/>
      <c r="AG13" s="165"/>
      <c r="AH13" s="259"/>
      <c r="AI13" s="290"/>
      <c r="AJ13" s="259"/>
      <c r="AK13" s="290"/>
      <c r="AL13" s="259"/>
      <c r="AM13" s="290"/>
      <c r="AN13" s="259"/>
      <c r="AO13" s="290"/>
      <c r="AP13" s="259"/>
      <c r="AQ13" s="290"/>
      <c r="AR13" s="259"/>
      <c r="AS13" s="290"/>
      <c r="AT13" s="259"/>
      <c r="AU13" s="290"/>
      <c r="AV13" s="259"/>
      <c r="AW13" s="290"/>
      <c r="AX13" s="259"/>
      <c r="AY13" s="290"/>
      <c r="AZ13" s="259"/>
      <c r="BA13" s="290"/>
      <c r="BB13" s="259"/>
      <c r="BC13" s="290"/>
      <c r="BD13" s="260"/>
    </row>
    <row r="14" spans="2:56" ht="21.75" customHeight="1" thickBot="1">
      <c r="B14" s="602" t="s">
        <v>388</v>
      </c>
      <c r="C14" s="603"/>
      <c r="D14" s="603"/>
      <c r="E14" s="603"/>
      <c r="F14" s="603"/>
      <c r="G14" s="603"/>
      <c r="H14" s="603"/>
      <c r="I14" s="603"/>
      <c r="J14" s="603"/>
      <c r="K14" s="603"/>
      <c r="L14" s="662" t="s">
        <v>12</v>
      </c>
      <c r="M14" s="662"/>
      <c r="N14" s="662"/>
      <c r="O14" s="662"/>
      <c r="P14" s="662"/>
      <c r="Q14" s="662"/>
      <c r="R14" s="662" t="s">
        <v>13</v>
      </c>
      <c r="S14" s="662"/>
      <c r="T14" s="662"/>
      <c r="U14" s="662"/>
      <c r="V14" s="662" t="s">
        <v>15</v>
      </c>
      <c r="W14" s="662"/>
      <c r="X14" s="662"/>
      <c r="Y14" s="662"/>
      <c r="Z14" s="662" t="s">
        <v>9</v>
      </c>
      <c r="AA14" s="662"/>
      <c r="AB14" s="662"/>
      <c r="AC14" s="662"/>
      <c r="AD14" s="662"/>
      <c r="AE14" s="663"/>
      <c r="AF14" s="287" t="s">
        <v>188</v>
      </c>
      <c r="AG14" s="189">
        <v>14</v>
      </c>
      <c r="AH14" s="190"/>
      <c r="AI14" s="191">
        <v>16</v>
      </c>
      <c r="AJ14" s="190"/>
      <c r="AK14" s="191">
        <v>18</v>
      </c>
      <c r="AL14" s="190"/>
      <c r="AM14" s="191">
        <v>20</v>
      </c>
      <c r="AN14" s="190"/>
      <c r="AO14" s="194">
        <v>22</v>
      </c>
      <c r="AP14" s="195"/>
      <c r="AQ14" s="191">
        <v>0</v>
      </c>
      <c r="AR14" s="190"/>
      <c r="AS14" s="191">
        <v>2</v>
      </c>
      <c r="AT14" s="190"/>
      <c r="AU14" s="191">
        <v>4</v>
      </c>
      <c r="AV14" s="192"/>
      <c r="AW14" s="196">
        <v>6</v>
      </c>
      <c r="AX14" s="189"/>
      <c r="AY14" s="191">
        <v>8</v>
      </c>
      <c r="AZ14" s="190"/>
      <c r="BA14" s="191">
        <v>10</v>
      </c>
      <c r="BB14" s="190"/>
      <c r="BC14" s="191">
        <v>12</v>
      </c>
      <c r="BD14" s="193"/>
    </row>
    <row r="15" spans="2:56" ht="16.5" customHeight="1">
      <c r="B15" s="664"/>
      <c r="C15" s="667">
        <f>REA!C58</f>
        <v>0</v>
      </c>
      <c r="D15" s="668"/>
      <c r="E15" s="668"/>
      <c r="F15" s="668"/>
      <c r="G15" s="668"/>
      <c r="H15" s="668"/>
      <c r="I15" s="668"/>
      <c r="J15" s="668"/>
      <c r="K15" s="669"/>
      <c r="L15" s="644" t="str">
        <f>IFERROR(VLOOKUP(C15,'Per Os'!$A$1:$F$39,2,FALSE),"")</f>
        <v/>
      </c>
      <c r="M15" s="645"/>
      <c r="N15" s="645"/>
      <c r="O15" s="645"/>
      <c r="P15" s="645"/>
      <c r="Q15" s="645"/>
      <c r="R15" s="647">
        <f>REA!P58</f>
        <v>0</v>
      </c>
      <c r="S15" s="670"/>
      <c r="T15" s="671" t="str">
        <f>IFERROR(VLOOKUP(C15,'Per Os'!$A$1:$F$39,4,FALSE),"")</f>
        <v/>
      </c>
      <c r="U15" s="672"/>
      <c r="V15" s="673" t="str">
        <f>IFERROR(VLOOKUP(C15,'Per Os'!$A$1:$F$39,5,FALSE),"")</f>
        <v/>
      </c>
      <c r="W15" s="673"/>
      <c r="X15" s="673"/>
      <c r="Y15" s="673"/>
      <c r="Z15" s="674">
        <f>REA!X58</f>
        <v>0</v>
      </c>
      <c r="AA15" s="674"/>
      <c r="AB15" s="674"/>
      <c r="AC15" s="674"/>
      <c r="AD15" s="674"/>
      <c r="AE15" s="675"/>
      <c r="AF15" s="285"/>
      <c r="AG15" s="230"/>
      <c r="AH15" s="212"/>
      <c r="AI15" s="213"/>
      <c r="AJ15" s="212"/>
      <c r="AK15" s="213"/>
      <c r="AL15" s="212"/>
      <c r="AM15" s="213"/>
      <c r="AN15" s="212"/>
      <c r="AO15" s="214"/>
      <c r="AP15" s="215"/>
      <c r="AQ15" s="213"/>
      <c r="AR15" s="212"/>
      <c r="AS15" s="213"/>
      <c r="AT15" s="212"/>
      <c r="AU15" s="213"/>
      <c r="AV15" s="212"/>
      <c r="AW15" s="214"/>
      <c r="AX15" s="215"/>
      <c r="AY15" s="213"/>
      <c r="AZ15" s="212"/>
      <c r="BA15" s="213"/>
      <c r="BB15" s="212"/>
      <c r="BC15" s="213"/>
      <c r="BD15" s="216"/>
    </row>
    <row r="16" spans="2:56" ht="16.5" customHeight="1">
      <c r="B16" s="665"/>
      <c r="C16" s="617">
        <f>REA!C59</f>
        <v>0</v>
      </c>
      <c r="D16" s="618"/>
      <c r="E16" s="618"/>
      <c r="F16" s="618"/>
      <c r="G16" s="618"/>
      <c r="H16" s="618"/>
      <c r="I16" s="618"/>
      <c r="J16" s="618"/>
      <c r="K16" s="619"/>
      <c r="L16" s="620" t="str">
        <f>IFERROR(VLOOKUP(C16,'Per Os'!$A$1:$F$39,2,FALSE),"")</f>
        <v/>
      </c>
      <c r="M16" s="621"/>
      <c r="N16" s="621"/>
      <c r="O16" s="621"/>
      <c r="P16" s="621"/>
      <c r="Q16" s="621"/>
      <c r="R16" s="623">
        <f>REA!P59</f>
        <v>0</v>
      </c>
      <c r="S16" s="676"/>
      <c r="T16" s="677" t="str">
        <f>IFERROR(VLOOKUP(C16,'Per Os'!$A$1:$F$39,4,FALSE),"")</f>
        <v/>
      </c>
      <c r="U16" s="678"/>
      <c r="V16" s="679" t="str">
        <f>IFERROR(VLOOKUP(C16,'Per Os'!$A$1:$F$39,5,FALSE),"")</f>
        <v/>
      </c>
      <c r="W16" s="679"/>
      <c r="X16" s="679"/>
      <c r="Y16" s="679"/>
      <c r="Z16" s="680">
        <f>REA!X59</f>
        <v>0</v>
      </c>
      <c r="AA16" s="680"/>
      <c r="AB16" s="680"/>
      <c r="AC16" s="680"/>
      <c r="AD16" s="680"/>
      <c r="AE16" s="681"/>
      <c r="AF16" s="286"/>
      <c r="AG16" s="231"/>
      <c r="AH16" s="232"/>
      <c r="AI16" s="233"/>
      <c r="AJ16" s="232"/>
      <c r="AK16" s="233"/>
      <c r="AL16" s="232"/>
      <c r="AM16" s="233"/>
      <c r="AN16" s="232"/>
      <c r="AO16" s="234"/>
      <c r="AP16" s="235"/>
      <c r="AQ16" s="233"/>
      <c r="AR16" s="232"/>
      <c r="AS16" s="233"/>
      <c r="AT16" s="232"/>
      <c r="AU16" s="233"/>
      <c r="AV16" s="232"/>
      <c r="AW16" s="234"/>
      <c r="AX16" s="235"/>
      <c r="AY16" s="233"/>
      <c r="AZ16" s="232"/>
      <c r="BA16" s="233"/>
      <c r="BB16" s="232"/>
      <c r="BC16" s="233"/>
      <c r="BD16" s="236"/>
    </row>
    <row r="17" spans="2:56" ht="16.5" customHeight="1">
      <c r="B17" s="665"/>
      <c r="C17" s="617">
        <f>REA!C62</f>
        <v>0</v>
      </c>
      <c r="D17" s="618"/>
      <c r="E17" s="618"/>
      <c r="F17" s="618"/>
      <c r="G17" s="618"/>
      <c r="H17" s="618"/>
      <c r="I17" s="618"/>
      <c r="J17" s="618"/>
      <c r="K17" s="619"/>
      <c r="L17" s="620" t="str">
        <f>IFERROR(VLOOKUP(C17,'Per Os'!$A$1:$F$39,2,FALSE),"")</f>
        <v/>
      </c>
      <c r="M17" s="621"/>
      <c r="N17" s="621"/>
      <c r="O17" s="621"/>
      <c r="P17" s="621"/>
      <c r="Q17" s="621"/>
      <c r="R17" s="623">
        <f>REA!P62</f>
        <v>0</v>
      </c>
      <c r="S17" s="676"/>
      <c r="T17" s="677" t="str">
        <f>IFERROR(VLOOKUP(C17,'Per Os'!$A$1:$F$39,4,FALSE),"")</f>
        <v/>
      </c>
      <c r="U17" s="678"/>
      <c r="V17" s="679" t="str">
        <f>IFERROR(VLOOKUP(C17,'Per Os'!$A$1:$F$39,5,FALSE),"")</f>
        <v/>
      </c>
      <c r="W17" s="679"/>
      <c r="X17" s="679"/>
      <c r="Y17" s="679"/>
      <c r="Z17" s="680">
        <f>REA!X62</f>
        <v>0</v>
      </c>
      <c r="AA17" s="680"/>
      <c r="AB17" s="680"/>
      <c r="AC17" s="680"/>
      <c r="AD17" s="680"/>
      <c r="AE17" s="681"/>
      <c r="AF17" s="286"/>
      <c r="AG17" s="231"/>
      <c r="AH17" s="232"/>
      <c r="AI17" s="233"/>
      <c r="AJ17" s="232"/>
      <c r="AK17" s="233"/>
      <c r="AL17" s="232"/>
      <c r="AM17" s="233"/>
      <c r="AN17" s="232"/>
      <c r="AO17" s="234"/>
      <c r="AP17" s="235"/>
      <c r="AQ17" s="233"/>
      <c r="AR17" s="232"/>
      <c r="AS17" s="233"/>
      <c r="AT17" s="232"/>
      <c r="AU17" s="233"/>
      <c r="AV17" s="232"/>
      <c r="AW17" s="234"/>
      <c r="AX17" s="235"/>
      <c r="AY17" s="233"/>
      <c r="AZ17" s="232"/>
      <c r="BA17" s="233"/>
      <c r="BB17" s="232"/>
      <c r="BC17" s="233"/>
      <c r="BD17" s="236"/>
    </row>
    <row r="18" spans="2:56" ht="16.5" customHeight="1" thickBot="1">
      <c r="B18" s="666"/>
      <c r="C18" s="653">
        <f>REA!C63</f>
        <v>0</v>
      </c>
      <c r="D18" s="654"/>
      <c r="E18" s="654"/>
      <c r="F18" s="654"/>
      <c r="G18" s="654"/>
      <c r="H18" s="654"/>
      <c r="I18" s="654"/>
      <c r="J18" s="654"/>
      <c r="K18" s="655"/>
      <c r="L18" s="632" t="str">
        <f>IFERROR(VLOOKUP(C18,'Per Os'!$A$1:$F$39,2,FALSE),"")</f>
        <v/>
      </c>
      <c r="M18" s="633"/>
      <c r="N18" s="633"/>
      <c r="O18" s="633"/>
      <c r="P18" s="633"/>
      <c r="Q18" s="633"/>
      <c r="R18" s="635">
        <f>REA!P63</f>
        <v>0</v>
      </c>
      <c r="S18" s="656"/>
      <c r="T18" s="657" t="str">
        <f>IFERROR(VLOOKUP(C18,'Per Os'!$A$1:$F$39,4,FALSE),"")</f>
        <v/>
      </c>
      <c r="U18" s="658"/>
      <c r="V18" s="659" t="str">
        <f>IFERROR(VLOOKUP(C18,'Per Os'!$A$1:$F$39,5,FALSE),"")</f>
        <v/>
      </c>
      <c r="W18" s="659"/>
      <c r="X18" s="659"/>
      <c r="Y18" s="659"/>
      <c r="Z18" s="660">
        <f>REA!X63</f>
        <v>0</v>
      </c>
      <c r="AA18" s="660"/>
      <c r="AB18" s="660"/>
      <c r="AC18" s="660"/>
      <c r="AD18" s="660"/>
      <c r="AE18" s="661"/>
      <c r="AF18" s="282"/>
      <c r="AG18" s="247"/>
      <c r="AH18" s="218"/>
      <c r="AI18" s="219"/>
      <c r="AJ18" s="218"/>
      <c r="AK18" s="219"/>
      <c r="AL18" s="218"/>
      <c r="AM18" s="219"/>
      <c r="AN18" s="218"/>
      <c r="AO18" s="220"/>
      <c r="AP18" s="221"/>
      <c r="AQ18" s="219"/>
      <c r="AR18" s="218"/>
      <c r="AS18" s="219"/>
      <c r="AT18" s="218"/>
      <c r="AU18" s="219"/>
      <c r="AV18" s="218"/>
      <c r="AW18" s="220"/>
      <c r="AX18" s="221"/>
      <c r="AY18" s="219"/>
      <c r="AZ18" s="218"/>
      <c r="BA18" s="219"/>
      <c r="BB18" s="218"/>
      <c r="BC18" s="219"/>
      <c r="BD18" s="222"/>
    </row>
    <row r="19" spans="2:56" ht="21.75" customHeight="1" thickBot="1">
      <c r="B19" s="602" t="s">
        <v>4</v>
      </c>
      <c r="C19" s="603"/>
      <c r="D19" s="603"/>
      <c r="E19" s="603"/>
      <c r="F19" s="603"/>
      <c r="G19" s="603"/>
      <c r="H19" s="603"/>
      <c r="I19" s="603"/>
      <c r="J19" s="603"/>
      <c r="K19" s="603"/>
      <c r="L19" s="662" t="s">
        <v>12</v>
      </c>
      <c r="M19" s="662"/>
      <c r="N19" s="662"/>
      <c r="O19" s="662"/>
      <c r="P19" s="662"/>
      <c r="Q19" s="662"/>
      <c r="R19" s="662" t="s">
        <v>13</v>
      </c>
      <c r="S19" s="662"/>
      <c r="T19" s="662"/>
      <c r="U19" s="662"/>
      <c r="V19" s="662" t="s">
        <v>15</v>
      </c>
      <c r="W19" s="662"/>
      <c r="X19" s="662"/>
      <c r="Y19" s="662"/>
      <c r="Z19" s="662" t="s">
        <v>2</v>
      </c>
      <c r="AA19" s="662"/>
      <c r="AB19" s="662"/>
      <c r="AC19" s="662"/>
      <c r="AD19" s="662"/>
      <c r="AE19" s="663"/>
      <c r="AF19" s="287" t="s">
        <v>188</v>
      </c>
      <c r="AG19" s="189">
        <v>14</v>
      </c>
      <c r="AH19" s="190"/>
      <c r="AI19" s="191">
        <v>16</v>
      </c>
      <c r="AJ19" s="190"/>
      <c r="AK19" s="191">
        <v>18</v>
      </c>
      <c r="AL19" s="190"/>
      <c r="AM19" s="191">
        <v>20</v>
      </c>
      <c r="AN19" s="190"/>
      <c r="AO19" s="194">
        <v>22</v>
      </c>
      <c r="AP19" s="195"/>
      <c r="AQ19" s="191">
        <v>0</v>
      </c>
      <c r="AR19" s="190"/>
      <c r="AS19" s="191">
        <v>2</v>
      </c>
      <c r="AT19" s="190"/>
      <c r="AU19" s="191">
        <v>4</v>
      </c>
      <c r="AV19" s="192"/>
      <c r="AW19" s="196">
        <v>6</v>
      </c>
      <c r="AX19" s="189"/>
      <c r="AY19" s="191">
        <v>8</v>
      </c>
      <c r="AZ19" s="190"/>
      <c r="BA19" s="191">
        <v>10</v>
      </c>
      <c r="BB19" s="190"/>
      <c r="BC19" s="191">
        <v>12</v>
      </c>
      <c r="BD19" s="193"/>
    </row>
    <row r="20" spans="2:56" ht="18" customHeight="1">
      <c r="B20" s="197"/>
      <c r="C20" s="641">
        <f>REA!C65</f>
        <v>0</v>
      </c>
      <c r="D20" s="642"/>
      <c r="E20" s="642"/>
      <c r="F20" s="642"/>
      <c r="G20" s="642"/>
      <c r="H20" s="642"/>
      <c r="I20" s="642"/>
      <c r="J20" s="642"/>
      <c r="K20" s="643"/>
      <c r="L20" s="644" t="str">
        <f>IFERROR(VLOOKUP(C20,'Autres Médicaments'!$A$1:$F$77,2,FALSE),"")</f>
        <v/>
      </c>
      <c r="M20" s="645"/>
      <c r="N20" s="645"/>
      <c r="O20" s="645"/>
      <c r="P20" s="645"/>
      <c r="Q20" s="645"/>
      <c r="R20" s="646">
        <f>REA!P65</f>
        <v>0</v>
      </c>
      <c r="S20" s="647"/>
      <c r="T20" s="648" t="str">
        <f>IFERROR(VLOOKUP(C20,'Autres Médicaments'!$A$1:$F$77,4,FALSE),"")</f>
        <v/>
      </c>
      <c r="U20" s="649"/>
      <c r="V20" s="650" t="str">
        <f>IFERROR(VLOOKUP(C20,'Autres Médicaments'!$A$1:$F$77,5,FALSE),"")</f>
        <v/>
      </c>
      <c r="W20" s="650"/>
      <c r="X20" s="650"/>
      <c r="Y20" s="650"/>
      <c r="Z20" s="651" t="str">
        <f>IFERROR(VLOOKUP(C20,'Autres Médicaments'!$A$2:$F$77,6,FALSE),"")</f>
        <v/>
      </c>
      <c r="AA20" s="651"/>
      <c r="AB20" s="651"/>
      <c r="AC20" s="651"/>
      <c r="AD20" s="651"/>
      <c r="AE20" s="652"/>
      <c r="AF20" s="285"/>
      <c r="AG20" s="230"/>
      <c r="AH20" s="212"/>
      <c r="AI20" s="213"/>
      <c r="AJ20" s="212"/>
      <c r="AK20" s="213"/>
      <c r="AL20" s="212"/>
      <c r="AM20" s="213"/>
      <c r="AN20" s="212"/>
      <c r="AO20" s="214"/>
      <c r="AP20" s="215"/>
      <c r="AQ20" s="213"/>
      <c r="AR20" s="212"/>
      <c r="AS20" s="213"/>
      <c r="AT20" s="212"/>
      <c r="AU20" s="213"/>
      <c r="AV20" s="212"/>
      <c r="AW20" s="214"/>
      <c r="AX20" s="215"/>
      <c r="AY20" s="213"/>
      <c r="AZ20" s="212"/>
      <c r="BA20" s="213"/>
      <c r="BB20" s="212"/>
      <c r="BC20" s="213"/>
      <c r="BD20" s="216"/>
    </row>
    <row r="21" spans="2:56" ht="18" customHeight="1">
      <c r="B21" s="197"/>
      <c r="C21" s="617">
        <f>REA!C66</f>
        <v>0</v>
      </c>
      <c r="D21" s="618"/>
      <c r="E21" s="618"/>
      <c r="F21" s="618"/>
      <c r="G21" s="618"/>
      <c r="H21" s="618"/>
      <c r="I21" s="618"/>
      <c r="J21" s="618"/>
      <c r="K21" s="619"/>
      <c r="L21" s="620" t="str">
        <f>IFERROR(VLOOKUP(C21,'Autres Médicaments'!$A$1:$F$77,2,FALSE),"")</f>
        <v/>
      </c>
      <c r="M21" s="621"/>
      <c r="N21" s="621"/>
      <c r="O21" s="621"/>
      <c r="P21" s="621"/>
      <c r="Q21" s="621"/>
      <c r="R21" s="622">
        <f>REA!P66</f>
        <v>0</v>
      </c>
      <c r="S21" s="623"/>
      <c r="T21" s="624" t="str">
        <f>IFERROR(VLOOKUP(C21,'Autres Médicaments'!$A$1:$F$77,4,FALSE),"")</f>
        <v/>
      </c>
      <c r="U21" s="625"/>
      <c r="V21" s="626" t="str">
        <f>IFERROR(VLOOKUP(C21,'Autres Médicaments'!$A$1:$F$77,5,FALSE),"")</f>
        <v/>
      </c>
      <c r="W21" s="626"/>
      <c r="X21" s="626"/>
      <c r="Y21" s="626"/>
      <c r="Z21" s="627" t="str">
        <f>IFERROR(VLOOKUP(C21,'Autres Médicaments'!$A$2:$F$77,6,FALSE),"")</f>
        <v/>
      </c>
      <c r="AA21" s="627"/>
      <c r="AB21" s="627"/>
      <c r="AC21" s="627"/>
      <c r="AD21" s="627"/>
      <c r="AE21" s="628"/>
      <c r="AF21" s="286"/>
      <c r="AG21" s="231"/>
      <c r="AH21" s="232"/>
      <c r="AI21" s="233"/>
      <c r="AJ21" s="232"/>
      <c r="AK21" s="233"/>
      <c r="AL21" s="232"/>
      <c r="AM21" s="233"/>
      <c r="AN21" s="232"/>
      <c r="AO21" s="234"/>
      <c r="AP21" s="235"/>
      <c r="AQ21" s="233"/>
      <c r="AR21" s="232"/>
      <c r="AS21" s="233"/>
      <c r="AT21" s="232"/>
      <c r="AU21" s="233"/>
      <c r="AV21" s="232"/>
      <c r="AW21" s="234"/>
      <c r="AX21" s="235"/>
      <c r="AY21" s="233"/>
      <c r="AZ21" s="232"/>
      <c r="BA21" s="233"/>
      <c r="BB21" s="232"/>
      <c r="BC21" s="233"/>
      <c r="BD21" s="236"/>
    </row>
    <row r="22" spans="2:56" ht="18" customHeight="1">
      <c r="B22" s="197"/>
      <c r="C22" s="617" t="e">
        <f>REA!#REF!</f>
        <v>#REF!</v>
      </c>
      <c r="D22" s="618"/>
      <c r="E22" s="618"/>
      <c r="F22" s="618"/>
      <c r="G22" s="618"/>
      <c r="H22" s="618"/>
      <c r="I22" s="618"/>
      <c r="J22" s="618"/>
      <c r="K22" s="619"/>
      <c r="L22" s="620" t="str">
        <f>IFERROR(VLOOKUP(C22,'Autres Médicaments'!$A$1:$F$77,2,FALSE),"")</f>
        <v/>
      </c>
      <c r="M22" s="621"/>
      <c r="N22" s="621"/>
      <c r="O22" s="621"/>
      <c r="P22" s="621"/>
      <c r="Q22" s="621"/>
      <c r="R22" s="622" t="e">
        <f>REA!#REF!</f>
        <v>#REF!</v>
      </c>
      <c r="S22" s="623"/>
      <c r="T22" s="624" t="str">
        <f>IFERROR(VLOOKUP(C22,'Autres Médicaments'!$A$1:$F$77,4,FALSE),"")</f>
        <v/>
      </c>
      <c r="U22" s="625"/>
      <c r="V22" s="626" t="str">
        <f>IFERROR(VLOOKUP(C22,'Autres Médicaments'!$A$1:$F$77,5,FALSE),"")</f>
        <v/>
      </c>
      <c r="W22" s="626"/>
      <c r="X22" s="626"/>
      <c r="Y22" s="626"/>
      <c r="Z22" s="627" t="str">
        <f>IFERROR(VLOOKUP(C22,'Autres Médicaments'!$A$2:$F$77,6,FALSE),"")</f>
        <v/>
      </c>
      <c r="AA22" s="627"/>
      <c r="AB22" s="627"/>
      <c r="AC22" s="627"/>
      <c r="AD22" s="627"/>
      <c r="AE22" s="628"/>
      <c r="AF22" s="286"/>
      <c r="AG22" s="231"/>
      <c r="AH22" s="232"/>
      <c r="AI22" s="233"/>
      <c r="AJ22" s="232"/>
      <c r="AK22" s="233"/>
      <c r="AL22" s="232"/>
      <c r="AM22" s="233"/>
      <c r="AN22" s="232"/>
      <c r="AO22" s="234"/>
      <c r="AP22" s="235"/>
      <c r="AQ22" s="233"/>
      <c r="AR22" s="232"/>
      <c r="AS22" s="233"/>
      <c r="AT22" s="232"/>
      <c r="AU22" s="233"/>
      <c r="AV22" s="232"/>
      <c r="AW22" s="234"/>
      <c r="AX22" s="235"/>
      <c r="AY22" s="233"/>
      <c r="AZ22" s="232"/>
      <c r="BA22" s="233"/>
      <c r="BB22" s="232"/>
      <c r="BC22" s="233"/>
      <c r="BD22" s="236"/>
    </row>
    <row r="23" spans="2:56" ht="18" customHeight="1" thickBot="1">
      <c r="B23" s="198"/>
      <c r="C23" s="629">
        <f>REA!C67</f>
        <v>0</v>
      </c>
      <c r="D23" s="630"/>
      <c r="E23" s="630"/>
      <c r="F23" s="630"/>
      <c r="G23" s="630"/>
      <c r="H23" s="630"/>
      <c r="I23" s="630"/>
      <c r="J23" s="630"/>
      <c r="K23" s="631"/>
      <c r="L23" s="632" t="str">
        <f>IFERROR(VLOOKUP(C23,'Autres Médicaments'!$A$1:$F$77,2,FALSE),"")</f>
        <v/>
      </c>
      <c r="M23" s="633"/>
      <c r="N23" s="633"/>
      <c r="O23" s="633"/>
      <c r="P23" s="633"/>
      <c r="Q23" s="633"/>
      <c r="R23" s="634">
        <f>REA!P67</f>
        <v>0</v>
      </c>
      <c r="S23" s="635"/>
      <c r="T23" s="636" t="str">
        <f>IFERROR(VLOOKUP(C23,'Autres Médicaments'!$A$1:$F$77,4,FALSE),"")</f>
        <v/>
      </c>
      <c r="U23" s="637"/>
      <c r="V23" s="638" t="str">
        <f>IFERROR(VLOOKUP(C23,'Autres Médicaments'!$A$1:$F$77,5,FALSE),"")</f>
        <v/>
      </c>
      <c r="W23" s="638"/>
      <c r="X23" s="638"/>
      <c r="Y23" s="638"/>
      <c r="Z23" s="639" t="str">
        <f>IFERROR(VLOOKUP(C23,'Autres Médicaments'!$A$2:$F$77,6,FALSE),"")</f>
        <v/>
      </c>
      <c r="AA23" s="639"/>
      <c r="AB23" s="639"/>
      <c r="AC23" s="639"/>
      <c r="AD23" s="639"/>
      <c r="AE23" s="640"/>
      <c r="AF23" s="284"/>
      <c r="AG23" s="237"/>
      <c r="AH23" s="232"/>
      <c r="AI23" s="233"/>
      <c r="AJ23" s="232"/>
      <c r="AK23" s="233"/>
      <c r="AL23" s="232"/>
      <c r="AM23" s="233"/>
      <c r="AN23" s="232"/>
      <c r="AO23" s="234"/>
      <c r="AP23" s="235"/>
      <c r="AQ23" s="233"/>
      <c r="AR23" s="232"/>
      <c r="AS23" s="233"/>
      <c r="AT23" s="232"/>
      <c r="AU23" s="233"/>
      <c r="AV23" s="232"/>
      <c r="AW23" s="234"/>
      <c r="AX23" s="235"/>
      <c r="AY23" s="233"/>
      <c r="AZ23" s="232"/>
      <c r="BA23" s="233"/>
      <c r="BB23" s="232"/>
      <c r="BC23" s="233"/>
      <c r="BD23" s="236"/>
    </row>
    <row r="24" spans="2:56" ht="16.5" customHeight="1" thickBot="1">
      <c r="B24" s="597" t="s">
        <v>404</v>
      </c>
      <c r="C24" s="598"/>
      <c r="D24" s="598"/>
      <c r="E24" s="598"/>
      <c r="F24" s="598"/>
      <c r="G24" s="598"/>
      <c r="H24" s="598"/>
      <c r="I24" s="598"/>
      <c r="J24" s="598"/>
      <c r="K24" s="599"/>
      <c r="L24" s="600"/>
      <c r="M24" s="601"/>
      <c r="N24" s="601"/>
      <c r="O24" s="601"/>
      <c r="P24" s="601"/>
      <c r="Q24" s="601"/>
      <c r="R24" s="601"/>
      <c r="S24" s="601"/>
      <c r="T24" s="601"/>
      <c r="U24" s="601"/>
      <c r="V24" s="601"/>
      <c r="W24" s="601"/>
      <c r="X24" s="601"/>
      <c r="Y24" s="601"/>
      <c r="Z24" s="601"/>
      <c r="AA24" s="601"/>
      <c r="AB24" s="601"/>
      <c r="AC24" s="601"/>
      <c r="AD24" s="601"/>
      <c r="AE24" s="601"/>
      <c r="AF24" s="288"/>
      <c r="AG24" s="238"/>
      <c r="AH24" s="239"/>
      <c r="AI24" s="240"/>
      <c r="AJ24" s="239"/>
      <c r="AK24" s="240"/>
      <c r="AL24" s="239"/>
      <c r="AM24" s="240"/>
      <c r="AN24" s="239"/>
      <c r="AO24" s="241"/>
      <c r="AP24" s="242"/>
      <c r="AQ24" s="240"/>
      <c r="AR24" s="239"/>
      <c r="AS24" s="240"/>
      <c r="AT24" s="239"/>
      <c r="AU24" s="240"/>
      <c r="AV24" s="243"/>
      <c r="AW24" s="244"/>
      <c r="AX24" s="245"/>
      <c r="AY24" s="240"/>
      <c r="AZ24" s="239"/>
      <c r="BA24" s="240"/>
      <c r="BB24" s="239"/>
      <c r="BC24" s="240"/>
      <c r="BD24" s="246"/>
    </row>
    <row r="25" spans="2:56" ht="21.75" customHeight="1" thickBot="1">
      <c r="B25" s="602" t="s">
        <v>240</v>
      </c>
      <c r="C25" s="603"/>
      <c r="D25" s="603"/>
      <c r="E25" s="603"/>
      <c r="F25" s="603"/>
      <c r="G25" s="603"/>
      <c r="H25" s="603"/>
      <c r="I25" s="603"/>
      <c r="J25" s="603"/>
      <c r="K25" s="603"/>
      <c r="L25" s="603"/>
      <c r="M25" s="603"/>
      <c r="N25" s="603"/>
      <c r="O25" s="604" t="s">
        <v>406</v>
      </c>
      <c r="P25" s="604"/>
      <c r="Q25" s="604"/>
      <c r="R25" s="604"/>
      <c r="S25" s="604"/>
      <c r="T25" s="604"/>
      <c r="U25" s="604"/>
      <c r="V25" s="604"/>
      <c r="W25" s="595" t="s">
        <v>192</v>
      </c>
      <c r="X25" s="595"/>
      <c r="Y25" s="595"/>
      <c r="Z25" s="595"/>
      <c r="AA25" s="605" t="s">
        <v>1</v>
      </c>
      <c r="AB25" s="605"/>
      <c r="AC25" s="605"/>
      <c r="AD25" s="605"/>
      <c r="AE25" s="606"/>
      <c r="AF25" s="287" t="s">
        <v>188</v>
      </c>
      <c r="AG25" s="189">
        <v>14</v>
      </c>
      <c r="AH25" s="190"/>
      <c r="AI25" s="191">
        <v>16</v>
      </c>
      <c r="AJ25" s="190"/>
      <c r="AK25" s="191">
        <v>18</v>
      </c>
      <c r="AL25" s="190"/>
      <c r="AM25" s="191">
        <v>20</v>
      </c>
      <c r="AN25" s="190"/>
      <c r="AO25" s="194">
        <v>22</v>
      </c>
      <c r="AP25" s="195"/>
      <c r="AQ25" s="191">
        <v>0</v>
      </c>
      <c r="AR25" s="190"/>
      <c r="AS25" s="191">
        <v>2</v>
      </c>
      <c r="AT25" s="190"/>
      <c r="AU25" s="191">
        <v>4</v>
      </c>
      <c r="AV25" s="192"/>
      <c r="AW25" s="196">
        <v>6</v>
      </c>
      <c r="AX25" s="189"/>
      <c r="AY25" s="191">
        <v>8</v>
      </c>
      <c r="AZ25" s="190"/>
      <c r="BA25" s="191">
        <v>10</v>
      </c>
      <c r="BB25" s="190"/>
      <c r="BC25" s="191">
        <v>12</v>
      </c>
      <c r="BD25" s="193"/>
    </row>
    <row r="26" spans="2:56" ht="20.25" customHeight="1">
      <c r="B26" s="197"/>
      <c r="C26" s="1">
        <f>REA!C70</f>
        <v>0</v>
      </c>
      <c r="D26" s="566"/>
      <c r="E26" s="566"/>
      <c r="F26" s="566"/>
      <c r="G26" s="566"/>
      <c r="H26" s="566"/>
      <c r="I26" s="566"/>
      <c r="J26" s="566"/>
      <c r="K26" s="566"/>
      <c r="L26" s="566"/>
      <c r="M26" s="566"/>
      <c r="N26" s="567"/>
      <c r="O26" s="607">
        <f>REA!P70</f>
        <v>0</v>
      </c>
      <c r="P26" s="608"/>
      <c r="Q26" s="608"/>
      <c r="R26" s="608"/>
      <c r="S26" s="608"/>
      <c r="T26" s="608"/>
      <c r="U26" s="608"/>
      <c r="V26" s="608"/>
      <c r="W26" s="609">
        <v>15</v>
      </c>
      <c r="X26" s="610"/>
      <c r="Y26" s="611" t="str">
        <f>IF(W26="","","mL")</f>
        <v>mL</v>
      </c>
      <c r="Z26" s="612"/>
      <c r="AA26" s="613">
        <v>4</v>
      </c>
      <c r="AB26" s="614"/>
      <c r="AC26" s="615" t="str">
        <f>IF(AA26="","","mL/h")</f>
        <v>mL/h</v>
      </c>
      <c r="AD26" s="615"/>
      <c r="AE26" s="616"/>
      <c r="AF26" s="283"/>
      <c r="AG26" s="211"/>
      <c r="AH26" s="212"/>
      <c r="AI26" s="213"/>
      <c r="AJ26" s="212"/>
      <c r="AK26" s="213"/>
      <c r="AL26" s="212"/>
      <c r="AM26" s="213"/>
      <c r="AN26" s="212"/>
      <c r="AO26" s="214"/>
      <c r="AP26" s="215"/>
      <c r="AQ26" s="213"/>
      <c r="AR26" s="212"/>
      <c r="AS26" s="213"/>
      <c r="AT26" s="212"/>
      <c r="AU26" s="213"/>
      <c r="AV26" s="212"/>
      <c r="AW26" s="214"/>
      <c r="AX26" s="215"/>
      <c r="AY26" s="213"/>
      <c r="AZ26" s="212"/>
      <c r="BA26" s="213"/>
      <c r="BB26" s="212"/>
      <c r="BC26" s="213"/>
      <c r="BD26" s="216"/>
    </row>
    <row r="27" spans="2:56" ht="20.25" customHeight="1" thickBot="1">
      <c r="B27" s="197"/>
      <c r="C27" s="579">
        <f>REA!C71</f>
        <v>0</v>
      </c>
      <c r="D27" s="580"/>
      <c r="E27" s="580"/>
      <c r="F27" s="580"/>
      <c r="G27" s="580"/>
      <c r="H27" s="580"/>
      <c r="I27" s="580"/>
      <c r="J27" s="580"/>
      <c r="K27" s="580"/>
      <c r="L27" s="580"/>
      <c r="M27" s="580"/>
      <c r="N27" s="581"/>
      <c r="O27" s="582">
        <f>REA!P71</f>
        <v>0</v>
      </c>
      <c r="P27" s="583"/>
      <c r="Q27" s="583"/>
      <c r="R27" s="583"/>
      <c r="S27" s="583"/>
      <c r="T27" s="583"/>
      <c r="U27" s="583"/>
      <c r="V27" s="583"/>
      <c r="W27" s="584">
        <v>15</v>
      </c>
      <c r="X27" s="585"/>
      <c r="Y27" s="586" t="str">
        <f>IF(W27="","","mL")</f>
        <v>mL</v>
      </c>
      <c r="Z27" s="587"/>
      <c r="AA27" s="588">
        <v>15</v>
      </c>
      <c r="AB27" s="589"/>
      <c r="AC27" s="590" t="str">
        <f>IF(AA27="","","mL/h")</f>
        <v>mL/h</v>
      </c>
      <c r="AD27" s="590"/>
      <c r="AE27" s="591"/>
      <c r="AF27" s="282"/>
      <c r="AG27" s="217"/>
      <c r="AH27" s="218"/>
      <c r="AI27" s="219"/>
      <c r="AJ27" s="218"/>
      <c r="AK27" s="219"/>
      <c r="AL27" s="218"/>
      <c r="AM27" s="219"/>
      <c r="AN27" s="218"/>
      <c r="AO27" s="220"/>
      <c r="AP27" s="221"/>
      <c r="AQ27" s="219"/>
      <c r="AR27" s="218"/>
      <c r="AS27" s="219"/>
      <c r="AT27" s="218"/>
      <c r="AU27" s="219"/>
      <c r="AV27" s="218"/>
      <c r="AW27" s="220"/>
      <c r="AX27" s="221"/>
      <c r="AY27" s="219"/>
      <c r="AZ27" s="218"/>
      <c r="BA27" s="219"/>
      <c r="BB27" s="218"/>
      <c r="BC27" s="219"/>
      <c r="BD27" s="222"/>
    </row>
    <row r="28" spans="2:56" ht="19.5" customHeight="1" thickBot="1">
      <c r="B28" s="592" t="s">
        <v>239</v>
      </c>
      <c r="C28" s="593"/>
      <c r="D28" s="593"/>
      <c r="E28" s="593"/>
      <c r="F28" s="593"/>
      <c r="G28" s="593"/>
      <c r="H28" s="593"/>
      <c r="I28" s="593"/>
      <c r="J28" s="593"/>
      <c r="K28" s="593"/>
      <c r="L28" s="593"/>
      <c r="M28" s="593"/>
      <c r="N28" s="594"/>
      <c r="O28" s="595" t="s">
        <v>10</v>
      </c>
      <c r="P28" s="595"/>
      <c r="Q28" s="595"/>
      <c r="R28" s="595"/>
      <c r="S28" s="595"/>
      <c r="T28" s="595"/>
      <c r="U28" s="595" t="s">
        <v>9</v>
      </c>
      <c r="V28" s="595"/>
      <c r="W28" s="595"/>
      <c r="X28" s="595"/>
      <c r="Y28" s="595"/>
      <c r="Z28" s="595"/>
      <c r="AA28" s="595"/>
      <c r="AB28" s="595"/>
      <c r="AC28" s="595"/>
      <c r="AD28" s="595"/>
      <c r="AE28" s="596"/>
      <c r="AF28" s="289"/>
      <c r="AG28" s="199"/>
      <c r="AH28" s="200"/>
      <c r="AI28" s="201"/>
      <c r="AJ28" s="200"/>
      <c r="AK28" s="201"/>
      <c r="AL28" s="200"/>
      <c r="AM28" s="201"/>
      <c r="AN28" s="200"/>
      <c r="AO28" s="187"/>
      <c r="AP28" s="188"/>
      <c r="AQ28" s="201"/>
      <c r="AR28" s="200"/>
      <c r="AS28" s="201"/>
      <c r="AT28" s="200"/>
      <c r="AU28" s="201"/>
      <c r="AV28" s="200"/>
      <c r="AW28" s="187"/>
      <c r="AX28" s="188"/>
      <c r="AY28" s="201"/>
      <c r="AZ28" s="200"/>
      <c r="BA28" s="201"/>
      <c r="BB28" s="200"/>
      <c r="BC28" s="201"/>
      <c r="BD28" s="200"/>
    </row>
    <row r="29" spans="2:56" ht="21.75" customHeight="1">
      <c r="B29" s="197"/>
      <c r="C29" s="1">
        <f>REA!C74</f>
        <v>0</v>
      </c>
      <c r="D29" s="566"/>
      <c r="E29" s="566"/>
      <c r="F29" s="566"/>
      <c r="G29" s="566"/>
      <c r="H29" s="566"/>
      <c r="I29" s="566"/>
      <c r="J29" s="566"/>
      <c r="K29" s="566"/>
      <c r="L29" s="566"/>
      <c r="M29" s="566"/>
      <c r="N29" s="567"/>
      <c r="O29" s="568">
        <f>REA!L74</f>
        <v>0</v>
      </c>
      <c r="P29" s="569"/>
      <c r="Q29" s="569"/>
      <c r="R29" s="569"/>
      <c r="S29" s="569"/>
      <c r="T29" s="569"/>
      <c r="U29" s="570">
        <f>REA!U74</f>
        <v>0</v>
      </c>
      <c r="V29" s="570"/>
      <c r="W29" s="570"/>
      <c r="X29" s="570"/>
      <c r="Y29" s="570"/>
      <c r="Z29" s="570"/>
      <c r="AA29" s="570"/>
      <c r="AB29" s="570"/>
      <c r="AC29" s="570"/>
      <c r="AD29" s="570"/>
      <c r="AE29" s="571"/>
      <c r="AF29" s="281"/>
      <c r="AG29" s="223"/>
      <c r="AH29" s="212"/>
      <c r="AI29" s="213"/>
      <c r="AJ29" s="212"/>
      <c r="AK29" s="213"/>
      <c r="AL29" s="212"/>
      <c r="AM29" s="213"/>
      <c r="AN29" s="212"/>
      <c r="AO29" s="214"/>
      <c r="AP29" s="215"/>
      <c r="AQ29" s="213"/>
      <c r="AR29" s="212"/>
      <c r="AS29" s="213"/>
      <c r="AT29" s="212"/>
      <c r="AU29" s="213"/>
      <c r="AV29" s="212"/>
      <c r="AW29" s="214"/>
      <c r="AX29" s="215"/>
      <c r="AY29" s="213"/>
      <c r="AZ29" s="212"/>
      <c r="BA29" s="213"/>
      <c r="BB29" s="212"/>
      <c r="BC29" s="213"/>
      <c r="BD29" s="216"/>
    </row>
    <row r="30" spans="2:56" ht="21.75" customHeight="1" thickBot="1">
      <c r="B30" s="197"/>
      <c r="C30" s="572">
        <f>REA!C75</f>
        <v>0</v>
      </c>
      <c r="D30" s="573"/>
      <c r="E30" s="573"/>
      <c r="F30" s="573"/>
      <c r="G30" s="573"/>
      <c r="H30" s="573"/>
      <c r="I30" s="573"/>
      <c r="J30" s="573"/>
      <c r="K30" s="573"/>
      <c r="L30" s="573"/>
      <c r="M30" s="573"/>
      <c r="N30" s="574"/>
      <c r="O30" s="575">
        <f>REA!O75</f>
        <v>0</v>
      </c>
      <c r="P30" s="576"/>
      <c r="Q30" s="576"/>
      <c r="R30" s="576"/>
      <c r="S30" s="576"/>
      <c r="T30" s="576"/>
      <c r="U30" s="577">
        <f>REA!U75</f>
        <v>0</v>
      </c>
      <c r="V30" s="577"/>
      <c r="W30" s="577"/>
      <c r="X30" s="577"/>
      <c r="Y30" s="577"/>
      <c r="Z30" s="577"/>
      <c r="AA30" s="577"/>
      <c r="AB30" s="577"/>
      <c r="AC30" s="577"/>
      <c r="AD30" s="577"/>
      <c r="AE30" s="578"/>
      <c r="AF30" s="282"/>
      <c r="AG30" s="224"/>
      <c r="AH30" s="225"/>
      <c r="AI30" s="226"/>
      <c r="AJ30" s="225"/>
      <c r="AK30" s="226"/>
      <c r="AL30" s="225"/>
      <c r="AM30" s="226"/>
      <c r="AN30" s="225"/>
      <c r="AO30" s="227"/>
      <c r="AP30" s="228"/>
      <c r="AQ30" s="226"/>
      <c r="AR30" s="225"/>
      <c r="AS30" s="226"/>
      <c r="AT30" s="225"/>
      <c r="AU30" s="226"/>
      <c r="AV30" s="225"/>
      <c r="AW30" s="227"/>
      <c r="AX30" s="228"/>
      <c r="AY30" s="226"/>
      <c r="AZ30" s="225"/>
      <c r="BA30" s="226"/>
      <c r="BB30" s="225"/>
      <c r="BC30" s="226"/>
      <c r="BD30" s="229"/>
    </row>
  </sheetData>
  <sheetProtection password="8891" sheet="1" objects="1" scenarios="1" selectLockedCells="1"/>
  <dataConsolidate/>
  <mergeCells count="144">
    <mergeCell ref="F13:K13"/>
    <mergeCell ref="L13:M13"/>
    <mergeCell ref="N13:Q13"/>
    <mergeCell ref="B13:E13"/>
    <mergeCell ref="R13:AE13"/>
    <mergeCell ref="B1:K1"/>
    <mergeCell ref="L1:M1"/>
    <mergeCell ref="Q1:V1"/>
    <mergeCell ref="W1:AC1"/>
    <mergeCell ref="B9:I9"/>
    <mergeCell ref="J9:R9"/>
    <mergeCell ref="S9:T9"/>
    <mergeCell ref="U9:V9"/>
    <mergeCell ref="W9:AE9"/>
    <mergeCell ref="B10:S10"/>
    <mergeCell ref="T10:Y10"/>
    <mergeCell ref="Z10:AE10"/>
    <mergeCell ref="B6:I8"/>
    <mergeCell ref="J6:T6"/>
    <mergeCell ref="U6:AE6"/>
    <mergeCell ref="J7:T7"/>
    <mergeCell ref="U7:AE7"/>
    <mergeCell ref="J8:T8"/>
    <mergeCell ref="U8:AE8"/>
    <mergeCell ref="AF1:AW1"/>
    <mergeCell ref="AX1:BD1"/>
    <mergeCell ref="Q2:V2"/>
    <mergeCell ref="W2:X2"/>
    <mergeCell ref="Y2:AC2"/>
    <mergeCell ref="AH2:BD3"/>
    <mergeCell ref="B3:C4"/>
    <mergeCell ref="D3:P4"/>
    <mergeCell ref="Q3:S3"/>
    <mergeCell ref="T3:U3"/>
    <mergeCell ref="V3:W3"/>
    <mergeCell ref="Z3:AC5"/>
    <mergeCell ref="W5:Y5"/>
    <mergeCell ref="Q4:S4"/>
    <mergeCell ref="T4:U4"/>
    <mergeCell ref="V4:W4"/>
    <mergeCell ref="B5:C5"/>
    <mergeCell ref="D5:H5"/>
    <mergeCell ref="J5:K5"/>
    <mergeCell ref="M5:N5"/>
    <mergeCell ref="O5:P5"/>
    <mergeCell ref="Q5:S5"/>
    <mergeCell ref="T5:U5"/>
    <mergeCell ref="AD11:AE11"/>
    <mergeCell ref="Z12:AA12"/>
    <mergeCell ref="AB12:AC12"/>
    <mergeCell ref="AD12:AE12"/>
    <mergeCell ref="B11:E12"/>
    <mergeCell ref="F11:K12"/>
    <mergeCell ref="L11:M12"/>
    <mergeCell ref="N11:S12"/>
    <mergeCell ref="T11:Y12"/>
    <mergeCell ref="Z11:AA11"/>
    <mergeCell ref="AB11:AC11"/>
    <mergeCell ref="B14:K14"/>
    <mergeCell ref="L14:Q14"/>
    <mergeCell ref="R14:U14"/>
    <mergeCell ref="V14:Y14"/>
    <mergeCell ref="Z14:AE14"/>
    <mergeCell ref="B15:B18"/>
    <mergeCell ref="C15:K15"/>
    <mergeCell ref="L15:Q15"/>
    <mergeCell ref="R15:S15"/>
    <mergeCell ref="T15:U15"/>
    <mergeCell ref="V15:Y15"/>
    <mergeCell ref="Z15:AE15"/>
    <mergeCell ref="C16:K16"/>
    <mergeCell ref="L16:Q16"/>
    <mergeCell ref="R16:S16"/>
    <mergeCell ref="T16:U16"/>
    <mergeCell ref="V16:Y16"/>
    <mergeCell ref="Z16:AE16"/>
    <mergeCell ref="C17:K17"/>
    <mergeCell ref="L17:Q17"/>
    <mergeCell ref="R17:S17"/>
    <mergeCell ref="T17:U17"/>
    <mergeCell ref="V17:Y17"/>
    <mergeCell ref="Z17:AE17"/>
    <mergeCell ref="C18:K18"/>
    <mergeCell ref="L18:Q18"/>
    <mergeCell ref="R18:S18"/>
    <mergeCell ref="T18:U18"/>
    <mergeCell ref="V18:Y18"/>
    <mergeCell ref="Z18:AE18"/>
    <mergeCell ref="B19:K19"/>
    <mergeCell ref="L19:Q19"/>
    <mergeCell ref="R19:U19"/>
    <mergeCell ref="V19:Y19"/>
    <mergeCell ref="Z19:AE19"/>
    <mergeCell ref="C20:K20"/>
    <mergeCell ref="L20:Q20"/>
    <mergeCell ref="R20:S20"/>
    <mergeCell ref="T20:U20"/>
    <mergeCell ref="V20:Y20"/>
    <mergeCell ref="Z20:AE20"/>
    <mergeCell ref="C21:K21"/>
    <mergeCell ref="L21:Q21"/>
    <mergeCell ref="R21:S21"/>
    <mergeCell ref="T21:U21"/>
    <mergeCell ref="V21:Y21"/>
    <mergeCell ref="Z21:AE21"/>
    <mergeCell ref="C22:K22"/>
    <mergeCell ref="L22:Q22"/>
    <mergeCell ref="R22:S22"/>
    <mergeCell ref="T22:U22"/>
    <mergeCell ref="V22:Y22"/>
    <mergeCell ref="Z22:AE22"/>
    <mergeCell ref="C23:K23"/>
    <mergeCell ref="L23:Q23"/>
    <mergeCell ref="R23:S23"/>
    <mergeCell ref="T23:U23"/>
    <mergeCell ref="V23:Y23"/>
    <mergeCell ref="Z23:AE23"/>
    <mergeCell ref="B24:K24"/>
    <mergeCell ref="L24:AE24"/>
    <mergeCell ref="B25:N25"/>
    <mergeCell ref="O25:V25"/>
    <mergeCell ref="W25:Z25"/>
    <mergeCell ref="AA25:AE25"/>
    <mergeCell ref="C26:N26"/>
    <mergeCell ref="O26:V26"/>
    <mergeCell ref="W26:X26"/>
    <mergeCell ref="Y26:Z26"/>
    <mergeCell ref="AA26:AB26"/>
    <mergeCell ref="AC26:AE26"/>
    <mergeCell ref="C29:N29"/>
    <mergeCell ref="O29:T29"/>
    <mergeCell ref="U29:AE29"/>
    <mergeCell ref="C30:N30"/>
    <mergeCell ref="O30:T30"/>
    <mergeCell ref="U30:AE30"/>
    <mergeCell ref="C27:N27"/>
    <mergeCell ref="O27:V27"/>
    <mergeCell ref="W27:X27"/>
    <mergeCell ref="Y27:Z27"/>
    <mergeCell ref="AA27:AB27"/>
    <mergeCell ref="AC27:AE27"/>
    <mergeCell ref="B28:N28"/>
    <mergeCell ref="O28:T28"/>
    <mergeCell ref="U28:AE28"/>
  </mergeCells>
  <conditionalFormatting sqref="U7:AE8 AX1 D3:P4 T5:U5 D5">
    <cfRule type="containsBlanks" dxfId="11" priority="26">
      <formula>LEN(TRIM(D1))=0</formula>
    </cfRule>
  </conditionalFormatting>
  <conditionalFormatting sqref="T5:U5">
    <cfRule type="cellIs" dxfId="10" priority="23" operator="between">
      <formula>1</formula>
      <formula>399</formula>
    </cfRule>
  </conditionalFormatting>
  <conditionalFormatting sqref="R15:S18 Z15:AE18 Z20:AE23 R20:S23 O26:X27 AA26:AB27 U29:AE30">
    <cfRule type="containsBlanks" dxfId="9" priority="20">
      <formula>LEN(TRIM(O15))=0</formula>
    </cfRule>
  </conditionalFormatting>
  <conditionalFormatting sqref="R15:S18 Z15:AE18 Z20:AE23 R20:S23 O26:X27 AA26:AB27 U29:AE30">
    <cfRule type="containsBlanks" dxfId="8" priority="16">
      <formula>LEN(TRIM(O15))=0</formula>
    </cfRule>
  </conditionalFormatting>
  <conditionalFormatting sqref="R15:S18 Z15:AE18 Z20:AE23 R20:S23 O26:X27 AA26:AB27 U29:AE30">
    <cfRule type="containsBlanks" dxfId="7" priority="12">
      <formula>LEN(TRIM(O15))=0</formula>
    </cfRule>
  </conditionalFormatting>
  <conditionalFormatting sqref="R15:S18 Z15:AE18 Z20:AE23 R20:S23 O26:X27 AA26:AB27 U29:AE30">
    <cfRule type="containsBlanks" dxfId="6" priority="8">
      <formula>LEN(TRIM(O15))=0</formula>
    </cfRule>
  </conditionalFormatting>
  <conditionalFormatting sqref="R15:S18 Z15:AE18 Z20:AE23 R20:S23 O26:X27 AA26:AB27 U29:AE30">
    <cfRule type="containsBlanks" dxfId="5" priority="4">
      <formula>LEN(TRIM(O15))=0</formula>
    </cfRule>
  </conditionalFormatting>
  <conditionalFormatting sqref="L1:M1">
    <cfRule type="containsBlanks" dxfId="4" priority="2">
      <formula>LEN(TRIM(L1))=0</formula>
    </cfRule>
  </conditionalFormatting>
  <conditionalFormatting sqref="D3:P4 D5:H5 J5:K5 M5:N5 T5:U5">
    <cfRule type="containsBlanks" dxfId="3" priority="1">
      <formula>LEN(TRIM(D3))=0</formula>
    </cfRule>
  </conditionalFormatting>
  <dataValidations count="16">
    <dataValidation type="list" showInputMessage="1" showErrorMessage="1" sqref="O29:T30">
      <formula1>"-,1x /24h,2x /24h,3x /24h,continu"</formula1>
    </dataValidation>
    <dataValidation type="list" showInputMessage="1" showErrorMessage="1" sqref="C20:K22">
      <formula1>produit_autres_médicaments</formula1>
    </dataValidation>
    <dataValidation type="list" showInputMessage="1" showErrorMessage="1" sqref="C15:K18">
      <formula1>Produit_per_os</formula1>
    </dataValidation>
    <dataValidation type="list" showInputMessage="1" showErrorMessage="1" sqref="C29:N30">
      <formula1>"-,KINESITHETRAPIE RESPIRATOIRE,KINESITHERAPIE POSTURALE,STIMULATION+$63:$63ORO-FACIALE,DRAINAGE PLEURAL"</formula1>
    </dataValidation>
    <dataValidation type="list" showInputMessage="1" showErrorMessage="1" sqref="C26:N27">
      <formula1>"-,SANG (concentré GR),PLAQUETTES,PLASMA FRAIS"</formula1>
    </dataValidation>
    <dataValidation type="list" allowBlank="1" showInputMessage="1" showErrorMessage="1" sqref="AF20:AG24 AF15:AG18 AF11:AG13">
      <formula1>#REF!</formula1>
    </dataValidation>
    <dataValidation type="list" showInputMessage="1" showErrorMessage="1" sqref="T11:Y12">
      <formula1>"-,Infusion libre,Infusion 30 min,Infusion 1h, Infusion 2h,Infusion continue, Sein,Sein / Biberon,Sein / Infusion libre,Biberon"</formula1>
    </dataValidation>
    <dataValidation type="list" showInputMessage="1" showErrorMessage="1" sqref="F11:K12 N11:S12">
      <formula1>"-,A JEUN,LAIT MATERNEL,LAIT MATERNEL + HMF 1%,LAIT MATERNEL + HMF 2%,LAIT MATERNEL + HMF 3%,LAIT MATERNEL + HMF 4%,LAIT MATERNEL CARTE,NAN HA1,NAN PRO 1,NUTRILON 1,NUTRILON EX PRÉMA,NUTRILON HA 1,PRENAN 1,PRENAN 2"</formula1>
    </dataValidation>
    <dataValidation type="list" allowBlank="1" showInputMessage="1" showErrorMessage="1" sqref="J8:T8">
      <formula1>"-,BiPAP nasale,CPAP nasale,VMC ,HFO ,OXYGÉNOTHÉRAPIE À HAUT DÉBIT,NO INHALÉ ,OXYGENE SOUS HOOD"</formula1>
    </dataValidation>
    <dataValidation type="list" allowBlank="1" showInputMessage="1" showErrorMessage="1" sqref="AF7:AG9">
      <formula1>"- , VMC, HFO, CPAP nasale, O2 à haut débit, "</formula1>
    </dataValidation>
    <dataValidation type="list" allowBlank="1" showInputMessage="1" showErrorMessage="1" sqref="Z11:AA12">
      <formula1>Enterale_Fréquence</formula1>
    </dataValidation>
    <dataValidation type="list" showInputMessage="1" showErrorMessage="1" sqref="X3">
      <formula1>"0,1,2,3,4,5,6"</formula1>
    </dataValidation>
    <dataValidation type="list" showInputMessage="1" showErrorMessage="1" sqref="T3:U3">
      <formula1>"23,24,25,26,27,28,29,30,31,32,33,34,35,36,37,38,39,40,41,42"</formula1>
    </dataValidation>
    <dataValidation type="list" showInputMessage="1" showErrorMessage="1" sqref="J7:T7">
      <formula1>"-,BiPAP nasale,CPAP nasale,VMC ,HFO ,OXYGÉNOTHÉRAPIE À HAUT DÉBIT,NO INHALÉ ,OXYGENE SOUS HOOD"</formula1>
    </dataValidation>
    <dataValidation type="list" allowBlank="1" showInputMessage="1" showErrorMessage="1" sqref="J9:R9">
      <formula1>"-,CUROSURF 120 mg/1,5 mL dose 1,CUROSURF 120 mg/1,5 mL dose 2,CUROSURF 120 mg/1,5 mL dose 3"</formula1>
    </dataValidation>
    <dataValidation type="list" showInputMessage="1" showErrorMessage="1" sqref="J9:R9">
      <formula1>"-,CUROSURF 120 mg/1.5 mL dose 1,CUROSURF 120 mg/1.5 mL dose 2,CUROSURF 120 mg/1.5 mL dose 3"</formula1>
    </dataValidation>
  </dataValidations>
  <pageMargins left="0.11811023622047245" right="0.11811023622047245" top="0.11811023622047245" bottom="0.11811023622047245" header="0" footer="0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rgb="FFFF0000"/>
    <outlinePr applyStyles="1"/>
  </sheetPr>
  <dimension ref="A1:BF76"/>
  <sheetViews>
    <sheetView tabSelected="1" topLeftCell="B31" zoomScale="110" zoomScaleNormal="110" workbookViewId="0">
      <selection activeCell="C40" sqref="C40:K40"/>
    </sheetView>
  </sheetViews>
  <sheetFormatPr baseColWidth="10" defaultColWidth="11.42578125" defaultRowHeight="15.75" outlineLevelRow="2"/>
  <cols>
    <col min="1" max="1" width="5.7109375" style="106" hidden="1" customWidth="1"/>
    <col min="2" max="2" width="2.42578125" style="113" customWidth="1"/>
    <col min="3" max="3" width="3" style="113" customWidth="1"/>
    <col min="4" max="16" width="3" style="107" customWidth="1"/>
    <col min="17" max="17" width="3.28515625" style="107" customWidth="1"/>
    <col min="18" max="31" width="3" style="107" customWidth="1"/>
    <col min="32" max="32" width="2.42578125" style="372" customWidth="1"/>
    <col min="33" max="33" width="2.140625" style="114" customWidth="1"/>
    <col min="34" max="34" width="2.140625" style="115" customWidth="1"/>
    <col min="35" max="35" width="2.140625" style="116" customWidth="1"/>
    <col min="36" max="36" width="2.140625" style="115" customWidth="1"/>
    <col min="37" max="37" width="2.140625" style="116" customWidth="1"/>
    <col min="38" max="38" width="2.140625" style="115" customWidth="1"/>
    <col min="39" max="39" width="2.140625" style="116" customWidth="1"/>
    <col min="40" max="40" width="2.140625" style="115" customWidth="1"/>
    <col min="41" max="41" width="2.140625" style="116" customWidth="1"/>
    <col min="42" max="42" width="2.140625" style="115" customWidth="1"/>
    <col min="43" max="43" width="2.140625" style="116" customWidth="1"/>
    <col min="44" max="44" width="2.140625" style="115" customWidth="1"/>
    <col min="45" max="45" width="2.140625" style="116" customWidth="1"/>
    <col min="46" max="46" width="2.140625" style="115" customWidth="1"/>
    <col min="47" max="47" width="2.140625" style="116" customWidth="1"/>
    <col min="48" max="48" width="2.140625" style="115" customWidth="1"/>
    <col min="49" max="49" width="2.140625" style="116" customWidth="1"/>
    <col min="50" max="50" width="2.140625" style="115" customWidth="1"/>
    <col min="51" max="51" width="2.140625" style="116" customWidth="1"/>
    <col min="52" max="52" width="2.140625" style="115" customWidth="1"/>
    <col min="53" max="53" width="2.140625" style="116" customWidth="1"/>
    <col min="54" max="54" width="2.140625" style="115" customWidth="1"/>
    <col min="55" max="55" width="2.140625" style="116" customWidth="1"/>
    <col min="56" max="56" width="2.140625" style="115" customWidth="1"/>
    <col min="57" max="16384" width="11.42578125" style="106"/>
  </cols>
  <sheetData>
    <row r="1" spans="2:56" ht="23.25" customHeight="1" thickBot="1">
      <c r="B1" s="967" t="s">
        <v>540</v>
      </c>
      <c r="C1" s="968"/>
      <c r="D1" s="968"/>
      <c r="E1" s="968"/>
      <c r="F1" s="968"/>
      <c r="G1" s="968"/>
      <c r="H1" s="864"/>
      <c r="I1" s="864"/>
      <c r="J1" s="864"/>
      <c r="K1" s="864"/>
      <c r="L1" s="864"/>
      <c r="M1" s="968" t="str">
        <f>IF(O1="","","au")</f>
        <v/>
      </c>
      <c r="N1" s="968"/>
      <c r="O1" s="971"/>
      <c r="P1" s="972"/>
      <c r="Q1" s="972"/>
      <c r="R1" s="972"/>
      <c r="S1" s="973"/>
      <c r="U1" s="969" t="s">
        <v>526</v>
      </c>
      <c r="V1" s="970"/>
      <c r="W1" s="970"/>
      <c r="X1" s="970"/>
      <c r="Y1" s="970"/>
      <c r="Z1" s="970"/>
      <c r="AA1" s="970"/>
      <c r="AB1" s="970"/>
      <c r="AC1" s="301" t="s">
        <v>525</v>
      </c>
      <c r="AD1" s="942"/>
      <c r="AE1" s="943"/>
      <c r="AF1" s="837" t="s">
        <v>572</v>
      </c>
      <c r="AG1" s="838"/>
      <c r="AH1" s="838"/>
      <c r="AI1" s="841" t="str">
        <f>IF(O1="","",H1)</f>
        <v/>
      </c>
      <c r="AJ1" s="841"/>
      <c r="AK1" s="841"/>
      <c r="AL1" s="841"/>
      <c r="AM1" s="841"/>
      <c r="AN1" s="841"/>
      <c r="AO1" s="841"/>
      <c r="AP1" s="842"/>
      <c r="AQ1" s="839" t="s">
        <v>573</v>
      </c>
      <c r="AR1" s="840"/>
      <c r="AS1" s="840"/>
      <c r="AT1" s="843" t="str">
        <f>IF(O1="",IF(H1="","",H1),O1)</f>
        <v/>
      </c>
      <c r="AU1" s="843"/>
      <c r="AV1" s="843"/>
      <c r="AW1" s="843"/>
      <c r="AX1" s="843"/>
      <c r="AY1" s="843"/>
      <c r="AZ1" s="843"/>
      <c r="BA1" s="843"/>
      <c r="BB1" s="843"/>
      <c r="BC1" s="843"/>
      <c r="BD1" s="844"/>
    </row>
    <row r="2" spans="2:56" ht="6.6" customHeight="1">
      <c r="B2" s="955"/>
      <c r="C2" s="956"/>
      <c r="D2" s="956"/>
      <c r="E2" s="956"/>
      <c r="F2" s="956"/>
      <c r="G2" s="956"/>
      <c r="H2" s="956"/>
      <c r="I2" s="956"/>
      <c r="J2" s="956"/>
      <c r="K2" s="956"/>
      <c r="L2" s="956"/>
      <c r="M2" s="956"/>
      <c r="N2" s="956"/>
      <c r="O2" s="956"/>
      <c r="P2" s="956"/>
      <c r="Q2" s="956"/>
      <c r="R2" s="956"/>
      <c r="S2" s="956"/>
      <c r="T2" s="957"/>
      <c r="U2" s="957"/>
      <c r="V2" s="957"/>
      <c r="W2" s="957"/>
      <c r="X2" s="957"/>
      <c r="Y2" s="957"/>
      <c r="Z2" s="957"/>
      <c r="AA2" s="957"/>
      <c r="AB2" s="957"/>
      <c r="AC2" s="957"/>
      <c r="AD2" s="957"/>
      <c r="AE2" s="958"/>
      <c r="AF2" s="365"/>
      <c r="AG2" s="157"/>
      <c r="AH2" s="793" t="s">
        <v>811</v>
      </c>
      <c r="AI2" s="794"/>
      <c r="AJ2" s="794"/>
      <c r="AK2" s="794"/>
      <c r="AL2" s="794"/>
      <c r="AM2" s="794"/>
      <c r="AN2" s="794"/>
      <c r="AO2" s="794"/>
      <c r="AP2" s="493"/>
      <c r="AQ2" s="797"/>
      <c r="AR2" s="797"/>
      <c r="AS2" s="797"/>
      <c r="AT2" s="797"/>
      <c r="AU2" s="797"/>
      <c r="AV2" s="797"/>
      <c r="AW2" s="797"/>
      <c r="AX2" s="797"/>
      <c r="AY2" s="797"/>
      <c r="AZ2" s="797"/>
      <c r="BA2" s="797"/>
      <c r="BB2" s="797"/>
      <c r="BC2" s="797"/>
      <c r="BD2" s="798"/>
    </row>
    <row r="3" spans="2:56" ht="18" customHeight="1" thickBot="1">
      <c r="B3" s="959" t="s">
        <v>275</v>
      </c>
      <c r="C3" s="959"/>
      <c r="D3" s="865"/>
      <c r="E3" s="866"/>
      <c r="F3" s="866"/>
      <c r="G3" s="866"/>
      <c r="H3" s="866"/>
      <c r="I3" s="866"/>
      <c r="J3" s="866"/>
      <c r="K3" s="866"/>
      <c r="L3" s="866"/>
      <c r="M3" s="866"/>
      <c r="N3" s="866"/>
      <c r="O3" s="866"/>
      <c r="P3" s="866"/>
      <c r="Q3" s="964" t="s">
        <v>529</v>
      </c>
      <c r="R3" s="964"/>
      <c r="S3" s="964"/>
      <c r="T3" s="822"/>
      <c r="U3" s="823"/>
      <c r="V3" s="962" t="s">
        <v>0</v>
      </c>
      <c r="W3" s="963"/>
      <c r="X3" s="497"/>
      <c r="Y3" s="344" t="s">
        <v>301</v>
      </c>
      <c r="Z3" s="863" t="s">
        <v>527</v>
      </c>
      <c r="AA3" s="863"/>
      <c r="AB3" s="863"/>
      <c r="AC3" s="863"/>
      <c r="AD3" s="903" t="str">
        <f>IF(D5="","",H1-D5+1)</f>
        <v/>
      </c>
      <c r="AE3" s="904"/>
      <c r="AF3" s="366"/>
      <c r="AG3" s="334"/>
      <c r="AH3" s="795"/>
      <c r="AI3" s="796"/>
      <c r="AJ3" s="796"/>
      <c r="AK3" s="796"/>
      <c r="AL3" s="796"/>
      <c r="AM3" s="796"/>
      <c r="AN3" s="796"/>
      <c r="AO3" s="796"/>
      <c r="AP3" s="494"/>
      <c r="AQ3" s="799"/>
      <c r="AR3" s="799"/>
      <c r="AS3" s="799"/>
      <c r="AT3" s="799"/>
      <c r="AU3" s="799"/>
      <c r="AV3" s="799"/>
      <c r="AW3" s="799"/>
      <c r="AX3" s="799"/>
      <c r="AY3" s="799"/>
      <c r="AZ3" s="799"/>
      <c r="BA3" s="799"/>
      <c r="BB3" s="799"/>
      <c r="BC3" s="799"/>
      <c r="BD3" s="800"/>
    </row>
    <row r="4" spans="2:56" s="108" customFormat="1" ht="18" customHeight="1">
      <c r="B4" s="959"/>
      <c r="C4" s="959"/>
      <c r="D4" s="866"/>
      <c r="E4" s="866"/>
      <c r="F4" s="866"/>
      <c r="G4" s="866"/>
      <c r="H4" s="866"/>
      <c r="I4" s="866"/>
      <c r="J4" s="866"/>
      <c r="K4" s="866"/>
      <c r="L4" s="866"/>
      <c r="M4" s="866"/>
      <c r="N4" s="866"/>
      <c r="O4" s="866"/>
      <c r="P4" s="866"/>
      <c r="Q4" s="964" t="s">
        <v>530</v>
      </c>
      <c r="R4" s="964"/>
      <c r="S4" s="964"/>
      <c r="T4" s="960"/>
      <c r="U4" s="961"/>
      <c r="V4" s="342" t="s">
        <v>191</v>
      </c>
      <c r="W4" s="343"/>
      <c r="X4" s="345"/>
      <c r="Y4" s="375"/>
      <c r="Z4" s="802" t="s">
        <v>528</v>
      </c>
      <c r="AA4" s="803"/>
      <c r="AB4" s="803"/>
      <c r="AC4" s="803"/>
      <c r="AD4" s="803"/>
      <c r="AE4" s="804"/>
      <c r="AF4" s="365"/>
      <c r="AG4" s="808" t="s">
        <v>709</v>
      </c>
      <c r="AH4" s="808"/>
      <c r="AI4" s="808"/>
      <c r="AJ4" s="808"/>
      <c r="AK4" s="808"/>
      <c r="AL4" s="808"/>
      <c r="AM4" s="808"/>
      <c r="AN4" s="808"/>
      <c r="AO4" s="809"/>
      <c r="AP4" s="810" t="s">
        <v>709</v>
      </c>
      <c r="AQ4" s="811"/>
      <c r="AR4" s="811"/>
      <c r="AS4" s="811"/>
      <c r="AT4" s="811"/>
      <c r="AU4" s="811"/>
      <c r="AV4" s="811"/>
      <c r="AW4" s="812"/>
      <c r="AX4" s="813" t="s">
        <v>710</v>
      </c>
      <c r="AY4" s="811"/>
      <c r="AZ4" s="811"/>
      <c r="BA4" s="811"/>
      <c r="BB4" s="811"/>
      <c r="BC4" s="811"/>
      <c r="BD4" s="814"/>
    </row>
    <row r="5" spans="2:56" s="108" customFormat="1" ht="18" customHeight="1" thickBot="1">
      <c r="B5" s="1244" t="s">
        <v>276</v>
      </c>
      <c r="C5" s="1244"/>
      <c r="D5" s="867"/>
      <c r="E5" s="867"/>
      <c r="F5" s="867"/>
      <c r="G5" s="867"/>
      <c r="H5" s="867"/>
      <c r="I5" s="356" t="s">
        <v>401</v>
      </c>
      <c r="J5" s="821"/>
      <c r="K5" s="821"/>
      <c r="L5" s="357" t="s">
        <v>402</v>
      </c>
      <c r="M5" s="821"/>
      <c r="N5" s="821"/>
      <c r="O5" s="826" t="s">
        <v>403</v>
      </c>
      <c r="P5" s="826"/>
      <c r="Q5" s="1241" t="s">
        <v>531</v>
      </c>
      <c r="R5" s="1241"/>
      <c r="S5" s="1241"/>
      <c r="T5" s="965" t="str">
        <f>IF(T3="","",IF(D5="","",SUM(T3,ROUNDDOWN((AD3+X3)/7,0))))</f>
        <v/>
      </c>
      <c r="U5" s="966"/>
      <c r="V5" s="861" t="s">
        <v>0</v>
      </c>
      <c r="W5" s="862"/>
      <c r="X5" s="358" t="str">
        <f>IF(D5="","",MOD((AD3+X3-1),7))</f>
        <v/>
      </c>
      <c r="Y5" s="359" t="s">
        <v>301</v>
      </c>
      <c r="Z5" s="376"/>
      <c r="AA5" s="1259"/>
      <c r="AB5" s="1260"/>
      <c r="AC5" s="1260"/>
      <c r="AD5" s="378" t="s">
        <v>191</v>
      </c>
      <c r="AE5" s="377"/>
      <c r="AF5" s="367"/>
      <c r="AG5" s="327"/>
      <c r="AH5" s="328"/>
      <c r="AI5" s="328"/>
      <c r="AJ5" s="328"/>
      <c r="AK5" s="328"/>
      <c r="AL5" s="328"/>
      <c r="AM5" s="328"/>
      <c r="AN5" s="328"/>
      <c r="AO5" s="409"/>
      <c r="AP5" s="406"/>
      <c r="AQ5" s="328"/>
      <c r="AR5" s="328"/>
      <c r="AS5" s="328"/>
      <c r="AT5" s="328"/>
      <c r="AU5" s="328"/>
      <c r="AV5" s="328"/>
      <c r="AW5" s="328"/>
      <c r="AX5" s="341"/>
      <c r="AY5" s="328"/>
      <c r="AZ5" s="328"/>
      <c r="BA5" s="328"/>
      <c r="BB5" s="328"/>
      <c r="BC5" s="328"/>
      <c r="BD5" s="335"/>
    </row>
    <row r="6" spans="2:56" s="108" customFormat="1" ht="12" customHeight="1" thickTop="1">
      <c r="B6" s="1253" t="s">
        <v>551</v>
      </c>
      <c r="C6" s="1254"/>
      <c r="D6" s="1254"/>
      <c r="E6" s="1254"/>
      <c r="F6" s="1254"/>
      <c r="G6" s="1254"/>
      <c r="H6" s="1254"/>
      <c r="I6" s="1255"/>
      <c r="J6" s="1180" t="s">
        <v>621</v>
      </c>
      <c r="K6" s="1180"/>
      <c r="L6" s="1180"/>
      <c r="M6" s="1180"/>
      <c r="N6" s="1180"/>
      <c r="O6" s="1180"/>
      <c r="P6" s="1180"/>
      <c r="Q6" s="1180"/>
      <c r="R6" s="1180"/>
      <c r="S6" s="1180"/>
      <c r="T6" s="1180"/>
      <c r="U6" s="1180" t="s">
        <v>9</v>
      </c>
      <c r="V6" s="1180"/>
      <c r="W6" s="1180"/>
      <c r="X6" s="1180"/>
      <c r="Y6" s="1180"/>
      <c r="Z6" s="1180"/>
      <c r="AA6" s="1239"/>
      <c r="AB6" s="1239"/>
      <c r="AC6" s="1239"/>
      <c r="AD6" s="1239"/>
      <c r="AE6" s="1240"/>
      <c r="AF6" s="368" t="s">
        <v>188</v>
      </c>
      <c r="AG6" s="303">
        <v>14</v>
      </c>
      <c r="AH6" s="302"/>
      <c r="AI6" s="303">
        <v>16</v>
      </c>
      <c r="AJ6" s="302"/>
      <c r="AK6" s="303">
        <v>18</v>
      </c>
      <c r="AL6" s="302"/>
      <c r="AM6" s="303">
        <v>20</v>
      </c>
      <c r="AN6" s="302"/>
      <c r="AO6" s="410">
        <v>22</v>
      </c>
      <c r="AP6" s="407"/>
      <c r="AQ6" s="380">
        <v>0</v>
      </c>
      <c r="AR6" s="302"/>
      <c r="AS6" s="303">
        <v>2</v>
      </c>
      <c r="AT6" s="302"/>
      <c r="AU6" s="303">
        <v>4</v>
      </c>
      <c r="AV6" s="302"/>
      <c r="AW6" s="312">
        <v>6</v>
      </c>
      <c r="AX6" s="337"/>
      <c r="AY6" s="303">
        <v>8</v>
      </c>
      <c r="AZ6" s="302"/>
      <c r="BA6" s="303">
        <v>10</v>
      </c>
      <c r="BB6" s="302"/>
      <c r="BC6" s="303">
        <v>12</v>
      </c>
      <c r="BD6" s="315"/>
    </row>
    <row r="7" spans="2:56" ht="16.7" customHeight="1">
      <c r="B7" s="1256"/>
      <c r="C7" s="1257"/>
      <c r="D7" s="1257"/>
      <c r="E7" s="1257"/>
      <c r="F7" s="1257"/>
      <c r="G7" s="1257"/>
      <c r="H7" s="1257"/>
      <c r="I7" s="1258"/>
      <c r="J7" s="1011"/>
      <c r="K7" s="1012"/>
      <c r="L7" s="1012"/>
      <c r="M7" s="1012"/>
      <c r="N7" s="1012"/>
      <c r="O7" s="1012"/>
      <c r="P7" s="1012"/>
      <c r="Q7" s="1012"/>
      <c r="R7" s="1012"/>
      <c r="S7" s="1012"/>
      <c r="T7" s="944"/>
      <c r="U7" s="945"/>
      <c r="V7" s="945"/>
      <c r="W7" s="945"/>
      <c r="X7" s="945"/>
      <c r="Y7" s="945"/>
      <c r="Z7" s="945"/>
      <c r="AA7" s="945"/>
      <c r="AB7" s="945"/>
      <c r="AC7" s="945"/>
      <c r="AD7" s="945"/>
      <c r="AE7" s="946"/>
      <c r="AF7" s="369"/>
      <c r="AG7" s="311"/>
      <c r="AH7" s="304"/>
      <c r="AI7" s="305"/>
      <c r="AJ7" s="304"/>
      <c r="AK7" s="305"/>
      <c r="AL7" s="304"/>
      <c r="AM7" s="305"/>
      <c r="AN7" s="304"/>
      <c r="AO7" s="411"/>
      <c r="AP7" s="408"/>
      <c r="AQ7" s="381"/>
      <c r="AR7" s="304"/>
      <c r="AS7" s="305"/>
      <c r="AT7" s="304"/>
      <c r="AU7" s="305"/>
      <c r="AV7" s="304"/>
      <c r="AW7" s="313"/>
      <c r="AX7" s="338"/>
      <c r="AY7" s="305"/>
      <c r="AZ7" s="304"/>
      <c r="BA7" s="305"/>
      <c r="BB7" s="304"/>
      <c r="BC7" s="305"/>
      <c r="BD7" s="316"/>
    </row>
    <row r="8" spans="2:56" ht="16.7" customHeight="1">
      <c r="B8" s="1250"/>
      <c r="C8" s="1251"/>
      <c r="D8" s="1251"/>
      <c r="E8" s="1251"/>
      <c r="F8" s="1251"/>
      <c r="G8" s="1251"/>
      <c r="H8" s="1251"/>
      <c r="I8" s="1252"/>
      <c r="J8" s="1011"/>
      <c r="K8" s="1012"/>
      <c r="L8" s="1012"/>
      <c r="M8" s="1012"/>
      <c r="N8" s="1012"/>
      <c r="O8" s="1012"/>
      <c r="P8" s="1012"/>
      <c r="Q8" s="1012"/>
      <c r="R8" s="1012"/>
      <c r="S8" s="1012"/>
      <c r="T8" s="944"/>
      <c r="U8" s="945"/>
      <c r="V8" s="945"/>
      <c r="W8" s="945"/>
      <c r="X8" s="945"/>
      <c r="Y8" s="945"/>
      <c r="Z8" s="945"/>
      <c r="AA8" s="945"/>
      <c r="AB8" s="945"/>
      <c r="AC8" s="945"/>
      <c r="AD8" s="945"/>
      <c r="AE8" s="946"/>
      <c r="AF8" s="369"/>
      <c r="AG8" s="311"/>
      <c r="AH8" s="304"/>
      <c r="AI8" s="305"/>
      <c r="AJ8" s="304"/>
      <c r="AK8" s="305"/>
      <c r="AL8" s="304"/>
      <c r="AM8" s="305"/>
      <c r="AN8" s="304"/>
      <c r="AO8" s="411"/>
      <c r="AP8" s="408"/>
      <c r="AQ8" s="381"/>
      <c r="AR8" s="304"/>
      <c r="AS8" s="305"/>
      <c r="AT8" s="304"/>
      <c r="AU8" s="305"/>
      <c r="AV8" s="304"/>
      <c r="AW8" s="313"/>
      <c r="AX8" s="338"/>
      <c r="AY8" s="305"/>
      <c r="AZ8" s="304"/>
      <c r="BA8" s="305"/>
      <c r="BB8" s="304"/>
      <c r="BC8" s="305"/>
      <c r="BD8" s="316"/>
    </row>
    <row r="9" spans="2:56" ht="19.899999999999999" customHeight="1" thickBot="1">
      <c r="B9" s="1236"/>
      <c r="C9" s="1237"/>
      <c r="D9" s="1237"/>
      <c r="E9" s="1237"/>
      <c r="F9" s="1237"/>
      <c r="G9" s="1237"/>
      <c r="H9" s="1237"/>
      <c r="I9" s="1238"/>
      <c r="J9" s="1204" t="s">
        <v>768</v>
      </c>
      <c r="K9" s="1205"/>
      <c r="L9" s="1205"/>
      <c r="M9" s="1205"/>
      <c r="N9" s="1205"/>
      <c r="O9" s="1205"/>
      <c r="P9" s="1205"/>
      <c r="Q9" s="1205"/>
      <c r="R9" s="1205"/>
      <c r="S9" s="1205"/>
      <c r="T9" s="824"/>
      <c r="U9" s="825"/>
      <c r="V9" s="1242" t="str">
        <f>IF(OR(J9="CUROSURF 120 mg/1.5 mL dose 1",J9="CUROSURF 120 mg/1.5 mL dose 2",J9="CUROSURF 120 mg/1.5 mL dose 3"),"mg","")</f>
        <v/>
      </c>
      <c r="W9" s="1243"/>
      <c r="X9" s="1245" t="str">
        <f>IF(J9="","",IF(J9="-","","trachée"))</f>
        <v/>
      </c>
      <c r="Y9" s="1245"/>
      <c r="Z9" s="1246"/>
      <c r="AA9" s="1247" t="str">
        <f>IF(X9="trachée","…… flacon(s) de 120mg …...flacons de 240mg","")</f>
        <v/>
      </c>
      <c r="AB9" s="1248"/>
      <c r="AC9" s="1248"/>
      <c r="AD9" s="1248"/>
      <c r="AE9" s="1249"/>
      <c r="AF9" s="369"/>
      <c r="AG9" s="311"/>
      <c r="AH9" s="304"/>
      <c r="AI9" s="305"/>
      <c r="AJ9" s="304"/>
      <c r="AK9" s="305"/>
      <c r="AL9" s="304"/>
      <c r="AM9" s="305"/>
      <c r="AN9" s="304"/>
      <c r="AO9" s="411"/>
      <c r="AP9" s="408"/>
      <c r="AQ9" s="381"/>
      <c r="AR9" s="304"/>
      <c r="AS9" s="305"/>
      <c r="AT9" s="304"/>
      <c r="AU9" s="305"/>
      <c r="AV9" s="304"/>
      <c r="AW9" s="313"/>
      <c r="AX9" s="338"/>
      <c r="AY9" s="305"/>
      <c r="AZ9" s="304"/>
      <c r="BA9" s="305"/>
      <c r="BB9" s="304"/>
      <c r="BC9" s="305"/>
      <c r="BD9" s="316"/>
    </row>
    <row r="10" spans="2:56" ht="17.25" customHeight="1" thickTop="1">
      <c r="B10" s="1293" t="s">
        <v>829</v>
      </c>
      <c r="C10" s="1293"/>
      <c r="D10" s="1293"/>
      <c r="E10" s="1293"/>
      <c r="F10" s="1293"/>
      <c r="G10" s="1293"/>
      <c r="H10" s="1293"/>
      <c r="I10" s="1293"/>
      <c r="J10" s="506"/>
      <c r="K10" s="501"/>
      <c r="L10" s="506"/>
      <c r="M10" s="506"/>
      <c r="N10" s="501"/>
      <c r="O10" s="501"/>
      <c r="P10" s="501"/>
      <c r="Q10" s="501"/>
      <c r="R10" s="501"/>
      <c r="S10" s="501"/>
      <c r="T10" s="507"/>
      <c r="U10" s="507"/>
      <c r="V10" s="502"/>
      <c r="W10" s="502"/>
      <c r="X10" s="503"/>
      <c r="Y10" s="503"/>
      <c r="Z10" s="503"/>
      <c r="AA10" s="504"/>
      <c r="AB10" s="504"/>
      <c r="AC10" s="504"/>
      <c r="AD10" s="504"/>
      <c r="AE10" s="504"/>
      <c r="AF10" s="508"/>
      <c r="AG10" s="505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Y10" s="176"/>
      <c r="AZ10" s="176"/>
      <c r="BA10" s="176"/>
      <c r="BB10" s="176"/>
      <c r="BC10" s="176"/>
      <c r="BD10" s="509"/>
    </row>
    <row r="11" spans="2:56" ht="19.5" customHeight="1" thickBot="1">
      <c r="B11" s="801" t="s">
        <v>828</v>
      </c>
      <c r="C11" s="801"/>
      <c r="D11" s="801"/>
      <c r="E11" s="815" t="s">
        <v>649</v>
      </c>
      <c r="F11" s="815"/>
      <c r="G11" s="815"/>
      <c r="H11" s="816" t="str">
        <f>IF(AA5="","0",L17+L12)</f>
        <v>0</v>
      </c>
      <c r="I11" s="816"/>
      <c r="J11" s="817" t="s">
        <v>650</v>
      </c>
      <c r="K11" s="817"/>
      <c r="L11" s="817"/>
      <c r="M11" s="454"/>
      <c r="N11" s="818" t="s">
        <v>336</v>
      </c>
      <c r="O11" s="818"/>
      <c r="P11" s="818"/>
      <c r="Q11" s="819" t="str">
        <f>IF(AA5="","0",T17+T12)</f>
        <v>0</v>
      </c>
      <c r="R11" s="819"/>
      <c r="S11" s="818" t="s">
        <v>651</v>
      </c>
      <c r="T11" s="818"/>
      <c r="U11" s="454"/>
      <c r="V11" s="820" t="s">
        <v>712</v>
      </c>
      <c r="W11" s="820"/>
      <c r="X11" s="820"/>
      <c r="Y11" s="819" t="str">
        <f>IF(AA5="","0",(Apports!E26+Apports!E34+Apports!E43)/AA5*1000)</f>
        <v>0</v>
      </c>
      <c r="Z11" s="819"/>
      <c r="AA11" s="818" t="s">
        <v>651</v>
      </c>
      <c r="AB11" s="818"/>
      <c r="AC11" s="456"/>
      <c r="AD11" s="817" t="s">
        <v>713</v>
      </c>
      <c r="AE11" s="817"/>
      <c r="AF11" s="805" t="str">
        <f>IF(AA5="","0",(Apports!F26+Apports!F34+Apports!F43)/AA5*1000)</f>
        <v>0</v>
      </c>
      <c r="AG11" s="805"/>
      <c r="AH11" s="1290" t="s">
        <v>651</v>
      </c>
      <c r="AI11" s="1290"/>
      <c r="AJ11" s="1290"/>
      <c r="AK11" s="109"/>
      <c r="AL11" s="806" t="s">
        <v>653</v>
      </c>
      <c r="AM11" s="806"/>
      <c r="AN11" s="806"/>
      <c r="AO11" s="807" t="str">
        <f>IF(AA5="","0",AA17+AA12)</f>
        <v>0</v>
      </c>
      <c r="AP11" s="807"/>
      <c r="AQ11" s="807"/>
      <c r="AR11" s="1291" t="s">
        <v>652</v>
      </c>
      <c r="AS11" s="1291"/>
      <c r="AT11" s="1291"/>
      <c r="AU11" s="1291"/>
      <c r="AV11" s="455"/>
      <c r="AW11" s="1291" t="s">
        <v>714</v>
      </c>
      <c r="AX11" s="1291"/>
      <c r="AY11" s="806" t="str">
        <f>IF(AA5="","0",(Apports!G26+Apports!G34+Apports!G43)/AA5*1000)</f>
        <v>0</v>
      </c>
      <c r="AZ11" s="806"/>
      <c r="BA11" s="1290" t="s">
        <v>715</v>
      </c>
      <c r="BB11" s="1290"/>
      <c r="BC11" s="1290"/>
      <c r="BD11" s="1292"/>
    </row>
    <row r="12" spans="2:56" ht="18" customHeight="1" thickTop="1">
      <c r="B12" s="1266" t="s">
        <v>553</v>
      </c>
      <c r="C12" s="1267"/>
      <c r="D12" s="1267"/>
      <c r="E12" s="1267"/>
      <c r="F12" s="1267"/>
      <c r="G12" s="1267"/>
      <c r="H12" s="1267"/>
      <c r="I12" s="1267"/>
      <c r="J12" s="396" t="s">
        <v>649</v>
      </c>
      <c r="K12" s="396"/>
      <c r="L12" s="905" t="str">
        <f>IF(AA5="","0",SUM(T14*V14,T15*V15)/AA5*1000)</f>
        <v>0</v>
      </c>
      <c r="M12" s="905"/>
      <c r="N12" s="396" t="s">
        <v>650</v>
      </c>
      <c r="O12" s="396"/>
      <c r="P12" s="396"/>
      <c r="Q12" s="396" t="s">
        <v>336</v>
      </c>
      <c r="R12" s="396"/>
      <c r="S12" s="396"/>
      <c r="T12" s="906" t="str">
        <f>IF(AA5="","0",IF(OR(REA!F14="LAIT de MERE CARTE",REA!F15="LAIT de MERE CARTE"),4.3,Apports!C43/REA!AA5*1000))</f>
        <v>0</v>
      </c>
      <c r="U12" s="906"/>
      <c r="V12" s="396" t="s">
        <v>651</v>
      </c>
      <c r="W12" s="396"/>
      <c r="X12" s="396"/>
      <c r="Y12" s="396" t="s">
        <v>653</v>
      </c>
      <c r="Z12" s="396"/>
      <c r="AA12" s="906" t="str">
        <f>IF(AA5="","0",IF(OR(REA!F14="LAIT de MERE CARTE",REA!F15="LAIT de MERE CARTE"),"140",Apports!D43/REA!AA5*1000))</f>
        <v>0</v>
      </c>
      <c r="AB12" s="906"/>
      <c r="AC12" s="396" t="s">
        <v>652</v>
      </c>
      <c r="AD12" s="396"/>
      <c r="AE12" s="397"/>
      <c r="AF12" s="368" t="s">
        <v>188</v>
      </c>
      <c r="AG12" s="513"/>
      <c r="AH12" s="514"/>
      <c r="AI12" s="848" t="s">
        <v>543</v>
      </c>
      <c r="AJ12" s="849"/>
      <c r="AK12" s="849"/>
      <c r="AL12" s="850"/>
      <c r="AM12" s="850"/>
      <c r="AN12" s="850"/>
      <c r="AO12" s="851"/>
      <c r="AP12" s="415"/>
      <c r="AQ12" s="515"/>
      <c r="AR12" s="516"/>
      <c r="AS12" s="515"/>
      <c r="AT12" s="517"/>
      <c r="AU12" s="848" t="s">
        <v>543</v>
      </c>
      <c r="AV12" s="849"/>
      <c r="AW12" s="849"/>
      <c r="AX12" s="850"/>
      <c r="AY12" s="850"/>
      <c r="AZ12" s="850"/>
      <c r="BA12" s="1155"/>
      <c r="BB12" s="515"/>
      <c r="BC12" s="515"/>
      <c r="BD12" s="331"/>
    </row>
    <row r="13" spans="2:56" ht="13.15" customHeight="1">
      <c r="B13" s="1303"/>
      <c r="C13" s="1314"/>
      <c r="D13" s="1314"/>
      <c r="E13" s="1314"/>
      <c r="F13" s="853" t="s">
        <v>574</v>
      </c>
      <c r="G13" s="853"/>
      <c r="H13" s="853"/>
      <c r="I13" s="853"/>
      <c r="J13" s="853"/>
      <c r="K13" s="853"/>
      <c r="L13" s="853"/>
      <c r="M13" s="853"/>
      <c r="N13" s="859" t="s">
        <v>577</v>
      </c>
      <c r="O13" s="860"/>
      <c r="P13" s="860"/>
      <c r="Q13" s="860"/>
      <c r="R13" s="860"/>
      <c r="S13" s="860"/>
      <c r="T13" s="947" t="s">
        <v>575</v>
      </c>
      <c r="U13" s="833"/>
      <c r="V13" s="833"/>
      <c r="W13" s="948"/>
      <c r="X13" s="852" t="s">
        <v>9</v>
      </c>
      <c r="Y13" s="853"/>
      <c r="Z13" s="853"/>
      <c r="AA13" s="853"/>
      <c r="AB13" s="853"/>
      <c r="AC13" s="853"/>
      <c r="AD13" s="853"/>
      <c r="AE13" s="854"/>
      <c r="AF13" s="370"/>
      <c r="AG13" s="480"/>
      <c r="AH13" s="324"/>
      <c r="AI13" s="329"/>
      <c r="AJ13" s="324"/>
      <c r="AK13" s="329"/>
      <c r="AL13" s="324"/>
      <c r="AM13" s="329"/>
      <c r="AN13" s="324"/>
      <c r="AO13" s="416"/>
      <c r="AP13" s="412"/>
      <c r="AQ13" s="329"/>
      <c r="AR13" s="324"/>
      <c r="AS13" s="330"/>
      <c r="AT13" s="324"/>
      <c r="AU13" s="330"/>
      <c r="AV13" s="324"/>
      <c r="AW13" s="330"/>
      <c r="AX13" s="339"/>
      <c r="AY13" s="329"/>
      <c r="AZ13" s="324"/>
      <c r="BA13" s="329"/>
      <c r="BB13" s="324"/>
      <c r="BC13" s="329"/>
      <c r="BD13" s="331"/>
    </row>
    <row r="14" spans="2:56" ht="19.149999999999999" customHeight="1">
      <c r="B14" s="1303"/>
      <c r="C14" s="1314"/>
      <c r="D14" s="1314"/>
      <c r="E14" s="1314"/>
      <c r="F14" s="1312"/>
      <c r="G14" s="1312"/>
      <c r="H14" s="1312"/>
      <c r="I14" s="1312"/>
      <c r="J14" s="1312"/>
      <c r="K14" s="1312"/>
      <c r="L14" s="1312"/>
      <c r="M14" s="1312"/>
      <c r="N14" s="1315"/>
      <c r="O14" s="1316"/>
      <c r="P14" s="1316"/>
      <c r="Q14" s="1316"/>
      <c r="R14" s="1316"/>
      <c r="S14" s="1316"/>
      <c r="T14" s="355"/>
      <c r="U14" s="353" t="str">
        <f>IF(T14="","","x")</f>
        <v/>
      </c>
      <c r="V14" s="394"/>
      <c r="W14" s="361" t="str">
        <f>IF(V14="","","mL")</f>
        <v/>
      </c>
      <c r="X14" s="855"/>
      <c r="Y14" s="855"/>
      <c r="Z14" s="855"/>
      <c r="AA14" s="855"/>
      <c r="AB14" s="855"/>
      <c r="AC14" s="855"/>
      <c r="AD14" s="855"/>
      <c r="AE14" s="856"/>
      <c r="AF14" s="370"/>
      <c r="AG14" s="480"/>
      <c r="AH14" s="324"/>
      <c r="AI14" s="329"/>
      <c r="AJ14" s="324"/>
      <c r="AK14" s="329"/>
      <c r="AL14" s="324"/>
      <c r="AM14" s="329"/>
      <c r="AN14" s="324"/>
      <c r="AO14" s="416"/>
      <c r="AP14" s="412"/>
      <c r="AQ14" s="329"/>
      <c r="AR14" s="324"/>
      <c r="AS14" s="330"/>
      <c r="AT14" s="324"/>
      <c r="AU14" s="330"/>
      <c r="AV14" s="324"/>
      <c r="AW14" s="330"/>
      <c r="AX14" s="339"/>
      <c r="AY14" s="329"/>
      <c r="AZ14" s="324"/>
      <c r="BA14" s="329"/>
      <c r="BB14" s="324"/>
      <c r="BC14" s="329"/>
      <c r="BD14" s="331"/>
    </row>
    <row r="15" spans="2:56" ht="19.149999999999999" customHeight="1" thickBot="1">
      <c r="B15" s="1304"/>
      <c r="C15" s="1265" t="s">
        <v>716</v>
      </c>
      <c r="D15" s="1265"/>
      <c r="E15" s="1265"/>
      <c r="F15" s="1313"/>
      <c r="G15" s="1313"/>
      <c r="H15" s="1313"/>
      <c r="I15" s="1313"/>
      <c r="J15" s="1313"/>
      <c r="K15" s="1313"/>
      <c r="L15" s="1313"/>
      <c r="M15" s="1313"/>
      <c r="N15" s="1317"/>
      <c r="O15" s="1318"/>
      <c r="P15" s="1318"/>
      <c r="Q15" s="1318"/>
      <c r="R15" s="1318"/>
      <c r="S15" s="1318"/>
      <c r="T15" s="362"/>
      <c r="U15" s="363" t="str">
        <f>IF(T15="","","x")</f>
        <v/>
      </c>
      <c r="V15" s="395"/>
      <c r="W15" s="364" t="str">
        <f>IF(V15="","","mL")</f>
        <v/>
      </c>
      <c r="X15" s="857"/>
      <c r="Y15" s="857"/>
      <c r="Z15" s="857"/>
      <c r="AA15" s="857"/>
      <c r="AB15" s="857"/>
      <c r="AC15" s="857"/>
      <c r="AD15" s="857"/>
      <c r="AE15" s="858"/>
      <c r="AF15" s="370"/>
      <c r="AG15" s="480"/>
      <c r="AH15" s="324"/>
      <c r="AI15" s="329"/>
      <c r="AJ15" s="324"/>
      <c r="AK15" s="329"/>
      <c r="AL15" s="324"/>
      <c r="AM15" s="329"/>
      <c r="AN15" s="324"/>
      <c r="AO15" s="416"/>
      <c r="AP15" s="412"/>
      <c r="AQ15" s="329"/>
      <c r="AR15" s="324"/>
      <c r="AS15" s="330"/>
      <c r="AT15" s="324"/>
      <c r="AU15" s="330"/>
      <c r="AV15" s="324"/>
      <c r="AW15" s="330"/>
      <c r="AX15" s="339"/>
      <c r="AY15" s="329"/>
      <c r="AZ15" s="324"/>
      <c r="BA15" s="329"/>
      <c r="BB15" s="324"/>
      <c r="BC15" s="329"/>
      <c r="BD15" s="331"/>
    </row>
    <row r="16" spans="2:56" s="346" customFormat="1" ht="4.5" customHeight="1" thickTop="1" thickBot="1">
      <c r="B16" s="1261"/>
      <c r="C16" s="1262"/>
      <c r="D16" s="399"/>
      <c r="E16" s="1263"/>
      <c r="F16" s="1263"/>
      <c r="G16" s="1263"/>
      <c r="H16" s="1264"/>
      <c r="I16" s="1264"/>
      <c r="J16" s="846"/>
      <c r="K16" s="846"/>
      <c r="L16" s="846"/>
      <c r="M16" s="399"/>
      <c r="N16" s="845"/>
      <c r="O16" s="845"/>
      <c r="P16" s="845"/>
      <c r="Q16" s="847"/>
      <c r="R16" s="847"/>
      <c r="S16" s="845"/>
      <c r="T16" s="845"/>
      <c r="U16" s="399"/>
      <c r="V16" s="922"/>
      <c r="W16" s="922"/>
      <c r="X16" s="922"/>
      <c r="Y16" s="922"/>
      <c r="Z16" s="922"/>
      <c r="AA16" s="845"/>
      <c r="AB16" s="845"/>
      <c r="AC16" s="845"/>
      <c r="AD16" s="423"/>
      <c r="AE16" s="423"/>
      <c r="AF16" s="373"/>
      <c r="AG16" s="347"/>
      <c r="AH16" s="348"/>
      <c r="AI16" s="349"/>
      <c r="AJ16" s="348"/>
      <c r="AK16" s="349"/>
      <c r="AL16" s="348"/>
      <c r="AM16" s="349"/>
      <c r="AN16" s="348"/>
      <c r="AO16" s="417"/>
      <c r="AP16" s="413"/>
      <c r="AQ16" s="349"/>
      <c r="AR16" s="348"/>
      <c r="AS16" s="350"/>
      <c r="AT16" s="348"/>
      <c r="AU16" s="350"/>
      <c r="AV16" s="348"/>
      <c r="AW16" s="350"/>
      <c r="AX16" s="351"/>
      <c r="AY16" s="349"/>
      <c r="AZ16" s="348"/>
      <c r="BA16" s="349"/>
      <c r="BB16" s="348"/>
      <c r="BC16" s="349"/>
      <c r="BD16" s="352"/>
    </row>
    <row r="17" spans="1:56" ht="18" customHeight="1" outlineLevel="1" thickTop="1">
      <c r="A17" s="321"/>
      <c r="B17" s="1299" t="s">
        <v>578</v>
      </c>
      <c r="C17" s="1300"/>
      <c r="D17" s="1300"/>
      <c r="E17" s="1300"/>
      <c r="F17" s="1300"/>
      <c r="G17" s="1300"/>
      <c r="H17" s="1300"/>
      <c r="I17" s="1300"/>
      <c r="J17" s="396" t="s">
        <v>649</v>
      </c>
      <c r="K17" s="396"/>
      <c r="L17" s="905" t="str">
        <f>IF(AA5="","0",SUM(L20:M24,P20:Q24,T26:U29,P34:Q36,I31,K31,Q31)/AA5*1000)</f>
        <v>0</v>
      </c>
      <c r="M17" s="905"/>
      <c r="N17" s="396" t="s">
        <v>650</v>
      </c>
      <c r="O17" s="396"/>
      <c r="P17" s="396"/>
      <c r="Q17" s="396" t="s">
        <v>336</v>
      </c>
      <c r="R17" s="396"/>
      <c r="S17" s="396"/>
      <c r="T17" s="906" t="str">
        <f>IF(AA5="","0",Apports!C26/REA!AA5*1000)</f>
        <v>0</v>
      </c>
      <c r="U17" s="906"/>
      <c r="V17" s="396" t="s">
        <v>651</v>
      </c>
      <c r="W17" s="396"/>
      <c r="X17" s="396"/>
      <c r="Y17" s="396" t="s">
        <v>653</v>
      </c>
      <c r="Z17" s="396"/>
      <c r="AA17" s="921" t="str">
        <f>IF(AA5="","0",Apports!D26/REA!AA5*1000)</f>
        <v>0</v>
      </c>
      <c r="AB17" s="921"/>
      <c r="AC17" s="396" t="s">
        <v>652</v>
      </c>
      <c r="AD17" s="396"/>
      <c r="AE17" s="397"/>
      <c r="AF17" s="368" t="s">
        <v>188</v>
      </c>
      <c r="AG17" s="387"/>
      <c r="AH17" s="324"/>
      <c r="AI17" s="329"/>
      <c r="AJ17" s="324"/>
      <c r="AK17" s="329"/>
      <c r="AL17" s="324"/>
      <c r="AM17" s="329"/>
      <c r="AN17" s="324"/>
      <c r="AO17" s="416"/>
      <c r="AP17" s="412"/>
      <c r="AQ17" s="329"/>
      <c r="AR17" s="324"/>
      <c r="AS17" s="329"/>
      <c r="AT17" s="324"/>
      <c r="AU17" s="329"/>
      <c r="AV17" s="324"/>
      <c r="AW17" s="329"/>
      <c r="AX17" s="339"/>
      <c r="AY17" s="329"/>
      <c r="AZ17" s="324"/>
      <c r="BA17" s="329"/>
      <c r="BB17" s="324"/>
      <c r="BC17" s="329"/>
      <c r="BD17" s="331"/>
    </row>
    <row r="18" spans="1:56" s="390" customFormat="1" ht="16.149999999999999" customHeight="1" outlineLevel="2">
      <c r="A18" s="385"/>
      <c r="B18" s="976" t="s">
        <v>810</v>
      </c>
      <c r="C18" s="977"/>
      <c r="D18" s="977"/>
      <c r="E18" s="977"/>
      <c r="F18" s="978"/>
      <c r="G18" s="974" t="s">
        <v>554</v>
      </c>
      <c r="H18" s="975"/>
      <c r="I18" s="975"/>
      <c r="J18" s="975"/>
      <c r="K18" s="975"/>
      <c r="L18" s="975"/>
      <c r="M18" s="975"/>
      <c r="N18" s="975"/>
      <c r="O18" s="975"/>
      <c r="P18" s="975"/>
      <c r="Q18" s="975"/>
      <c r="R18" s="975"/>
      <c r="S18" s="975"/>
      <c r="T18" s="975"/>
      <c r="U18" s="404"/>
      <c r="V18" s="404"/>
      <c r="W18" s="405"/>
      <c r="X18" s="1139" t="str">
        <f>IF(OR(G18="Pas de TPN",G18="APNEO Personnalisé KT Central",G18="APNEO Personnalisé KT Périphérique",G18="NUMETZAH G16 3 en 1 Personnalisé KT Central",G18="NUMETZAH G16 3 en 1 Personnalisé KT Périphérique"),"",IF(G18="APNEO Standard KT Central",IF(AD3=0,50,IF(AD3=1,50,IF(AD3=2,70,IF(AD3=3,90,IF(AD3=4,100,IF(AD3&gt;=5,110,"")))))),IF(G18="NUMETZAH G16 3-en-1 Standard KT Central",IF(AD3=0,50,IF(AD3=1,50,IF(AD3=2,60,IF(AD3=3,80,IF(AD3=4,90,IF(AD3=5,100,IF(AD3&gt;=6,110,""))))))),IF(G18="NUMETZAH G16 2-en-1 Standard KT Central",IF(AD3=0,40,IF(AD3=1,40,IF(AD3=2,50,IF(AD3=3,60,IF(AD3=4,70,IF(AD3=5,80,IF(AD3&gt;=6,90,""))))))),""))))</f>
        <v/>
      </c>
      <c r="Y18" s="1140"/>
      <c r="Z18" s="1139" t="str">
        <f>IF(OR(G18="APNEO Standard KT Central",G18="APNEO Standard KT Périphérique"),IF(T3&lt;32,10,IF(T3&gt;=32,5)),"")</f>
        <v/>
      </c>
      <c r="AA18" s="1140"/>
      <c r="AB18" s="1139" t="str">
        <f>IF(G18="APNEO Standard KT Périphérique",IF(AD3=0,12.5,IF(AD3=1,12.5,IF(AD3=2,17.5,IF(AD3=3,22.5,IF(AD3=4,25,IF(AD3&gt;=5,27.5,"")))))),IF(G18="NUMETZAH G16 Standard 3 en 1 KT Périphérique",IF(AD3=0,16.7,IF(AD3=1,16.7,IF(AD3=2,20,IF(AD3=3,26.7,IF(AD3=4,30,IF(AD3=5,33.4,IF(AD3&gt;=6,36.7,""))))))),""))</f>
        <v/>
      </c>
      <c r="AC18" s="1140"/>
      <c r="AD18" s="401"/>
      <c r="AE18" s="402"/>
      <c r="AF18" s="386"/>
      <c r="AH18" s="309"/>
      <c r="AI18" s="388"/>
      <c r="AJ18" s="309"/>
      <c r="AK18" s="388"/>
      <c r="AL18" s="309"/>
      <c r="AM18" s="388"/>
      <c r="AN18" s="309"/>
      <c r="AO18" s="418"/>
      <c r="AP18" s="414"/>
      <c r="AQ18" s="388"/>
      <c r="AR18" s="309"/>
      <c r="AS18" s="388"/>
      <c r="AT18" s="309"/>
      <c r="AU18" s="388"/>
      <c r="AV18" s="309"/>
      <c r="AW18" s="388"/>
      <c r="AX18" s="340"/>
      <c r="AY18" s="388"/>
      <c r="AZ18" s="309"/>
      <c r="BA18" s="388"/>
      <c r="BB18" s="309"/>
      <c r="BC18" s="388"/>
      <c r="BD18" s="389"/>
    </row>
    <row r="19" spans="1:56" s="390" customFormat="1" ht="16.149999999999999" customHeight="1" outlineLevel="2">
      <c r="A19" s="1272"/>
      <c r="B19" s="1288"/>
      <c r="C19" s="1289"/>
      <c r="D19" s="1289"/>
      <c r="E19" s="403"/>
      <c r="F19" s="481"/>
      <c r="G19" s="482"/>
      <c r="H19" s="482"/>
      <c r="I19" s="482"/>
      <c r="J19" s="482"/>
      <c r="K19" s="483"/>
      <c r="L19" s="1284" t="str">
        <f>IF(G18="PAS DE TPN","",IF(G18="APNEO Standard KT Central","Standard",IF(G18="APNEO Standard KT Périphérique","Standard",IF(G18="NUMETZAH G16 Standard KT Central","Standard",IF(G18="NUMETZAH G16 Standard KT Périphérique","Standard","")))))</f>
        <v/>
      </c>
      <c r="M19" s="1285"/>
      <c r="N19" s="1285"/>
      <c r="O19" s="1285"/>
      <c r="P19" s="1286" t="str">
        <f>IF(G18="APNEO Personnalisé KT Central","Personnalisé",IF(G18="APNEO Personnalisé KT Périphérique","Personnalisé",IF(G18="NUMETZAH G16 Personnalisé 3 en 1","Personnalisé",IF(G18="NUMETZAH G16 Personnalisé 2 en 1","Personnalisé",""))))</f>
        <v/>
      </c>
      <c r="Q19" s="1287"/>
      <c r="R19" s="1287"/>
      <c r="S19" s="1287"/>
      <c r="T19" s="1319" t="str">
        <f>IF(G18="PAS DE TPN","","Débit TPN")</f>
        <v/>
      </c>
      <c r="U19" s="1320"/>
      <c r="V19" s="1320"/>
      <c r="W19" s="1321"/>
      <c r="X19" s="1310" t="str">
        <f>IF(G18="PAS DE TPN","","Note")</f>
        <v/>
      </c>
      <c r="Y19" s="1310"/>
      <c r="Z19" s="1310"/>
      <c r="AA19" s="1310"/>
      <c r="AB19" s="1310"/>
      <c r="AC19" s="1310"/>
      <c r="AD19" s="1310"/>
      <c r="AE19" s="1311"/>
      <c r="AF19" s="391"/>
      <c r="AG19" s="387"/>
      <c r="AH19" s="309"/>
      <c r="AI19" s="388"/>
      <c r="AJ19" s="309"/>
      <c r="AK19" s="388"/>
      <c r="AL19" s="309"/>
      <c r="AM19" s="388"/>
      <c r="AN19" s="309"/>
      <c r="AO19" s="418"/>
      <c r="AP19" s="414"/>
      <c r="AQ19" s="388"/>
      <c r="AR19" s="309"/>
      <c r="AS19" s="388"/>
      <c r="AT19" s="309"/>
      <c r="AU19" s="388"/>
      <c r="AV19" s="309"/>
      <c r="AW19" s="388"/>
      <c r="AX19" s="340"/>
      <c r="AY19" s="388"/>
      <c r="AZ19" s="309"/>
      <c r="BA19" s="388"/>
      <c r="BB19" s="309"/>
      <c r="BC19" s="388"/>
      <c r="BD19" s="389"/>
    </row>
    <row r="20" spans="1:56" s="390" customFormat="1" ht="16.149999999999999" customHeight="1" outlineLevel="2">
      <c r="A20" s="1273"/>
      <c r="B20" s="1288"/>
      <c r="C20" s="1289"/>
      <c r="D20" s="1289"/>
      <c r="E20" s="1324" t="str">
        <f>IF(G18="APNEO Standard KT Central","APNEO",IF(G18="APNEO Personnalisé KT Central","APNEO",IF(G18="APNEO Personnalisé KT Périphérique","APNEO",IF(G18="NUMETZAH G16 3-en-1 Standard KT Central","NUMETZAH G16 3-en-1",IF(G18="NUMETZAH G16 3-en-1 Personnalisé KT Central","NUMETZAH G16 3-en-1",IF(G18="NUMETZAH G16 3-en-1 Personnalisé KT Périphérique","NUMETZAH G16 3-en-1",IF(G18="NUMETZAH G16 2-en-1 Standard KT Central","NUMETZAH G16 2-en-1",IF(G18="NUMETZAH G16 2-en-1 Personnalisé KT Central","NUMETZAH G16 2-en-1",IF(G18="NUMETZAH G16 2-en-1 Personnalisé KT Périphérique","NUMETZAH G16 2-en-1","")))))))))</f>
        <v/>
      </c>
      <c r="F20" s="1324"/>
      <c r="G20" s="1324"/>
      <c r="H20" s="1324"/>
      <c r="I20" s="1324"/>
      <c r="J20" s="1324"/>
      <c r="K20" s="1325"/>
      <c r="L20" s="1282" t="str">
        <f>IF(X18="","",X18*AA5/1000)</f>
        <v/>
      </c>
      <c r="M20" s="1283"/>
      <c r="N20" s="1275" t="str">
        <f t="shared" ref="N20:N23" si="0">IF(L20="","","mL")</f>
        <v/>
      </c>
      <c r="O20" s="1276"/>
      <c r="P20" s="1278"/>
      <c r="Q20" s="1279"/>
      <c r="R20" s="1277" t="str">
        <f>IF(P20="","","mL")</f>
        <v/>
      </c>
      <c r="S20" s="1277"/>
      <c r="T20" s="912" t="str">
        <f>IF(OR(G18="",G18="PAS DE TPN"),"",SUM(L20:M24,P20:Q24)/24)</f>
        <v/>
      </c>
      <c r="U20" s="913"/>
      <c r="V20" s="934" t="str">
        <f>IF(T20="","","mL/H")</f>
        <v/>
      </c>
      <c r="W20" s="935"/>
      <c r="X20" s="949"/>
      <c r="Y20" s="950"/>
      <c r="Z20" s="950"/>
      <c r="AA20" s="950"/>
      <c r="AB20" s="950"/>
      <c r="AC20" s="950"/>
      <c r="AD20" s="950"/>
      <c r="AE20" s="951"/>
      <c r="AF20" s="391"/>
      <c r="AG20" s="387"/>
      <c r="AH20" s="309"/>
      <c r="AI20" s="388"/>
      <c r="AJ20" s="309"/>
      <c r="AK20" s="388"/>
      <c r="AL20" s="309"/>
      <c r="AM20" s="388"/>
      <c r="AN20" s="309"/>
      <c r="AO20" s="418"/>
      <c r="AP20" s="414"/>
      <c r="AQ20" s="388"/>
      <c r="AR20" s="309"/>
      <c r="AS20" s="388"/>
      <c r="AT20" s="309"/>
      <c r="AU20" s="388"/>
      <c r="AV20" s="309"/>
      <c r="AW20" s="388"/>
      <c r="AX20" s="340"/>
      <c r="AY20" s="388"/>
      <c r="AZ20" s="309"/>
      <c r="BA20" s="388"/>
      <c r="BB20" s="309"/>
      <c r="BC20" s="388"/>
      <c r="BD20" s="389"/>
    </row>
    <row r="21" spans="1:56" s="390" customFormat="1" ht="16.149999999999999" customHeight="1" outlineLevel="2">
      <c r="A21" s="1274"/>
      <c r="B21" s="1288"/>
      <c r="C21" s="1289"/>
      <c r="D21" s="1289"/>
      <c r="E21" s="940" t="str">
        <f>IF(OR(G18="APNEO Standard KT Central",G18="APNEO Personnalisé KT Central",G18="APNEO Personnalisé KT Périphérique",G18="NUMETZAH G16 3-en-1 Personnalisé KT Central",G18="NUMETZAH G16 3-en-1 Personnalisé KT Périphérique",G18="NUMETZAH G16 2-en-1 Personnalisé KT Central",G18="NUMETZAH G16 2-en-1 Personnalisé KT périphérique"),"PRIMENE","")</f>
        <v/>
      </c>
      <c r="F21" s="940"/>
      <c r="G21" s="940"/>
      <c r="H21" s="940"/>
      <c r="I21" s="940"/>
      <c r="J21" s="940"/>
      <c r="K21" s="941"/>
      <c r="L21" s="1282" t="str">
        <f>IF(Z18="","",Z18*AA5/1000)</f>
        <v/>
      </c>
      <c r="M21" s="1283"/>
      <c r="N21" s="1275" t="str">
        <f t="shared" si="0"/>
        <v/>
      </c>
      <c r="O21" s="1276"/>
      <c r="P21" s="1278"/>
      <c r="Q21" s="1279"/>
      <c r="R21" s="1277" t="str">
        <f>IF(P21="","","mL")</f>
        <v/>
      </c>
      <c r="S21" s="1277"/>
      <c r="T21" s="914"/>
      <c r="U21" s="915"/>
      <c r="V21" s="936"/>
      <c r="W21" s="937"/>
      <c r="X21" s="949"/>
      <c r="Y21" s="950"/>
      <c r="Z21" s="950"/>
      <c r="AA21" s="950"/>
      <c r="AB21" s="950"/>
      <c r="AC21" s="950"/>
      <c r="AD21" s="950"/>
      <c r="AE21" s="951"/>
      <c r="AF21" s="391"/>
      <c r="AG21" s="387"/>
      <c r="AH21" s="309"/>
      <c r="AI21" s="388"/>
      <c r="AJ21" s="309"/>
      <c r="AK21" s="388"/>
      <c r="AL21" s="309"/>
      <c r="AM21" s="388"/>
      <c r="AN21" s="309"/>
      <c r="AO21" s="418"/>
      <c r="AP21" s="414"/>
      <c r="AQ21" s="388"/>
      <c r="AR21" s="309"/>
      <c r="AS21" s="388"/>
      <c r="AT21" s="309"/>
      <c r="AU21" s="388"/>
      <c r="AV21" s="309"/>
      <c r="AW21" s="388"/>
      <c r="AX21" s="340"/>
      <c r="AY21" s="388"/>
      <c r="AZ21" s="309"/>
      <c r="BA21" s="388"/>
      <c r="BB21" s="309"/>
      <c r="BC21" s="388"/>
      <c r="BD21" s="389"/>
    </row>
    <row r="22" spans="1:56" s="390" customFormat="1" ht="16.149999999999999" customHeight="1" outlineLevel="2">
      <c r="A22" s="392"/>
      <c r="B22" s="1288"/>
      <c r="C22" s="1289"/>
      <c r="D22" s="1289"/>
      <c r="E22" s="940" t="str">
        <f>IF(OR(G18="PAS DE TPN",G18=""),"","PEDITRACE")</f>
        <v/>
      </c>
      <c r="F22" s="940"/>
      <c r="G22" s="940"/>
      <c r="H22" s="940"/>
      <c r="I22" s="940"/>
      <c r="J22" s="940"/>
      <c r="K22" s="941"/>
      <c r="L22" s="1280" t="str">
        <f>IF(OR(G18="",G18="Pas de TPN",G18="APNEO Personnalisé KT Central",G18="APNEO Personnalisé KT Périphérique",G18="NUMETZAH G16 3-en-1 Personnalisé KT Central",G18="NUMETZAH G16 3-en-1 Personnalisé KT Périphérique",G18="NUMETZAH G16 2-en-1 Personnalisé KT Central",G18="NUMETZAH G16 2-en-1 Personnalisé KT Périphérique"),"",1*AA5/1000)</f>
        <v/>
      </c>
      <c r="M22" s="1281"/>
      <c r="N22" s="1275" t="str">
        <f>IF(L22="","","mL")</f>
        <v/>
      </c>
      <c r="O22" s="1276"/>
      <c r="P22" s="1278"/>
      <c r="Q22" s="1279"/>
      <c r="R22" s="1277" t="str">
        <f>IF(P22="","","mL")</f>
        <v/>
      </c>
      <c r="S22" s="1277"/>
      <c r="T22" s="914"/>
      <c r="U22" s="915"/>
      <c r="V22" s="936"/>
      <c r="W22" s="937"/>
      <c r="X22" s="952" t="str">
        <f>IF(E22="peditrace","Peditrace dans la 1ère metriset","")</f>
        <v/>
      </c>
      <c r="Y22" s="953"/>
      <c r="Z22" s="953"/>
      <c r="AA22" s="953"/>
      <c r="AB22" s="953"/>
      <c r="AC22" s="953"/>
      <c r="AD22" s="953"/>
      <c r="AE22" s="954"/>
      <c r="AF22" s="391"/>
      <c r="AG22" s="387"/>
      <c r="AH22" s="309"/>
      <c r="AI22" s="388"/>
      <c r="AJ22" s="309"/>
      <c r="AK22" s="388"/>
      <c r="AL22" s="309"/>
      <c r="AM22" s="388"/>
      <c r="AN22" s="309"/>
      <c r="AO22" s="418"/>
      <c r="AP22" s="414"/>
      <c r="AQ22" s="388"/>
      <c r="AR22" s="309"/>
      <c r="AS22" s="388"/>
      <c r="AT22" s="309"/>
      <c r="AU22" s="388"/>
      <c r="AV22" s="309"/>
      <c r="AW22" s="388"/>
      <c r="AX22" s="340"/>
      <c r="AY22" s="388"/>
      <c r="AZ22" s="309"/>
      <c r="BA22" s="388"/>
      <c r="BB22" s="309"/>
      <c r="BC22" s="388"/>
      <c r="BD22" s="389"/>
    </row>
    <row r="23" spans="1:56" s="390" customFormat="1" ht="16.149999999999999" customHeight="1" outlineLevel="2">
      <c r="A23" s="393"/>
      <c r="B23" s="1288"/>
      <c r="C23" s="1289"/>
      <c r="D23" s="1289"/>
      <c r="E23" s="940" t="str">
        <f>IF(OR(G18="APNEO Personnalisé KT Central",G18="APNEO Personnalisé KT Périphérique",G18="NUMETZAH G16 3-en-1 Personnalisé KT Central",G18="NUMETZAH G16 3-en-1 Personnalisé KT Périphérique",G18="NUMETZAH G16 2-en-1 Personnalisé KT Central",G18="NUMETZAH G16 2-en-1 Personnalisé KT Périphérique"),"EAU STERILE","")</f>
        <v/>
      </c>
      <c r="F23" s="940"/>
      <c r="G23" s="940"/>
      <c r="H23" s="940"/>
      <c r="I23" s="940"/>
      <c r="J23" s="940"/>
      <c r="K23" s="941"/>
      <c r="L23" s="1282" t="str">
        <f>IF(AB18="","",AB18*AA5/1000)</f>
        <v/>
      </c>
      <c r="M23" s="1283"/>
      <c r="N23" s="1275" t="str">
        <f t="shared" si="0"/>
        <v/>
      </c>
      <c r="O23" s="1276"/>
      <c r="P23" s="1278"/>
      <c r="Q23" s="1279"/>
      <c r="R23" s="1277" t="str">
        <f t="shared" ref="R23" si="1">IF(P23="","","mL")</f>
        <v/>
      </c>
      <c r="S23" s="1277"/>
      <c r="T23" s="914"/>
      <c r="U23" s="915"/>
      <c r="V23" s="936"/>
      <c r="W23" s="937"/>
      <c r="X23" s="949"/>
      <c r="Y23" s="950"/>
      <c r="Z23" s="950"/>
      <c r="AA23" s="950"/>
      <c r="AB23" s="950"/>
      <c r="AC23" s="950"/>
      <c r="AD23" s="950"/>
      <c r="AE23" s="951"/>
      <c r="AF23" s="391"/>
      <c r="AG23" s="387"/>
      <c r="AH23" s="309"/>
      <c r="AI23" s="388"/>
      <c r="AJ23" s="309"/>
      <c r="AK23" s="388"/>
      <c r="AL23" s="309"/>
      <c r="AM23" s="388"/>
      <c r="AN23" s="309"/>
      <c r="AO23" s="418"/>
      <c r="AP23" s="414"/>
      <c r="AQ23" s="388"/>
      <c r="AR23" s="309"/>
      <c r="AS23" s="388"/>
      <c r="AT23" s="309"/>
      <c r="AU23" s="388"/>
      <c r="AV23" s="309"/>
      <c r="AW23" s="388"/>
      <c r="AX23" s="340"/>
      <c r="AY23" s="388"/>
      <c r="AZ23" s="309"/>
      <c r="BA23" s="388"/>
      <c r="BB23" s="309"/>
      <c r="BC23" s="388"/>
      <c r="BD23" s="389"/>
    </row>
    <row r="24" spans="1:56" s="390" customFormat="1" ht="16.149999999999999" customHeight="1" outlineLevel="2">
      <c r="A24" s="392"/>
      <c r="B24" s="1288"/>
      <c r="C24" s="1289"/>
      <c r="D24" s="1289"/>
      <c r="E24" s="1232" t="str">
        <f>IF(OR(G18="NUMETZAH G16 3-en-1 Standard KT Central",G18="NUMETZAH G16 3-en-1 Personnalisé KT Central",G18="NUMETZAH G16 3-en-1 Personnalisé KT Périphérique"),"VITALIPID","")</f>
        <v/>
      </c>
      <c r="F24" s="1232"/>
      <c r="G24" s="1232"/>
      <c r="H24" s="1232"/>
      <c r="I24" s="1232"/>
      <c r="J24" s="1232"/>
      <c r="K24" s="1233"/>
      <c r="L24" s="1322" t="str">
        <f>IF(OR(G18="",G18="Pas de TPN",G18="APNEO Standard KT Central",G18="APNEO Personnalisé KT Central",G18="APNEO Personnalisé KT Périphérique",G18="NUMETZAH G16 3-en-1 Personnalisé KT Central",G18="NUMETZAH G16 3-en-1 Personnalisé KT Périphérique",G18="NUMETZAH G16 2-en-1 Standard KT Central",G18="NUMETZAH G16 2-en-1 Personnalisé KT Central",G18="NUMETZAH G16 2-en-1 Personnalisé KT périphérique"),"",IF(AA5&gt;2500,10,4*AA5/1000))</f>
        <v/>
      </c>
      <c r="M24" s="1323"/>
      <c r="N24" s="1235" t="str">
        <f>IF(L24="","","mL")</f>
        <v/>
      </c>
      <c r="O24" s="1235"/>
      <c r="P24" s="1270"/>
      <c r="Q24" s="1271"/>
      <c r="R24" s="1234" t="str">
        <f>IF(P24="","","mL")</f>
        <v/>
      </c>
      <c r="S24" s="1234"/>
      <c r="T24" s="916"/>
      <c r="U24" s="917"/>
      <c r="V24" s="938"/>
      <c r="W24" s="939"/>
      <c r="X24" s="931" t="str">
        <f>IF(E24="Vitalipid","Vitalipid dans la 1ère metriset","")</f>
        <v/>
      </c>
      <c r="Y24" s="932"/>
      <c r="Z24" s="932"/>
      <c r="AA24" s="932"/>
      <c r="AB24" s="932"/>
      <c r="AC24" s="932"/>
      <c r="AD24" s="932"/>
      <c r="AE24" s="933"/>
      <c r="AF24" s="391"/>
      <c r="AG24" s="387"/>
      <c r="AH24" s="309"/>
      <c r="AI24" s="388"/>
      <c r="AJ24" s="309"/>
      <c r="AK24" s="388"/>
      <c r="AL24" s="309"/>
      <c r="AM24" s="388"/>
      <c r="AN24" s="309"/>
      <c r="AO24" s="418"/>
      <c r="AP24" s="414"/>
      <c r="AQ24" s="388"/>
      <c r="AR24" s="309"/>
      <c r="AS24" s="388"/>
      <c r="AT24" s="309"/>
      <c r="AU24" s="388"/>
      <c r="AV24" s="309"/>
      <c r="AW24" s="388"/>
      <c r="AX24" s="340"/>
      <c r="AY24" s="388"/>
      <c r="AZ24" s="309"/>
      <c r="BA24" s="388"/>
      <c r="BB24" s="309"/>
      <c r="BC24" s="388"/>
      <c r="BD24" s="389"/>
    </row>
    <row r="25" spans="1:56" s="109" customFormat="1" ht="13.9" customHeight="1" outlineLevel="2">
      <c r="A25" s="319"/>
      <c r="B25" s="1301"/>
      <c r="C25" s="1302"/>
      <c r="D25" s="1268" t="str">
        <f>IF(G18="pas de TPN","","Ajouts à la TPN")</f>
        <v/>
      </c>
      <c r="E25" s="1268"/>
      <c r="F25" s="1268"/>
      <c r="G25" s="1268"/>
      <c r="H25" s="1268"/>
      <c r="I25" s="1268"/>
      <c r="J25" s="1268"/>
      <c r="K25" s="1269"/>
      <c r="L25" s="900" t="str">
        <f>IF(G18="pas de TPN","","Forme")</f>
        <v/>
      </c>
      <c r="M25" s="901"/>
      <c r="N25" s="901"/>
      <c r="O25" s="901"/>
      <c r="P25" s="901"/>
      <c r="Q25" s="901"/>
      <c r="R25" s="901"/>
      <c r="S25" s="902"/>
      <c r="T25" s="1305" t="str">
        <f>IF(G18="pas de TPN","","Volume Tot")</f>
        <v/>
      </c>
      <c r="U25" s="1306"/>
      <c r="V25" s="1306"/>
      <c r="W25" s="1307"/>
      <c r="X25" s="1308" t="str">
        <f>IF(G18="pas de TPN","","Administration")</f>
        <v/>
      </c>
      <c r="Y25" s="1306"/>
      <c r="Z25" s="1306"/>
      <c r="AA25" s="1306"/>
      <c r="AB25" s="1306"/>
      <c r="AC25" s="1306"/>
      <c r="AD25" s="1306"/>
      <c r="AE25" s="1309"/>
      <c r="AF25" s="368" t="s">
        <v>188</v>
      </c>
      <c r="AG25" s="303">
        <v>14</v>
      </c>
      <c r="AH25" s="302"/>
      <c r="AI25" s="303">
        <v>16</v>
      </c>
      <c r="AJ25" s="302"/>
      <c r="AK25" s="303">
        <v>18</v>
      </c>
      <c r="AL25" s="302"/>
      <c r="AM25" s="303">
        <v>20</v>
      </c>
      <c r="AN25" s="302"/>
      <c r="AO25" s="410">
        <v>22</v>
      </c>
      <c r="AP25" s="407"/>
      <c r="AQ25" s="380">
        <v>0</v>
      </c>
      <c r="AR25" s="302"/>
      <c r="AS25" s="303">
        <v>2</v>
      </c>
      <c r="AT25" s="302"/>
      <c r="AU25" s="303">
        <v>4</v>
      </c>
      <c r="AV25" s="302"/>
      <c r="AW25" s="312">
        <v>6</v>
      </c>
      <c r="AX25" s="337"/>
      <c r="AY25" s="303">
        <v>8</v>
      </c>
      <c r="AZ25" s="302"/>
      <c r="BA25" s="303">
        <v>10</v>
      </c>
      <c r="BB25" s="302"/>
      <c r="BC25" s="303">
        <v>12</v>
      </c>
      <c r="BD25" s="315"/>
    </row>
    <row r="26" spans="1:56" s="140" customFormat="1" ht="16.149999999999999" customHeight="1" outlineLevel="2">
      <c r="A26" s="320"/>
      <c r="B26" s="498"/>
      <c r="C26" s="499"/>
      <c r="D26" s="499"/>
      <c r="E26" s="500"/>
      <c r="F26" s="1151"/>
      <c r="G26" s="1152"/>
      <c r="H26" s="1152"/>
      <c r="I26" s="1152"/>
      <c r="J26" s="1152"/>
      <c r="K26" s="1152"/>
      <c r="L26" s="928" t="str">
        <f>IFERROR(VLOOKUP(F26,TPN!$A$19:$N$24,4,FALSE),"")</f>
        <v/>
      </c>
      <c r="M26" s="929"/>
      <c r="N26" s="929"/>
      <c r="O26" s="929"/>
      <c r="P26" s="929"/>
      <c r="Q26" s="929"/>
      <c r="R26" s="929"/>
      <c r="S26" s="930"/>
      <c r="T26" s="1219"/>
      <c r="U26" s="1220"/>
      <c r="V26" s="1217" t="str">
        <f>IFERROR(VLOOKUP(F26,Ajouts_TPN_matrice,8,FALSE),"")</f>
        <v/>
      </c>
      <c r="W26" s="1218"/>
      <c r="X26" s="1134" t="str">
        <f>IFERROR(VLOOKUP(F26,Ajouts_TPN_matrice,9,FALSE),"")</f>
        <v/>
      </c>
      <c r="Y26" s="1134"/>
      <c r="Z26" s="1134"/>
      <c r="AA26" s="1134"/>
      <c r="AB26" s="1134"/>
      <c r="AC26" s="1134"/>
      <c r="AD26" s="1134"/>
      <c r="AE26" s="1135"/>
      <c r="AF26" s="370"/>
      <c r="AG26" s="308"/>
      <c r="AH26" s="309"/>
      <c r="AI26" s="310"/>
      <c r="AJ26" s="309"/>
      <c r="AK26" s="310"/>
      <c r="AL26" s="309"/>
      <c r="AM26" s="310"/>
      <c r="AN26" s="309"/>
      <c r="AO26" s="419"/>
      <c r="AP26" s="414"/>
      <c r="AQ26" s="382"/>
      <c r="AR26" s="309"/>
      <c r="AS26" s="310"/>
      <c r="AT26" s="309"/>
      <c r="AU26" s="310"/>
      <c r="AV26" s="309"/>
      <c r="AW26" s="314"/>
      <c r="AX26" s="340"/>
      <c r="AY26" s="310"/>
      <c r="AZ26" s="309"/>
      <c r="BA26" s="310"/>
      <c r="BB26" s="309"/>
      <c r="BC26" s="310"/>
      <c r="BD26" s="317"/>
    </row>
    <row r="27" spans="1:56" s="140" customFormat="1" ht="16.149999999999999" customHeight="1" outlineLevel="2">
      <c r="A27" s="320"/>
      <c r="B27" s="498"/>
      <c r="C27" s="499"/>
      <c r="D27" s="499"/>
      <c r="E27" s="500"/>
      <c r="F27" s="1153"/>
      <c r="G27" s="1154"/>
      <c r="H27" s="1154"/>
      <c r="I27" s="1154"/>
      <c r="J27" s="1154"/>
      <c r="K27" s="1154"/>
      <c r="L27" s="928" t="str">
        <f>IFERROR(VLOOKUP(F27,TPN!$A$19:$N$24,4,FALSE),"")</f>
        <v/>
      </c>
      <c r="M27" s="929"/>
      <c r="N27" s="929"/>
      <c r="O27" s="929"/>
      <c r="P27" s="929"/>
      <c r="Q27" s="929"/>
      <c r="R27" s="929"/>
      <c r="S27" s="930"/>
      <c r="T27" s="1219"/>
      <c r="U27" s="1220"/>
      <c r="V27" s="1217" t="str">
        <f>IFERROR(VLOOKUP(F27,Ajouts_TPN_matrice,8,FALSE),"")</f>
        <v/>
      </c>
      <c r="W27" s="1218"/>
      <c r="X27" s="1134" t="str">
        <f>IFERROR(VLOOKUP(F27,Ajouts_TPN_matrice,9,FALSE),"")</f>
        <v/>
      </c>
      <c r="Y27" s="1134"/>
      <c r="Z27" s="1134"/>
      <c r="AA27" s="1134"/>
      <c r="AB27" s="1134"/>
      <c r="AC27" s="1134"/>
      <c r="AD27" s="1134"/>
      <c r="AE27" s="1135"/>
      <c r="AF27" s="370"/>
      <c r="AG27" s="308"/>
      <c r="AH27" s="309"/>
      <c r="AI27" s="310"/>
      <c r="AJ27" s="309"/>
      <c r="AK27" s="310"/>
      <c r="AL27" s="309"/>
      <c r="AM27" s="310"/>
      <c r="AN27" s="309"/>
      <c r="AO27" s="419"/>
      <c r="AP27" s="414"/>
      <c r="AQ27" s="382"/>
      <c r="AR27" s="309"/>
      <c r="AS27" s="310"/>
      <c r="AT27" s="309"/>
      <c r="AU27" s="310"/>
      <c r="AV27" s="309"/>
      <c r="AW27" s="314"/>
      <c r="AX27" s="340"/>
      <c r="AY27" s="310"/>
      <c r="AZ27" s="309"/>
      <c r="BA27" s="310"/>
      <c r="BB27" s="309"/>
      <c r="BC27" s="310"/>
      <c r="BD27" s="317"/>
    </row>
    <row r="28" spans="1:56" s="140" customFormat="1" ht="16.149999999999999" customHeight="1" outlineLevel="2">
      <c r="A28" s="320"/>
      <c r="B28" s="498"/>
      <c r="C28" s="499"/>
      <c r="D28" s="499"/>
      <c r="E28" s="500"/>
      <c r="F28" s="918"/>
      <c r="G28" s="919"/>
      <c r="H28" s="919"/>
      <c r="I28" s="919"/>
      <c r="J28" s="919"/>
      <c r="K28" s="920"/>
      <c r="L28" s="1136"/>
      <c r="M28" s="1137"/>
      <c r="N28" s="1137"/>
      <c r="O28" s="1137"/>
      <c r="P28" s="1137"/>
      <c r="Q28" s="1137"/>
      <c r="R28" s="1137"/>
      <c r="S28" s="1138"/>
      <c r="T28" s="925"/>
      <c r="U28" s="926"/>
      <c r="V28" s="926"/>
      <c r="W28" s="927"/>
      <c r="X28" s="1133"/>
      <c r="Y28" s="1134"/>
      <c r="Z28" s="1134"/>
      <c r="AA28" s="1134"/>
      <c r="AB28" s="1134"/>
      <c r="AC28" s="1134"/>
      <c r="AD28" s="1134"/>
      <c r="AE28" s="1135"/>
      <c r="AF28" s="370"/>
      <c r="AG28" s="308"/>
      <c r="AH28" s="309"/>
      <c r="AI28" s="310"/>
      <c r="AJ28" s="309"/>
      <c r="AK28" s="310"/>
      <c r="AL28" s="309"/>
      <c r="AM28" s="310"/>
      <c r="AN28" s="309"/>
      <c r="AO28" s="419"/>
      <c r="AP28" s="414"/>
      <c r="AQ28" s="382"/>
      <c r="AR28" s="309"/>
      <c r="AS28" s="310"/>
      <c r="AT28" s="309"/>
      <c r="AU28" s="310"/>
      <c r="AV28" s="309"/>
      <c r="AW28" s="314"/>
      <c r="AX28" s="340"/>
      <c r="AY28" s="310"/>
      <c r="AZ28" s="309"/>
      <c r="BA28" s="310"/>
      <c r="BB28" s="309"/>
      <c r="BC28" s="310"/>
      <c r="BD28" s="317"/>
    </row>
    <row r="29" spans="1:56" ht="16.149999999999999" customHeight="1" outlineLevel="2">
      <c r="A29" s="321"/>
      <c r="B29" s="498"/>
      <c r="C29" s="499"/>
      <c r="D29" s="499"/>
      <c r="E29" s="500"/>
      <c r="F29" s="1149"/>
      <c r="G29" s="1150"/>
      <c r="H29" s="1150"/>
      <c r="I29" s="1150"/>
      <c r="J29" s="1150"/>
      <c r="K29" s="1150"/>
      <c r="L29" s="909" t="str">
        <f>IFERROR(VLOOKUP(F29,TPN!$A$26:$N$30,4,FALSE),"")</f>
        <v/>
      </c>
      <c r="M29" s="910"/>
      <c r="N29" s="910"/>
      <c r="O29" s="910"/>
      <c r="P29" s="910"/>
      <c r="Q29" s="910"/>
      <c r="R29" s="910"/>
      <c r="S29" s="911"/>
      <c r="T29" s="1156"/>
      <c r="U29" s="1157"/>
      <c r="V29" s="1223"/>
      <c r="W29" s="1224"/>
      <c r="X29" s="1221"/>
      <c r="Y29" s="1221"/>
      <c r="Z29" s="1221"/>
      <c r="AA29" s="1221"/>
      <c r="AB29" s="1221"/>
      <c r="AC29" s="1221"/>
      <c r="AD29" s="1221"/>
      <c r="AE29" s="1222"/>
      <c r="AF29" s="370"/>
      <c r="AG29" s="333"/>
      <c r="AH29" s="304"/>
      <c r="AI29" s="305"/>
      <c r="AJ29" s="304"/>
      <c r="AK29" s="305"/>
      <c r="AL29" s="304"/>
      <c r="AM29" s="305"/>
      <c r="AN29" s="304"/>
      <c r="AO29" s="411"/>
      <c r="AP29" s="408"/>
      <c r="AQ29" s="381"/>
      <c r="AR29" s="304"/>
      <c r="AS29" s="305"/>
      <c r="AT29" s="304"/>
      <c r="AU29" s="305"/>
      <c r="AV29" s="304"/>
      <c r="AW29" s="313"/>
      <c r="AX29" s="338"/>
      <c r="AY29" s="305"/>
      <c r="AZ29" s="304"/>
      <c r="BA29" s="305"/>
      <c r="BB29" s="304"/>
      <c r="BC29" s="305"/>
      <c r="BD29" s="316"/>
    </row>
    <row r="30" spans="1:56" s="140" customFormat="1" ht="18" customHeight="1" outlineLevel="2">
      <c r="A30" s="320"/>
      <c r="B30" s="1294" t="s">
        <v>623</v>
      </c>
      <c r="C30" s="1295"/>
      <c r="D30" s="1295"/>
      <c r="E30" s="1295"/>
      <c r="F30" s="1296"/>
      <c r="G30" s="1297" t="s">
        <v>711</v>
      </c>
      <c r="H30" s="1298"/>
      <c r="I30" s="1298"/>
      <c r="J30" s="1298"/>
      <c r="K30" s="1298"/>
      <c r="L30" s="1298"/>
      <c r="M30" s="1298"/>
      <c r="N30" s="1298"/>
      <c r="O30" s="1298"/>
      <c r="P30" s="1298"/>
      <c r="Q30" s="1298"/>
      <c r="R30" s="1298"/>
      <c r="S30" s="1298"/>
      <c r="T30" s="1146" t="str">
        <f>IF(G30="PAS D'AJOUT DE LIPIDES","","Débit")</f>
        <v/>
      </c>
      <c r="U30" s="1147"/>
      <c r="V30" s="1147"/>
      <c r="W30" s="1148"/>
      <c r="X30" s="1144"/>
      <c r="Y30" s="1144"/>
      <c r="Z30" s="1144"/>
      <c r="AA30" s="1144"/>
      <c r="AB30" s="1144"/>
      <c r="AC30" s="1144"/>
      <c r="AD30" s="1144"/>
      <c r="AE30" s="1145"/>
      <c r="AF30" s="368"/>
      <c r="AG30" s="510"/>
      <c r="AH30" s="324"/>
      <c r="AI30" s="332"/>
      <c r="AJ30" s="324"/>
      <c r="AK30" s="332"/>
      <c r="AL30" s="324"/>
      <c r="AM30" s="332"/>
      <c r="AN30" s="324"/>
      <c r="AO30" s="420"/>
      <c r="AP30" s="412"/>
      <c r="AQ30" s="332"/>
      <c r="AR30" s="324"/>
      <c r="AS30" s="332"/>
      <c r="AT30" s="324"/>
      <c r="AU30" s="332"/>
      <c r="AV30" s="324"/>
      <c r="AW30" s="332"/>
      <c r="AX30" s="339"/>
      <c r="AY30" s="332"/>
      <c r="AZ30" s="324"/>
      <c r="BA30" s="332"/>
      <c r="BB30" s="324"/>
      <c r="BC30" s="332"/>
      <c r="BD30" s="331"/>
    </row>
    <row r="31" spans="1:56" s="110" customFormat="1" ht="16.149999999999999" customHeight="1" outlineLevel="2">
      <c r="A31" s="318"/>
      <c r="B31" s="898"/>
      <c r="C31" s="899"/>
      <c r="D31" s="899"/>
      <c r="E31" s="893" t="str">
        <f>IF(G30="PAS D'AJOUT DE LIPIDES","",IF(G30="CLINOLEIC standard","CLINOLEIC",IF(G30="CLINOLEIC Personnalisé","CLINOLEIC",IF(G30="SMOFLIPID standard","SMOFLIPID",IF(G30="SMOFLIPID Personnalisé","SMOFLIPID")))))</f>
        <v/>
      </c>
      <c r="F31" s="894"/>
      <c r="G31" s="894"/>
      <c r="H31" s="895"/>
      <c r="I31" s="888" t="str">
        <f>IF(OR(G30="Pas d'ajout de lipides",G30="Clinoleic personnalisé",G30="SmofLipid personnalisé"),"",IF(AD3=0,5*AA5/1000,IF(AD3=1,5*AA5/1000,IF(AD3=2,7.5*AA5/1000,IF(AD3=3,10*AA5/1000,IF(AD3=4,12.5*AA5/1000,IF(AD3&gt;=5,15*AA5/1000,"")))))))</f>
        <v/>
      </c>
      <c r="J31" s="889"/>
      <c r="K31" s="495" t="str">
        <f>IF(I31="","","mL")</f>
        <v/>
      </c>
      <c r="L31" s="474"/>
      <c r="M31" s="473" t="str">
        <f>IF(E31="","","mL")</f>
        <v/>
      </c>
      <c r="N31" s="472" t="str">
        <f>IF(G30="pas d'ajout de Lipides","","+")</f>
        <v/>
      </c>
      <c r="O31" s="887" t="str">
        <f>IF(G30="pas d'ajout de Lipides","","Vitalipid")</f>
        <v/>
      </c>
      <c r="P31" s="887"/>
      <c r="Q31" s="887"/>
      <c r="R31" s="470" t="str">
        <f>IF(G30="pas d'ajout de lipides","",IF(AA5&gt;2500,10,4*AA5/1000))</f>
        <v/>
      </c>
      <c r="S31" s="471" t="str">
        <f>IF(R31="","","mL")</f>
        <v/>
      </c>
      <c r="T31" s="879" t="str">
        <f>IF(E31="","",IF(I31="",(L31+R31)/24,IF(L31="",(I31+R31)/24)))</f>
        <v/>
      </c>
      <c r="U31" s="880"/>
      <c r="V31" s="877" t="str">
        <f>IF(T31="","","mL/H")</f>
        <v/>
      </c>
      <c r="W31" s="878"/>
      <c r="X31" s="896"/>
      <c r="Y31" s="896"/>
      <c r="Z31" s="896"/>
      <c r="AA31" s="896"/>
      <c r="AB31" s="896"/>
      <c r="AC31" s="896"/>
      <c r="AD31" s="896"/>
      <c r="AE31" s="897"/>
      <c r="AF31" s="370"/>
      <c r="AG31" s="322"/>
      <c r="AH31" s="324"/>
      <c r="AI31" s="323"/>
      <c r="AJ31" s="324"/>
      <c r="AK31" s="323"/>
      <c r="AL31" s="324"/>
      <c r="AM31" s="323"/>
      <c r="AN31" s="324"/>
      <c r="AO31" s="421"/>
      <c r="AP31" s="412"/>
      <c r="AQ31" s="383"/>
      <c r="AR31" s="324"/>
      <c r="AS31" s="323"/>
      <c r="AT31" s="324"/>
      <c r="AU31" s="323"/>
      <c r="AV31" s="324"/>
      <c r="AW31" s="326"/>
      <c r="AX31" s="339"/>
      <c r="AY31" s="323"/>
      <c r="AZ31" s="324"/>
      <c r="BA31" s="323"/>
      <c r="BB31" s="324"/>
      <c r="BC31" s="323"/>
      <c r="BD31" s="325"/>
    </row>
    <row r="32" spans="1:56" s="109" customFormat="1" ht="16.5" customHeight="1" outlineLevel="2">
      <c r="A32" s="336"/>
      <c r="B32" s="868" t="s">
        <v>622</v>
      </c>
      <c r="C32" s="869"/>
      <c r="D32" s="869"/>
      <c r="E32" s="870"/>
      <c r="F32" s="870"/>
      <c r="G32" s="870"/>
      <c r="H32" s="870"/>
      <c r="I32" s="870"/>
      <c r="J32" s="870"/>
      <c r="K32" s="870"/>
      <c r="L32" s="890"/>
      <c r="M32" s="890"/>
      <c r="N32" s="890"/>
      <c r="O32" s="890"/>
      <c r="P32" s="890"/>
      <c r="Q32" s="890"/>
      <c r="R32" s="890"/>
      <c r="S32" s="890"/>
      <c r="T32" s="890"/>
      <c r="U32" s="890"/>
      <c r="V32" s="890"/>
      <c r="W32" s="890"/>
      <c r="X32" s="891"/>
      <c r="Y32" s="891"/>
      <c r="Z32" s="891"/>
      <c r="AA32" s="891"/>
      <c r="AB32" s="891"/>
      <c r="AC32" s="891"/>
      <c r="AD32" s="891"/>
      <c r="AE32" s="892"/>
      <c r="AF32" s="370"/>
      <c r="AG32" s="333"/>
      <c r="AH32" s="304"/>
      <c r="AI32" s="305"/>
      <c r="AJ32" s="304"/>
      <c r="AK32" s="305"/>
      <c r="AL32" s="304"/>
      <c r="AM32" s="305"/>
      <c r="AN32" s="304"/>
      <c r="AO32" s="411"/>
      <c r="AP32" s="408"/>
      <c r="AQ32" s="381"/>
      <c r="AR32" s="304"/>
      <c r="AS32" s="305"/>
      <c r="AT32" s="304"/>
      <c r="AU32" s="305"/>
      <c r="AV32" s="304"/>
      <c r="AW32" s="313"/>
      <c r="AX32" s="338"/>
      <c r="AY32" s="305"/>
      <c r="AZ32" s="304"/>
      <c r="BA32" s="305"/>
      <c r="BB32" s="304"/>
      <c r="BC32" s="305"/>
      <c r="BD32" s="316"/>
    </row>
    <row r="33" spans="1:58" s="109" customFormat="1" ht="12" customHeight="1" outlineLevel="2">
      <c r="A33" s="336"/>
      <c r="B33" s="1101"/>
      <c r="C33" s="907" t="s">
        <v>624</v>
      </c>
      <c r="D33" s="908"/>
      <c r="E33" s="1104"/>
      <c r="F33" s="881" t="str">
        <f>IF(AND(C34="",C35="",C36=""),"","Soluté")</f>
        <v/>
      </c>
      <c r="G33" s="881"/>
      <c r="H33" s="881"/>
      <c r="I33" s="881"/>
      <c r="J33" s="881"/>
      <c r="K33" s="881"/>
      <c r="L33" s="907" t="str">
        <f>IF(AND(C34="",C35="",C36=""),"","Forme")</f>
        <v/>
      </c>
      <c r="M33" s="908"/>
      <c r="N33" s="908"/>
      <c r="O33" s="908"/>
      <c r="P33" s="1107" t="str">
        <f>IF(AND(C34="",C35="",C36=""),"","Volume tot/J")</f>
        <v/>
      </c>
      <c r="Q33" s="881"/>
      <c r="R33" s="881"/>
      <c r="S33" s="881"/>
      <c r="T33" s="1057" t="str">
        <f>IF(AND(C34="",C35="",C36=""),"","Débit")</f>
        <v/>
      </c>
      <c r="U33" s="1057"/>
      <c r="V33" s="1057"/>
      <c r="W33" s="1108"/>
      <c r="X33" s="885" t="str">
        <f>IF(OR(C34="KT Art",C35="KT Art",C36="KT Art"),"Héparine",IF(OR(F34="EAU STERILE",F35="EAU STERILE",F36="EAU STERILE"),IF(AND(X34="",X35="",X36=""),"","Alarme"),""))</f>
        <v/>
      </c>
      <c r="Y33" s="886"/>
      <c r="Z33" s="886"/>
      <c r="AA33" s="873" t="str">
        <f>IF(AND(C34="",C35="",C36=""),"","Note")</f>
        <v/>
      </c>
      <c r="AB33" s="873"/>
      <c r="AC33" s="873"/>
      <c r="AD33" s="873"/>
      <c r="AE33" s="874"/>
      <c r="AF33" s="370"/>
      <c r="AG33" s="333"/>
      <c r="AH33" s="304"/>
      <c r="AI33" s="305"/>
      <c r="AJ33" s="304"/>
      <c r="AK33" s="305"/>
      <c r="AL33" s="304"/>
      <c r="AM33" s="305"/>
      <c r="AN33" s="304"/>
      <c r="AO33" s="411"/>
      <c r="AP33" s="408"/>
      <c r="AQ33" s="381"/>
      <c r="AR33" s="304"/>
      <c r="AS33" s="305"/>
      <c r="AT33" s="304"/>
      <c r="AU33" s="305"/>
      <c r="AV33" s="304"/>
      <c r="AW33" s="313"/>
      <c r="AX33" s="338"/>
      <c r="AY33" s="305"/>
      <c r="AZ33" s="304"/>
      <c r="BA33" s="305"/>
      <c r="BB33" s="304"/>
      <c r="BC33" s="305"/>
      <c r="BD33" s="316"/>
    </row>
    <row r="34" spans="1:58" s="109" customFormat="1" ht="16.149999999999999" customHeight="1" outlineLevel="2">
      <c r="A34" s="336"/>
      <c r="B34" s="1102"/>
      <c r="C34" s="1105"/>
      <c r="D34" s="1106"/>
      <c r="E34" s="1106"/>
      <c r="F34" s="882"/>
      <c r="G34" s="883"/>
      <c r="H34" s="883"/>
      <c r="I34" s="883"/>
      <c r="J34" s="883"/>
      <c r="K34" s="884"/>
      <c r="L34" s="875" t="str">
        <f>IFERROR(VLOOKUP(F34,'Autre Perfusion'!$A$1:$C$25,2,FALSE),"")</f>
        <v/>
      </c>
      <c r="M34" s="876"/>
      <c r="N34" s="876"/>
      <c r="O34" s="876"/>
      <c r="P34" s="835"/>
      <c r="Q34" s="836"/>
      <c r="R34" s="1069" t="str">
        <f>IF(C34="","","mL")</f>
        <v/>
      </c>
      <c r="S34" s="1069"/>
      <c r="T34" s="1109" t="str">
        <f>IF(C34="","",P34/24)</f>
        <v/>
      </c>
      <c r="U34" s="1109"/>
      <c r="V34" s="923" t="str">
        <f>IF(C34="","","mL/H")</f>
        <v/>
      </c>
      <c r="W34" s="924"/>
      <c r="X34" s="1125" t="str">
        <f>IF(C34="KT Art","1U/mL",IF(AND(F34="EAU STERILE",C34&lt;&gt;C35,C34&lt;&gt;C36,G18="PAS DE TPN"),"Pas IV seul",""))</f>
        <v/>
      </c>
      <c r="Y34" s="1126"/>
      <c r="Z34" s="1126"/>
      <c r="AA34" s="871"/>
      <c r="AB34" s="871"/>
      <c r="AC34" s="871"/>
      <c r="AD34" s="871"/>
      <c r="AE34" s="872"/>
      <c r="AF34" s="370"/>
      <c r="AG34" s="333"/>
      <c r="AH34" s="304"/>
      <c r="AI34" s="305"/>
      <c r="AJ34" s="304"/>
      <c r="AK34" s="305"/>
      <c r="AL34" s="304"/>
      <c r="AM34" s="305"/>
      <c r="AN34" s="304"/>
      <c r="AO34" s="411"/>
      <c r="AP34" s="408"/>
      <c r="AQ34" s="381"/>
      <c r="AR34" s="304"/>
      <c r="AS34" s="305"/>
      <c r="AT34" s="304"/>
      <c r="AU34" s="305"/>
      <c r="AV34" s="304"/>
      <c r="AW34" s="313"/>
      <c r="AX34" s="338"/>
      <c r="AY34" s="305"/>
      <c r="AZ34" s="304"/>
      <c r="BA34" s="305"/>
      <c r="BB34" s="304"/>
      <c r="BC34" s="305"/>
      <c r="BD34" s="316"/>
    </row>
    <row r="35" spans="1:58" s="109" customFormat="1" ht="16.149999999999999" customHeight="1" outlineLevel="2">
      <c r="A35" s="336"/>
      <c r="B35" s="1102"/>
      <c r="C35" s="1105"/>
      <c r="D35" s="1106"/>
      <c r="E35" s="1106"/>
      <c r="F35" s="882"/>
      <c r="G35" s="883"/>
      <c r="H35" s="883"/>
      <c r="I35" s="883"/>
      <c r="J35" s="883"/>
      <c r="K35" s="884"/>
      <c r="L35" s="875" t="str">
        <f>IFERROR(VLOOKUP(F35,'Autre Perfusion'!$A$1:$C$25,2,FALSE),"")</f>
        <v/>
      </c>
      <c r="M35" s="876"/>
      <c r="N35" s="876"/>
      <c r="O35" s="876"/>
      <c r="P35" s="835"/>
      <c r="Q35" s="836"/>
      <c r="R35" s="1069" t="str">
        <f>IF(C35="","","mL")</f>
        <v/>
      </c>
      <c r="S35" s="1069"/>
      <c r="T35" s="1109" t="str">
        <f>IF(C35="","",P35/24)</f>
        <v/>
      </c>
      <c r="U35" s="1109"/>
      <c r="V35" s="923" t="str">
        <f>IF(C35="","","mL/H")</f>
        <v/>
      </c>
      <c r="W35" s="924"/>
      <c r="X35" s="1125" t="str">
        <f>IF(C35="KT Art","1U/mL",IF(AND(F35="EAU STERILE",C35&lt;&gt;C34,C35&lt;&gt;C36,G18="PAS DE TPN"),"Pas IV seul",""))</f>
        <v/>
      </c>
      <c r="Y35" s="1126"/>
      <c r="Z35" s="1126"/>
      <c r="AA35" s="871"/>
      <c r="AB35" s="871"/>
      <c r="AC35" s="871"/>
      <c r="AD35" s="871"/>
      <c r="AE35" s="872"/>
      <c r="AF35" s="370"/>
      <c r="AG35" s="333"/>
      <c r="AH35" s="304"/>
      <c r="AI35" s="305"/>
      <c r="AJ35" s="304"/>
      <c r="AK35" s="305"/>
      <c r="AL35" s="304"/>
      <c r="AM35" s="305"/>
      <c r="AN35" s="304"/>
      <c r="AO35" s="411"/>
      <c r="AP35" s="408"/>
      <c r="AQ35" s="381"/>
      <c r="AR35" s="304"/>
      <c r="AS35" s="305"/>
      <c r="AT35" s="304"/>
      <c r="AU35" s="305"/>
      <c r="AV35" s="304"/>
      <c r="AW35" s="313"/>
      <c r="AX35" s="338"/>
      <c r="AY35" s="305"/>
      <c r="AZ35" s="304"/>
      <c r="BA35" s="305"/>
      <c r="BB35" s="304"/>
      <c r="BC35" s="305"/>
      <c r="BD35" s="316"/>
    </row>
    <row r="36" spans="1:58" s="109" customFormat="1" ht="16.149999999999999" customHeight="1" outlineLevel="2" thickBot="1">
      <c r="A36" s="336"/>
      <c r="B36" s="1103"/>
      <c r="C36" s="1099"/>
      <c r="D36" s="1100"/>
      <c r="E36" s="1100"/>
      <c r="F36" s="1089"/>
      <c r="G36" s="1090"/>
      <c r="H36" s="1090"/>
      <c r="I36" s="1090"/>
      <c r="J36" s="1090"/>
      <c r="K36" s="1091"/>
      <c r="L36" s="829" t="str">
        <f>IFERROR(VLOOKUP(F36,'Autre Perfusion'!$A$1:$C$25,2,FALSE),"")</f>
        <v/>
      </c>
      <c r="M36" s="830"/>
      <c r="N36" s="830"/>
      <c r="O36" s="830"/>
      <c r="P36" s="1111"/>
      <c r="Q36" s="1112"/>
      <c r="R36" s="1129" t="str">
        <f>IF(C36="","","mL")</f>
        <v/>
      </c>
      <c r="S36" s="1129"/>
      <c r="T36" s="1166" t="str">
        <f>IF(C36="","",P36/24)</f>
        <v/>
      </c>
      <c r="U36" s="1166"/>
      <c r="V36" s="1164" t="str">
        <f>IF(C36="","","mL/H")</f>
        <v/>
      </c>
      <c r="W36" s="1165"/>
      <c r="X36" s="1167" t="str">
        <f>IF(C36="KT Art","1U/mL",IF(AND(F36="EAU STERILE",C36&lt;&gt;C34,C35&lt;&gt;C36,G18="PAS DE TPN"),"Pas IV seul",""))</f>
        <v/>
      </c>
      <c r="Y36" s="1168"/>
      <c r="Z36" s="1168"/>
      <c r="AA36" s="1127"/>
      <c r="AB36" s="1127"/>
      <c r="AC36" s="1127"/>
      <c r="AD36" s="1127"/>
      <c r="AE36" s="1128"/>
      <c r="AF36" s="432"/>
      <c r="AG36" s="433"/>
      <c r="AH36" s="434"/>
      <c r="AI36" s="435"/>
      <c r="AJ36" s="434"/>
      <c r="AK36" s="435"/>
      <c r="AL36" s="434"/>
      <c r="AM36" s="435"/>
      <c r="AN36" s="434"/>
      <c r="AO36" s="436"/>
      <c r="AP36" s="437"/>
      <c r="AQ36" s="438"/>
      <c r="AR36" s="434"/>
      <c r="AS36" s="435"/>
      <c r="AT36" s="434"/>
      <c r="AU36" s="435"/>
      <c r="AV36" s="434"/>
      <c r="AW36" s="439"/>
      <c r="AX36" s="440"/>
      <c r="AY36" s="435"/>
      <c r="AZ36" s="434"/>
      <c r="BA36" s="435"/>
      <c r="BB36" s="434"/>
      <c r="BC36" s="435"/>
      <c r="BD36" s="441"/>
      <c r="BF36" s="451"/>
    </row>
    <row r="37" spans="1:58" s="109" customFormat="1" ht="5.25" customHeight="1" outlineLevel="2" thickTop="1" thickBot="1">
      <c r="A37" s="336"/>
      <c r="B37" s="512"/>
      <c r="C37" s="424"/>
      <c r="D37" s="424"/>
      <c r="E37" s="424"/>
      <c r="F37" s="425"/>
      <c r="G37" s="425"/>
      <c r="H37" s="425"/>
      <c r="I37" s="425"/>
      <c r="J37" s="425"/>
      <c r="K37" s="425"/>
      <c r="L37" s="426"/>
      <c r="M37" s="426"/>
      <c r="N37" s="426"/>
      <c r="O37" s="426"/>
      <c r="P37" s="427"/>
      <c r="Q37" s="427"/>
      <c r="R37" s="428"/>
      <c r="S37" s="428"/>
      <c r="T37" s="429"/>
      <c r="U37" s="429"/>
      <c r="V37" s="430"/>
      <c r="W37" s="430"/>
      <c r="X37" s="431"/>
      <c r="Y37" s="431"/>
      <c r="Z37" s="431"/>
      <c r="AA37" s="431"/>
      <c r="AB37" s="431"/>
      <c r="AC37" s="431"/>
      <c r="AD37" s="431"/>
      <c r="AE37" s="431"/>
      <c r="AF37" s="457"/>
      <c r="AG37" s="433"/>
      <c r="AH37" s="434"/>
      <c r="AI37" s="435"/>
      <c r="AJ37" s="434"/>
      <c r="AK37" s="435"/>
      <c r="AL37" s="434"/>
      <c r="AM37" s="435"/>
      <c r="AN37" s="434"/>
      <c r="AO37" s="436"/>
      <c r="AP37" s="437"/>
      <c r="AQ37" s="438"/>
      <c r="AR37" s="434"/>
      <c r="AS37" s="435"/>
      <c r="AT37" s="434"/>
      <c r="AU37" s="435"/>
      <c r="AV37" s="434"/>
      <c r="AW37" s="439"/>
      <c r="AX37" s="440"/>
      <c r="AY37" s="435"/>
      <c r="AZ37" s="434"/>
      <c r="BA37" s="435"/>
      <c r="BB37" s="434"/>
      <c r="BC37" s="435"/>
      <c r="BD37" s="441"/>
    </row>
    <row r="38" spans="1:58" ht="16.7" customHeight="1" outlineLevel="2" thickTop="1">
      <c r="B38" s="1067" t="s">
        <v>560</v>
      </c>
      <c r="C38" s="1068"/>
      <c r="D38" s="1068"/>
      <c r="E38" s="1068"/>
      <c r="F38" s="1068"/>
      <c r="G38" s="1068"/>
      <c r="H38" s="1068"/>
      <c r="I38" s="1068"/>
      <c r="J38" s="1068"/>
      <c r="K38" s="1068"/>
      <c r="L38" s="831"/>
      <c r="M38" s="831"/>
      <c r="N38" s="831"/>
      <c r="O38" s="831"/>
      <c r="P38" s="831"/>
      <c r="Q38" s="831"/>
      <c r="R38" s="831"/>
      <c r="S38" s="831"/>
      <c r="T38" s="831"/>
      <c r="U38" s="831"/>
      <c r="V38" s="831"/>
      <c r="W38" s="831"/>
      <c r="X38" s="831"/>
      <c r="Y38" s="831"/>
      <c r="Z38" s="831"/>
      <c r="AA38" s="831"/>
      <c r="AB38" s="831"/>
      <c r="AC38" s="831"/>
      <c r="AD38" s="831"/>
      <c r="AE38" s="832"/>
      <c r="AF38" s="442"/>
      <c r="AG38" s="443"/>
      <c r="AH38" s="444"/>
      <c r="AI38" s="445"/>
      <c r="AJ38" s="444"/>
      <c r="AK38" s="445"/>
      <c r="AL38" s="444"/>
      <c r="AM38" s="445"/>
      <c r="AN38" s="444"/>
      <c r="AO38" s="446"/>
      <c r="AP38" s="447"/>
      <c r="AQ38" s="448"/>
      <c r="AR38" s="444"/>
      <c r="AS38" s="445"/>
      <c r="AT38" s="444"/>
      <c r="AU38" s="445"/>
      <c r="AV38" s="444"/>
      <c r="AW38" s="449"/>
      <c r="AX38" s="450"/>
      <c r="AY38" s="445"/>
      <c r="AZ38" s="444"/>
      <c r="BA38" s="445"/>
      <c r="BB38" s="444"/>
      <c r="BC38" s="445"/>
      <c r="BD38" s="452"/>
    </row>
    <row r="39" spans="1:58" ht="13.9" customHeight="1" outlineLevel="2">
      <c r="B39" s="1096" t="s">
        <v>625</v>
      </c>
      <c r="C39" s="1097"/>
      <c r="D39" s="1097"/>
      <c r="E39" s="1097"/>
      <c r="F39" s="1097"/>
      <c r="G39" s="1097"/>
      <c r="H39" s="1097"/>
      <c r="I39" s="1097"/>
      <c r="J39" s="1097"/>
      <c r="K39" s="1098"/>
      <c r="L39" s="1095" t="str">
        <f>IF(AND(C40="",C41="",C42="",C43=""),"","Forme")</f>
        <v/>
      </c>
      <c r="M39" s="1093"/>
      <c r="N39" s="1093"/>
      <c r="O39" s="1093"/>
      <c r="P39" s="1092" t="str">
        <f>IF(AND(C40="",C41="",C42="",C43=""),"","Dose")</f>
        <v/>
      </c>
      <c r="Q39" s="1093"/>
      <c r="R39" s="1093"/>
      <c r="S39" s="1093"/>
      <c r="T39" s="1093"/>
      <c r="U39" s="1094"/>
      <c r="V39" s="1095" t="str">
        <f>IF(AND(C40="",C41="",C42="",C43=""),"","Concentration")</f>
        <v/>
      </c>
      <c r="W39" s="1093"/>
      <c r="X39" s="1093"/>
      <c r="Y39" s="1110"/>
      <c r="Z39" s="833" t="str">
        <f>IF(AND(C40="",C41="",C42="",C43=""),"","Note")</f>
        <v/>
      </c>
      <c r="AA39" s="833"/>
      <c r="AB39" s="833"/>
      <c r="AC39" s="833"/>
      <c r="AD39" s="833"/>
      <c r="AE39" s="834"/>
      <c r="AF39" s="368" t="s">
        <v>188</v>
      </c>
      <c r="AG39" s="303">
        <v>14</v>
      </c>
      <c r="AH39" s="302"/>
      <c r="AI39" s="303">
        <v>16</v>
      </c>
      <c r="AJ39" s="302"/>
      <c r="AK39" s="303">
        <v>18</v>
      </c>
      <c r="AL39" s="302"/>
      <c r="AM39" s="303">
        <v>20</v>
      </c>
      <c r="AN39" s="302"/>
      <c r="AO39" s="410">
        <v>22</v>
      </c>
      <c r="AP39" s="407"/>
      <c r="AQ39" s="380">
        <v>0</v>
      </c>
      <c r="AR39" s="302"/>
      <c r="AS39" s="303">
        <v>2</v>
      </c>
      <c r="AT39" s="302"/>
      <c r="AU39" s="303">
        <v>4</v>
      </c>
      <c r="AV39" s="304"/>
      <c r="AW39" s="312">
        <v>6</v>
      </c>
      <c r="AX39" s="337"/>
      <c r="AY39" s="303">
        <v>8</v>
      </c>
      <c r="AZ39" s="302"/>
      <c r="BA39" s="303">
        <v>10</v>
      </c>
      <c r="BB39" s="302"/>
      <c r="BC39" s="303">
        <v>12</v>
      </c>
      <c r="BD39" s="453"/>
    </row>
    <row r="40" spans="1:58" ht="16.149999999999999" customHeight="1" outlineLevel="2">
      <c r="B40" s="1014"/>
      <c r="C40" s="1011"/>
      <c r="D40" s="1012"/>
      <c r="E40" s="1012"/>
      <c r="F40" s="1012"/>
      <c r="G40" s="1012"/>
      <c r="H40" s="1012"/>
      <c r="I40" s="1012"/>
      <c r="J40" s="1012"/>
      <c r="K40" s="1013"/>
      <c r="L40" s="1050" t="str">
        <f>IFERROR(VLOOKUP(C40,'IV Continue'!$A$1:$G$45,2,FALSE),"")</f>
        <v/>
      </c>
      <c r="M40" s="1051"/>
      <c r="N40" s="1051"/>
      <c r="O40" s="1051"/>
      <c r="P40" s="827"/>
      <c r="Q40" s="828"/>
      <c r="R40" s="1160" t="str">
        <f>IFERROR(VLOOKUP(C40,'IV Continue'!$A$1:$G$45,4,FALSE),"")</f>
        <v/>
      </c>
      <c r="S40" s="1160"/>
      <c r="T40" s="1160"/>
      <c r="U40" s="1161"/>
      <c r="V40" s="1158"/>
      <c r="W40" s="1158"/>
      <c r="X40" s="1158"/>
      <c r="Y40" s="1159"/>
      <c r="Z40" s="1130"/>
      <c r="AA40" s="1131"/>
      <c r="AB40" s="1131"/>
      <c r="AC40" s="1131"/>
      <c r="AD40" s="1131"/>
      <c r="AE40" s="1132"/>
      <c r="AF40" s="369"/>
      <c r="AG40" s="536"/>
      <c r="AH40" s="537"/>
      <c r="AI40" s="538"/>
      <c r="AJ40" s="537"/>
      <c r="AK40" s="538"/>
      <c r="AL40" s="537"/>
      <c r="AM40" s="538"/>
      <c r="AN40" s="537"/>
      <c r="AO40" s="539"/>
      <c r="AP40" s="540"/>
      <c r="AQ40" s="541"/>
      <c r="AR40" s="537"/>
      <c r="AS40" s="538"/>
      <c r="AT40" s="537"/>
      <c r="AU40" s="538"/>
      <c r="AV40" s="537"/>
      <c r="AW40" s="539"/>
      <c r="AX40" s="542"/>
      <c r="AY40" s="538"/>
      <c r="AZ40" s="537"/>
      <c r="BA40" s="538"/>
      <c r="BB40" s="537"/>
      <c r="BC40" s="538"/>
      <c r="BD40" s="543"/>
      <c r="BE40" s="108"/>
    </row>
    <row r="41" spans="1:58" s="119" customFormat="1" ht="16.149999999999999" customHeight="1" outlineLevel="2">
      <c r="B41" s="1015"/>
      <c r="C41" s="1011"/>
      <c r="D41" s="1012"/>
      <c r="E41" s="1012"/>
      <c r="F41" s="1012"/>
      <c r="G41" s="1012"/>
      <c r="H41" s="1012"/>
      <c r="I41" s="1012"/>
      <c r="J41" s="1012"/>
      <c r="K41" s="1013"/>
      <c r="L41" s="1050" t="str">
        <f>IFERROR(VLOOKUP(C41,'IV Continue'!$A$1:$G$45,2,FALSE),"")</f>
        <v/>
      </c>
      <c r="M41" s="1051"/>
      <c r="N41" s="1051"/>
      <c r="O41" s="1051"/>
      <c r="P41" s="827"/>
      <c r="Q41" s="828"/>
      <c r="R41" s="1162" t="str">
        <f>IFERROR(VLOOKUP(C41,'IV Continue'!$A$1:$G$45,4,FALSE),"")</f>
        <v/>
      </c>
      <c r="S41" s="1162"/>
      <c r="T41" s="1162"/>
      <c r="U41" s="1163"/>
      <c r="V41" s="1158"/>
      <c r="W41" s="1158"/>
      <c r="X41" s="1158"/>
      <c r="Y41" s="1159"/>
      <c r="Z41" s="1130"/>
      <c r="AA41" s="1131"/>
      <c r="AB41" s="1131"/>
      <c r="AC41" s="1131"/>
      <c r="AD41" s="1131"/>
      <c r="AE41" s="1132"/>
      <c r="AF41" s="369"/>
      <c r="AG41" s="538"/>
      <c r="AH41" s="537"/>
      <c r="AI41" s="538"/>
      <c r="AJ41" s="537"/>
      <c r="AK41" s="538"/>
      <c r="AL41" s="537"/>
      <c r="AM41" s="538"/>
      <c r="AN41" s="537"/>
      <c r="AO41" s="539"/>
      <c r="AP41" s="540"/>
      <c r="AQ41" s="541"/>
      <c r="AR41" s="537"/>
      <c r="AS41" s="538"/>
      <c r="AT41" s="537"/>
      <c r="AU41" s="538"/>
      <c r="AV41" s="537"/>
      <c r="AW41" s="539"/>
      <c r="AX41" s="542"/>
      <c r="AY41" s="538"/>
      <c r="AZ41" s="537"/>
      <c r="BA41" s="538"/>
      <c r="BB41" s="537"/>
      <c r="BC41" s="538"/>
      <c r="BD41" s="543"/>
    </row>
    <row r="42" spans="1:58" s="119" customFormat="1" ht="16.149999999999999" customHeight="1" outlineLevel="2">
      <c r="B42" s="1015"/>
      <c r="C42" s="1011"/>
      <c r="D42" s="1012"/>
      <c r="E42" s="1012"/>
      <c r="F42" s="1012"/>
      <c r="G42" s="1012"/>
      <c r="H42" s="1012"/>
      <c r="I42" s="1012"/>
      <c r="J42" s="1012"/>
      <c r="K42" s="1013"/>
      <c r="L42" s="1050" t="str">
        <f>IFERROR(VLOOKUP(C42,'IV Continue'!$A$1:$G$45,2,FALSE),"")</f>
        <v/>
      </c>
      <c r="M42" s="1051"/>
      <c r="N42" s="1051"/>
      <c r="O42" s="1051"/>
      <c r="P42" s="827"/>
      <c r="Q42" s="828"/>
      <c r="R42" s="1162" t="str">
        <f>IFERROR(VLOOKUP(C42,'IV Continue'!$A$1:$G$45,4,FALSE),"")</f>
        <v/>
      </c>
      <c r="S42" s="1162"/>
      <c r="T42" s="1162"/>
      <c r="U42" s="1163"/>
      <c r="V42" s="1158"/>
      <c r="W42" s="1158"/>
      <c r="X42" s="1158"/>
      <c r="Y42" s="1159"/>
      <c r="Z42" s="1130"/>
      <c r="AA42" s="1131"/>
      <c r="AB42" s="1131"/>
      <c r="AC42" s="1131"/>
      <c r="AD42" s="1131"/>
      <c r="AE42" s="1132"/>
      <c r="AF42" s="369"/>
      <c r="AG42" s="538"/>
      <c r="AH42" s="537"/>
      <c r="AI42" s="538"/>
      <c r="AJ42" s="537"/>
      <c r="AK42" s="538"/>
      <c r="AL42" s="537"/>
      <c r="AM42" s="538"/>
      <c r="AN42" s="537"/>
      <c r="AO42" s="539"/>
      <c r="AP42" s="540"/>
      <c r="AQ42" s="541"/>
      <c r="AR42" s="537"/>
      <c r="AS42" s="538"/>
      <c r="AT42" s="537"/>
      <c r="AU42" s="538"/>
      <c r="AV42" s="537"/>
      <c r="AW42" s="539"/>
      <c r="AX42" s="542"/>
      <c r="AY42" s="538"/>
      <c r="AZ42" s="537"/>
      <c r="BA42" s="538"/>
      <c r="BB42" s="537"/>
      <c r="BC42" s="538"/>
      <c r="BD42" s="543"/>
    </row>
    <row r="43" spans="1:58" s="119" customFormat="1" ht="16.149999999999999" customHeight="1" outlineLevel="2">
      <c r="B43" s="1015"/>
      <c r="C43" s="1011"/>
      <c r="D43" s="1012"/>
      <c r="E43" s="1012"/>
      <c r="F43" s="1012"/>
      <c r="G43" s="1012"/>
      <c r="H43" s="1012"/>
      <c r="I43" s="1012"/>
      <c r="J43" s="1012"/>
      <c r="K43" s="1013"/>
      <c r="L43" s="1050" t="str">
        <f>IFERROR(VLOOKUP(C43,'IV Continue'!$A$1:$G$45,2,FALSE),"")</f>
        <v/>
      </c>
      <c r="M43" s="1051"/>
      <c r="N43" s="1051"/>
      <c r="O43" s="1051"/>
      <c r="P43" s="827"/>
      <c r="Q43" s="828"/>
      <c r="R43" s="1162" t="str">
        <f>IFERROR(VLOOKUP(C43,'IV Continue'!$A$1:$G$45,4,FALSE),"")</f>
        <v/>
      </c>
      <c r="S43" s="1162"/>
      <c r="T43" s="1162"/>
      <c r="U43" s="1163"/>
      <c r="V43" s="1158"/>
      <c r="W43" s="1158"/>
      <c r="X43" s="1158"/>
      <c r="Y43" s="1159"/>
      <c r="Z43" s="1130"/>
      <c r="AA43" s="1131"/>
      <c r="AB43" s="1131"/>
      <c r="AC43" s="1131"/>
      <c r="AD43" s="1131"/>
      <c r="AE43" s="1132"/>
      <c r="AF43" s="369"/>
      <c r="AG43" s="538"/>
      <c r="AH43" s="537"/>
      <c r="AI43" s="538"/>
      <c r="AJ43" s="537"/>
      <c r="AK43" s="538"/>
      <c r="AL43" s="537"/>
      <c r="AM43" s="538"/>
      <c r="AN43" s="537"/>
      <c r="AO43" s="539"/>
      <c r="AP43" s="540"/>
      <c r="AQ43" s="541"/>
      <c r="AR43" s="537"/>
      <c r="AS43" s="538"/>
      <c r="AT43" s="537"/>
      <c r="AU43" s="538"/>
      <c r="AV43" s="537"/>
      <c r="AW43" s="539"/>
      <c r="AX43" s="542"/>
      <c r="AY43" s="538"/>
      <c r="AZ43" s="537"/>
      <c r="BA43" s="538"/>
      <c r="BB43" s="537"/>
      <c r="BC43" s="538"/>
      <c r="BD43" s="543"/>
    </row>
    <row r="44" spans="1:58" s="119" customFormat="1" ht="16.149999999999999" customHeight="1" outlineLevel="2">
      <c r="B44" s="1016"/>
      <c r="C44" s="1059"/>
      <c r="D44" s="1060"/>
      <c r="E44" s="1060"/>
      <c r="F44" s="1060"/>
      <c r="G44" s="1060"/>
      <c r="H44" s="1060"/>
      <c r="I44" s="1060"/>
      <c r="J44" s="1060"/>
      <c r="K44" s="1061"/>
      <c r="L44" s="1062"/>
      <c r="M44" s="1063"/>
      <c r="N44" s="1063"/>
      <c r="O44" s="1064"/>
      <c r="P44" s="1065"/>
      <c r="Q44" s="1066"/>
      <c r="R44" s="986"/>
      <c r="S44" s="986"/>
      <c r="T44" s="986"/>
      <c r="U44" s="1190"/>
      <c r="V44" s="1191"/>
      <c r="W44" s="1192"/>
      <c r="X44" s="1192"/>
      <c r="Y44" s="1193"/>
      <c r="Z44" s="1169"/>
      <c r="AA44" s="1170"/>
      <c r="AB44" s="1170"/>
      <c r="AC44" s="1170"/>
      <c r="AD44" s="1170"/>
      <c r="AE44" s="1171"/>
      <c r="AF44" s="369"/>
      <c r="AG44" s="538"/>
      <c r="AH44" s="537"/>
      <c r="AI44" s="538"/>
      <c r="AJ44" s="537"/>
      <c r="AK44" s="538"/>
      <c r="AL44" s="537"/>
      <c r="AM44" s="538"/>
      <c r="AN44" s="537"/>
      <c r="AO44" s="539"/>
      <c r="AP44" s="540"/>
      <c r="AQ44" s="541"/>
      <c r="AR44" s="537"/>
      <c r="AS44" s="538"/>
      <c r="AT44" s="537"/>
      <c r="AU44" s="538"/>
      <c r="AV44" s="537"/>
      <c r="AW44" s="539"/>
      <c r="AX44" s="542"/>
      <c r="AY44" s="538"/>
      <c r="AZ44" s="537"/>
      <c r="BA44" s="538"/>
      <c r="BB44" s="537"/>
      <c r="BC44" s="538"/>
      <c r="BD44" s="543"/>
    </row>
    <row r="45" spans="1:58" ht="13.9" customHeight="1" outlineLevel="2">
      <c r="B45" s="1009" t="s">
        <v>626</v>
      </c>
      <c r="C45" s="1010"/>
      <c r="D45" s="1010"/>
      <c r="E45" s="1010"/>
      <c r="F45" s="1010"/>
      <c r="G45" s="1010"/>
      <c r="H45" s="1010"/>
      <c r="I45" s="1010"/>
      <c r="J45" s="1010"/>
      <c r="K45" s="1010"/>
      <c r="L45" s="1057" t="str">
        <f>IF(AND(C46="",C47="",C48="",C49="",C50="",C51="",C52="",C53="",C54=""),"","Forme")</f>
        <v/>
      </c>
      <c r="M45" s="1057"/>
      <c r="N45" s="1057"/>
      <c r="O45" s="1058"/>
      <c r="P45" s="1187" t="str">
        <f>IF(AND(C46="",C47="",C48="",C49="",C50="",C51="",C52="",C53="",C54=""),"","Dose")</f>
        <v/>
      </c>
      <c r="Q45" s="1172"/>
      <c r="R45" s="1172"/>
      <c r="S45" s="1188"/>
      <c r="T45" s="1057" t="str">
        <f>IF(AND(C46="",C47="",C48="",C49="",C50="",C51="",C52="",C53="",C54=""),"","Fréq")</f>
        <v/>
      </c>
      <c r="U45" s="1057"/>
      <c r="V45" s="1058" t="str">
        <f>IF(AND(C46="",C47="",C48="",C49="",C50="",C51="",C52="",C53="",C54=""),"","Modalité")</f>
        <v/>
      </c>
      <c r="W45" s="1172"/>
      <c r="X45" s="1172"/>
      <c r="Y45" s="1189"/>
      <c r="Z45" s="1172" t="str">
        <f>IF(AND(C46="",C47="",C48="",C49="",C50="",C51="",C52="",C53="",C54=""),"","Note")</f>
        <v/>
      </c>
      <c r="AA45" s="1172"/>
      <c r="AB45" s="1172"/>
      <c r="AC45" s="1172"/>
      <c r="AD45" s="1172"/>
      <c r="AE45" s="1173"/>
      <c r="AF45" s="368" t="s">
        <v>188</v>
      </c>
      <c r="AG45" s="303">
        <v>14</v>
      </c>
      <c r="AH45" s="518"/>
      <c r="AI45" s="303">
        <v>16</v>
      </c>
      <c r="AJ45" s="518"/>
      <c r="AK45" s="303">
        <v>18</v>
      </c>
      <c r="AL45" s="518"/>
      <c r="AM45" s="303">
        <v>20</v>
      </c>
      <c r="AN45" s="518"/>
      <c r="AO45" s="410">
        <v>22</v>
      </c>
      <c r="AP45" s="523"/>
      <c r="AQ45" s="380">
        <v>0</v>
      </c>
      <c r="AR45" s="518"/>
      <c r="AS45" s="303">
        <v>2</v>
      </c>
      <c r="AT45" s="518"/>
      <c r="AU45" s="303">
        <v>4</v>
      </c>
      <c r="AV45" s="518"/>
      <c r="AW45" s="410">
        <v>6</v>
      </c>
      <c r="AX45" s="525"/>
      <c r="AY45" s="303">
        <v>8</v>
      </c>
      <c r="AZ45" s="518"/>
      <c r="BA45" s="303">
        <v>10</v>
      </c>
      <c r="BB45" s="518"/>
      <c r="BC45" s="303">
        <v>12</v>
      </c>
      <c r="BD45" s="521"/>
    </row>
    <row r="46" spans="1:58" s="119" customFormat="1" ht="16.149999999999999" customHeight="1" outlineLevel="2">
      <c r="B46" s="1117"/>
      <c r="C46" s="1054"/>
      <c r="D46" s="1054"/>
      <c r="E46" s="1054"/>
      <c r="F46" s="1054"/>
      <c r="G46" s="1054"/>
      <c r="H46" s="1054"/>
      <c r="I46" s="1054"/>
      <c r="J46" s="1054"/>
      <c r="K46" s="1054"/>
      <c r="L46" s="1052" t="str">
        <f>IFERROR(VLOOKUP(C46,'IV Discontinue'!$A$1:$B$109,2,FALSE),"")</f>
        <v/>
      </c>
      <c r="M46" s="1052"/>
      <c r="N46" s="1052"/>
      <c r="O46" s="1053"/>
      <c r="P46" s="1055"/>
      <c r="Q46" s="1056"/>
      <c r="R46" s="999" t="str">
        <f>IFERROR(VLOOKUP(C46,'IV Discontinue'!$A$1:$D$109,4,FALSE),"")</f>
        <v/>
      </c>
      <c r="S46" s="1000"/>
      <c r="T46" s="1074" t="str">
        <f>IFERROR(VLOOKUP(C46,'IV Discontinue'!$A$1:$F$127,5,FALSE),"")</f>
        <v/>
      </c>
      <c r="U46" s="1074"/>
      <c r="V46" s="1007" t="str">
        <f>IFERROR(VLOOKUP(C46,'IV Discontinue'!$A$1:$F$127,6,FALSE),"")</f>
        <v/>
      </c>
      <c r="W46" s="1007"/>
      <c r="X46" s="1007"/>
      <c r="Y46" s="1008"/>
      <c r="Z46" s="1121"/>
      <c r="AA46" s="1122"/>
      <c r="AB46" s="1122"/>
      <c r="AC46" s="1122"/>
      <c r="AD46" s="1122"/>
      <c r="AE46" s="1123"/>
      <c r="AF46" s="369"/>
      <c r="AG46" s="538"/>
      <c r="AH46" s="537"/>
      <c r="AI46" s="538"/>
      <c r="AJ46" s="537"/>
      <c r="AK46" s="538"/>
      <c r="AL46" s="537"/>
      <c r="AM46" s="538"/>
      <c r="AN46" s="537"/>
      <c r="AO46" s="539"/>
      <c r="AP46" s="540"/>
      <c r="AQ46" s="541"/>
      <c r="AR46" s="537"/>
      <c r="AS46" s="538"/>
      <c r="AT46" s="537"/>
      <c r="AU46" s="538"/>
      <c r="AV46" s="537"/>
      <c r="AW46" s="539"/>
      <c r="AX46" s="542"/>
      <c r="AY46" s="538"/>
      <c r="AZ46" s="537"/>
      <c r="BA46" s="538"/>
      <c r="BB46" s="537"/>
      <c r="BC46" s="538"/>
      <c r="BD46" s="543"/>
    </row>
    <row r="47" spans="1:58" s="119" customFormat="1" ht="16.149999999999999" customHeight="1" outlineLevel="2">
      <c r="B47" s="1117"/>
      <c r="C47" s="1054"/>
      <c r="D47" s="1054"/>
      <c r="E47" s="1054"/>
      <c r="F47" s="1054"/>
      <c r="G47" s="1054"/>
      <c r="H47" s="1054"/>
      <c r="I47" s="1054"/>
      <c r="J47" s="1054"/>
      <c r="K47" s="1054"/>
      <c r="L47" s="1052" t="str">
        <f>IFERROR(VLOOKUP(C47,'IV Discontinue'!$A$1:$B$109,2,FALSE),"")</f>
        <v/>
      </c>
      <c r="M47" s="1052"/>
      <c r="N47" s="1052"/>
      <c r="O47" s="1053"/>
      <c r="P47" s="1055"/>
      <c r="Q47" s="1056"/>
      <c r="R47" s="999" t="str">
        <f>IFERROR(VLOOKUP(C47,'IV Discontinue'!$A$1:$D$109,4,FALSE),"")</f>
        <v/>
      </c>
      <c r="S47" s="1000"/>
      <c r="T47" s="1074" t="str">
        <f>IFERROR(VLOOKUP(C47,'IV Discontinue'!$A$1:$F$127,5,FALSE),"")</f>
        <v/>
      </c>
      <c r="U47" s="1074"/>
      <c r="V47" s="1007" t="str">
        <f>IFERROR(VLOOKUP(C47,'IV Discontinue'!$A$1:$F$127,6,FALSE),"")</f>
        <v/>
      </c>
      <c r="W47" s="1007"/>
      <c r="X47" s="1007"/>
      <c r="Y47" s="1008"/>
      <c r="Z47" s="1121"/>
      <c r="AA47" s="1122"/>
      <c r="AB47" s="1122"/>
      <c r="AC47" s="1122"/>
      <c r="AD47" s="1122"/>
      <c r="AE47" s="1123"/>
      <c r="AF47" s="369"/>
      <c r="AG47" s="538"/>
      <c r="AH47" s="537"/>
      <c r="AI47" s="538"/>
      <c r="AJ47" s="537"/>
      <c r="AK47" s="538"/>
      <c r="AL47" s="537"/>
      <c r="AM47" s="538"/>
      <c r="AN47" s="537"/>
      <c r="AO47" s="539"/>
      <c r="AP47" s="540"/>
      <c r="AQ47" s="541"/>
      <c r="AR47" s="537"/>
      <c r="AS47" s="538"/>
      <c r="AT47" s="537"/>
      <c r="AU47" s="538"/>
      <c r="AV47" s="537"/>
      <c r="AW47" s="539"/>
      <c r="AX47" s="542"/>
      <c r="AY47" s="538"/>
      <c r="AZ47" s="537"/>
      <c r="BA47" s="538"/>
      <c r="BB47" s="537"/>
      <c r="BC47" s="538"/>
      <c r="BD47" s="543"/>
    </row>
    <row r="48" spans="1:58" s="119" customFormat="1" ht="16.149999999999999" customHeight="1" outlineLevel="2">
      <c r="B48" s="1117"/>
      <c r="C48" s="1054"/>
      <c r="D48" s="1054"/>
      <c r="E48" s="1054"/>
      <c r="F48" s="1054"/>
      <c r="G48" s="1054"/>
      <c r="H48" s="1054"/>
      <c r="I48" s="1054"/>
      <c r="J48" s="1054"/>
      <c r="K48" s="1054"/>
      <c r="L48" s="1052" t="str">
        <f>IFERROR(VLOOKUP(C48,'IV Discontinue'!$A$1:$B$109,2,FALSE),"")</f>
        <v/>
      </c>
      <c r="M48" s="1052"/>
      <c r="N48" s="1052"/>
      <c r="O48" s="1053"/>
      <c r="P48" s="1055"/>
      <c r="Q48" s="1056"/>
      <c r="R48" s="999" t="str">
        <f>IFERROR(VLOOKUP(C48,'IV Discontinue'!$A$1:$D$109,4,FALSE),"")</f>
        <v/>
      </c>
      <c r="S48" s="1000"/>
      <c r="T48" s="1074" t="str">
        <f>IFERROR(VLOOKUP(C48,'IV Discontinue'!$A$1:$F$127,5,FALSE),"")</f>
        <v/>
      </c>
      <c r="U48" s="1074"/>
      <c r="V48" s="1007" t="str">
        <f>IFERROR(VLOOKUP(C48,'IV Discontinue'!$A$1:$F$127,6,FALSE),"")</f>
        <v/>
      </c>
      <c r="W48" s="1007"/>
      <c r="X48" s="1007"/>
      <c r="Y48" s="1008"/>
      <c r="Z48" s="1121"/>
      <c r="AA48" s="1122"/>
      <c r="AB48" s="1122"/>
      <c r="AC48" s="1122"/>
      <c r="AD48" s="1122"/>
      <c r="AE48" s="1123"/>
      <c r="AF48" s="369"/>
      <c r="AG48" s="538"/>
      <c r="AH48" s="537"/>
      <c r="AI48" s="538"/>
      <c r="AJ48" s="537"/>
      <c r="AK48" s="538"/>
      <c r="AL48" s="537"/>
      <c r="AM48" s="538"/>
      <c r="AN48" s="537"/>
      <c r="AO48" s="539"/>
      <c r="AP48" s="540"/>
      <c r="AQ48" s="541"/>
      <c r="AR48" s="537"/>
      <c r="AS48" s="538"/>
      <c r="AT48" s="537"/>
      <c r="AU48" s="538"/>
      <c r="AV48" s="537"/>
      <c r="AW48" s="539"/>
      <c r="AX48" s="542"/>
      <c r="AY48" s="538"/>
      <c r="AZ48" s="537"/>
      <c r="BA48" s="538"/>
      <c r="BB48" s="537"/>
      <c r="BC48" s="538"/>
      <c r="BD48" s="543"/>
    </row>
    <row r="49" spans="2:56" s="119" customFormat="1" ht="16.149999999999999" customHeight="1" outlineLevel="2">
      <c r="B49" s="1117"/>
      <c r="C49" s="1054"/>
      <c r="D49" s="1054"/>
      <c r="E49" s="1054"/>
      <c r="F49" s="1054"/>
      <c r="G49" s="1054"/>
      <c r="H49" s="1054"/>
      <c r="I49" s="1054"/>
      <c r="J49" s="1054"/>
      <c r="K49" s="1054"/>
      <c r="L49" s="1052" t="str">
        <f>IFERROR(VLOOKUP(C49,'IV Discontinue'!$A$1:$B$109,2,FALSE),"")</f>
        <v/>
      </c>
      <c r="M49" s="1052"/>
      <c r="N49" s="1052"/>
      <c r="O49" s="1053"/>
      <c r="P49" s="1055"/>
      <c r="Q49" s="1056"/>
      <c r="R49" s="999" t="str">
        <f>IFERROR(VLOOKUP(C49,'IV Discontinue'!$A$1:$D$109,4,FALSE),"")</f>
        <v/>
      </c>
      <c r="S49" s="1000"/>
      <c r="T49" s="1074" t="str">
        <f>IFERROR(VLOOKUP(C49,'IV Discontinue'!$A$1:$F$127,5,FALSE),"")</f>
        <v/>
      </c>
      <c r="U49" s="1074"/>
      <c r="V49" s="1007" t="str">
        <f>IFERROR(VLOOKUP(C49,'IV Discontinue'!$A$1:$F$127,6,FALSE),"")</f>
        <v/>
      </c>
      <c r="W49" s="1007"/>
      <c r="X49" s="1007"/>
      <c r="Y49" s="1008"/>
      <c r="Z49" s="1121"/>
      <c r="AA49" s="1122"/>
      <c r="AB49" s="1122"/>
      <c r="AC49" s="1122"/>
      <c r="AD49" s="1122"/>
      <c r="AE49" s="1123"/>
      <c r="AF49" s="370"/>
      <c r="AG49" s="538"/>
      <c r="AH49" s="537"/>
      <c r="AI49" s="538"/>
      <c r="AJ49" s="537"/>
      <c r="AK49" s="538"/>
      <c r="AL49" s="537"/>
      <c r="AM49" s="538"/>
      <c r="AN49" s="537"/>
      <c r="AO49" s="539"/>
      <c r="AP49" s="540"/>
      <c r="AQ49" s="541"/>
      <c r="AR49" s="537"/>
      <c r="AS49" s="538"/>
      <c r="AT49" s="537"/>
      <c r="AU49" s="538"/>
      <c r="AV49" s="537"/>
      <c r="AW49" s="539"/>
      <c r="AX49" s="542"/>
      <c r="AY49" s="538"/>
      <c r="AZ49" s="537"/>
      <c r="BA49" s="538"/>
      <c r="BB49" s="537"/>
      <c r="BC49" s="538"/>
      <c r="BD49" s="543"/>
    </row>
    <row r="50" spans="2:56" s="119" customFormat="1" ht="16.149999999999999" customHeight="1" outlineLevel="2">
      <c r="B50" s="1117"/>
      <c r="C50" s="1054"/>
      <c r="D50" s="1054"/>
      <c r="E50" s="1054"/>
      <c r="F50" s="1054"/>
      <c r="G50" s="1054"/>
      <c r="H50" s="1054"/>
      <c r="I50" s="1054"/>
      <c r="J50" s="1054"/>
      <c r="K50" s="1054"/>
      <c r="L50" s="1052" t="str">
        <f>IFERROR(VLOOKUP(C50,'IV Discontinue'!$A$1:$B$109,2,FALSE),"")</f>
        <v/>
      </c>
      <c r="M50" s="1052"/>
      <c r="N50" s="1052"/>
      <c r="O50" s="1053"/>
      <c r="P50" s="1055"/>
      <c r="Q50" s="1056"/>
      <c r="R50" s="999" t="str">
        <f>IFERROR(VLOOKUP(C50,'IV Discontinue'!$A$1:$D$109,4,FALSE),"")</f>
        <v/>
      </c>
      <c r="S50" s="1000"/>
      <c r="T50" s="1074" t="str">
        <f>IFERROR(VLOOKUP(C50,'IV Discontinue'!$A$1:$F$127,5,FALSE),"")</f>
        <v/>
      </c>
      <c r="U50" s="1074"/>
      <c r="V50" s="1007" t="str">
        <f>IFERROR(VLOOKUP(C50,'IV Discontinue'!$A$1:$F$127,6,FALSE),"")</f>
        <v/>
      </c>
      <c r="W50" s="1007"/>
      <c r="X50" s="1007"/>
      <c r="Y50" s="1008"/>
      <c r="Z50" s="983"/>
      <c r="AA50" s="984"/>
      <c r="AB50" s="984"/>
      <c r="AC50" s="984"/>
      <c r="AD50" s="984"/>
      <c r="AE50" s="985"/>
      <c r="AF50" s="370"/>
      <c r="AG50" s="538"/>
      <c r="AH50" s="537"/>
      <c r="AI50" s="538"/>
      <c r="AJ50" s="537"/>
      <c r="AK50" s="538"/>
      <c r="AL50" s="537"/>
      <c r="AM50" s="538"/>
      <c r="AN50" s="537"/>
      <c r="AO50" s="539"/>
      <c r="AP50" s="540"/>
      <c r="AQ50" s="541"/>
      <c r="AR50" s="537"/>
      <c r="AS50" s="538"/>
      <c r="AT50" s="537"/>
      <c r="AU50" s="538"/>
      <c r="AV50" s="537"/>
      <c r="AW50" s="539"/>
      <c r="AX50" s="542"/>
      <c r="AY50" s="538"/>
      <c r="AZ50" s="537"/>
      <c r="BA50" s="538"/>
      <c r="BB50" s="537"/>
      <c r="BC50" s="538"/>
      <c r="BD50" s="543"/>
    </row>
    <row r="51" spans="2:56" s="119" customFormat="1" ht="16.149999999999999" customHeight="1" outlineLevel="2">
      <c r="B51" s="1117"/>
      <c r="C51" s="1054"/>
      <c r="D51" s="1054"/>
      <c r="E51" s="1054"/>
      <c r="F51" s="1054"/>
      <c r="G51" s="1054"/>
      <c r="H51" s="1054"/>
      <c r="I51" s="1054"/>
      <c r="J51" s="1054"/>
      <c r="K51" s="1054"/>
      <c r="L51" s="1052" t="str">
        <f>IFERROR(VLOOKUP(C51,'IV Discontinue'!$A$1:$B$109,2,FALSE),"")</f>
        <v/>
      </c>
      <c r="M51" s="1052"/>
      <c r="N51" s="1052"/>
      <c r="O51" s="1053"/>
      <c r="P51" s="1055"/>
      <c r="Q51" s="1056"/>
      <c r="R51" s="999" t="str">
        <f>IFERROR(VLOOKUP(C51,'IV Discontinue'!$A$1:$D$109,4,FALSE),"")</f>
        <v/>
      </c>
      <c r="S51" s="1000"/>
      <c r="T51" s="1074" t="str">
        <f>IFERROR(VLOOKUP(C51,'IV Discontinue'!$A$1:$F$127,5,FALSE),"")</f>
        <v/>
      </c>
      <c r="U51" s="1074"/>
      <c r="V51" s="1007" t="str">
        <f>IFERROR(VLOOKUP(C51,'IV Discontinue'!$A$1:$F$127,6,FALSE),"")</f>
        <v/>
      </c>
      <c r="W51" s="1007"/>
      <c r="X51" s="1007"/>
      <c r="Y51" s="1008"/>
      <c r="Z51" s="983"/>
      <c r="AA51" s="984"/>
      <c r="AB51" s="984"/>
      <c r="AC51" s="984"/>
      <c r="AD51" s="984"/>
      <c r="AE51" s="985"/>
      <c r="AF51" s="370"/>
      <c r="AG51" s="538"/>
      <c r="AH51" s="537"/>
      <c r="AI51" s="538"/>
      <c r="AJ51" s="537"/>
      <c r="AK51" s="538"/>
      <c r="AL51" s="537"/>
      <c r="AM51" s="538"/>
      <c r="AN51" s="537"/>
      <c r="AO51" s="539"/>
      <c r="AP51" s="540"/>
      <c r="AQ51" s="541"/>
      <c r="AR51" s="537"/>
      <c r="AS51" s="538"/>
      <c r="AT51" s="537"/>
      <c r="AU51" s="538"/>
      <c r="AV51" s="537"/>
      <c r="AW51" s="539"/>
      <c r="AX51" s="542"/>
      <c r="AY51" s="538"/>
      <c r="AZ51" s="537"/>
      <c r="BA51" s="538"/>
      <c r="BB51" s="537"/>
      <c r="BC51" s="538"/>
      <c r="BD51" s="543"/>
    </row>
    <row r="52" spans="2:56" s="119" customFormat="1" ht="16.149999999999999" customHeight="1" outlineLevel="2">
      <c r="B52" s="1117"/>
      <c r="C52" s="1054"/>
      <c r="D52" s="1054"/>
      <c r="E52" s="1054"/>
      <c r="F52" s="1054"/>
      <c r="G52" s="1054"/>
      <c r="H52" s="1054"/>
      <c r="I52" s="1054"/>
      <c r="J52" s="1054"/>
      <c r="K52" s="1054"/>
      <c r="L52" s="1052" t="str">
        <f>IFERROR(VLOOKUP(C52,'IV Discontinue'!$A$1:$B$109,2,FALSE),"")</f>
        <v/>
      </c>
      <c r="M52" s="1052"/>
      <c r="N52" s="1052"/>
      <c r="O52" s="1053"/>
      <c r="P52" s="1055"/>
      <c r="Q52" s="1056"/>
      <c r="R52" s="999" t="str">
        <f>IFERROR(VLOOKUP(C52,'IV Discontinue'!$A$1:$D$109,4,FALSE),"")</f>
        <v/>
      </c>
      <c r="S52" s="1000"/>
      <c r="T52" s="1074" t="str">
        <f>IFERROR(VLOOKUP(C52,'IV Discontinue'!$A$1:$F$127,5,FALSE),"")</f>
        <v/>
      </c>
      <c r="U52" s="1074"/>
      <c r="V52" s="1007" t="str">
        <f>IFERROR(VLOOKUP(C52,'IV Discontinue'!$A$1:$F$127,6,FALSE),"")</f>
        <v/>
      </c>
      <c r="W52" s="1007"/>
      <c r="X52" s="1007"/>
      <c r="Y52" s="1008"/>
      <c r="Z52" s="983"/>
      <c r="AA52" s="984"/>
      <c r="AB52" s="984"/>
      <c r="AC52" s="984"/>
      <c r="AD52" s="984"/>
      <c r="AE52" s="985"/>
      <c r="AF52" s="370"/>
      <c r="AG52" s="538"/>
      <c r="AH52" s="537"/>
      <c r="AI52" s="538"/>
      <c r="AJ52" s="537"/>
      <c r="AK52" s="538"/>
      <c r="AL52" s="537"/>
      <c r="AM52" s="538"/>
      <c r="AN52" s="537"/>
      <c r="AO52" s="539"/>
      <c r="AP52" s="540"/>
      <c r="AQ52" s="541"/>
      <c r="AR52" s="537"/>
      <c r="AS52" s="538"/>
      <c r="AT52" s="537"/>
      <c r="AU52" s="538"/>
      <c r="AV52" s="537"/>
      <c r="AW52" s="539"/>
      <c r="AX52" s="542"/>
      <c r="AY52" s="538"/>
      <c r="AZ52" s="537"/>
      <c r="BA52" s="538"/>
      <c r="BB52" s="537"/>
      <c r="BC52" s="538"/>
      <c r="BD52" s="543"/>
    </row>
    <row r="53" spans="2:56" s="119" customFormat="1" ht="16.149999999999999" customHeight="1" outlineLevel="2">
      <c r="B53" s="1117"/>
      <c r="C53" s="1054"/>
      <c r="D53" s="1054"/>
      <c r="E53" s="1054"/>
      <c r="F53" s="1054"/>
      <c r="G53" s="1054"/>
      <c r="H53" s="1054"/>
      <c r="I53" s="1054"/>
      <c r="J53" s="1054"/>
      <c r="K53" s="1054"/>
      <c r="L53" s="1052" t="str">
        <f>IFERROR(VLOOKUP(C53,'IV Discontinue'!$A$1:$B$109,2,FALSE),"")</f>
        <v/>
      </c>
      <c r="M53" s="1052"/>
      <c r="N53" s="1052"/>
      <c r="O53" s="1053"/>
      <c r="P53" s="1055"/>
      <c r="Q53" s="1056"/>
      <c r="R53" s="999" t="str">
        <f>IFERROR(VLOOKUP(C53,'IV Discontinue'!$A$1:$D$109,4,FALSE),"")</f>
        <v/>
      </c>
      <c r="S53" s="1000"/>
      <c r="T53" s="1074" t="str">
        <f>IFERROR(VLOOKUP(C53,'IV Discontinue'!$A$1:$F$127,5,FALSE),"")</f>
        <v/>
      </c>
      <c r="U53" s="1074"/>
      <c r="V53" s="1007" t="str">
        <f>IFERROR(VLOOKUP(C53,'IV Discontinue'!$A$1:$F$127,6,FALSE),"")</f>
        <v/>
      </c>
      <c r="W53" s="1007"/>
      <c r="X53" s="1007"/>
      <c r="Y53" s="1008"/>
      <c r="Z53" s="983"/>
      <c r="AA53" s="984"/>
      <c r="AB53" s="984"/>
      <c r="AC53" s="984"/>
      <c r="AD53" s="984"/>
      <c r="AE53" s="985"/>
      <c r="AF53" s="370"/>
      <c r="AG53" s="538"/>
      <c r="AH53" s="537"/>
      <c r="AI53" s="538"/>
      <c r="AJ53" s="537"/>
      <c r="AK53" s="538"/>
      <c r="AL53" s="537"/>
      <c r="AM53" s="538"/>
      <c r="AN53" s="537"/>
      <c r="AO53" s="539"/>
      <c r="AP53" s="540"/>
      <c r="AQ53" s="541"/>
      <c r="AR53" s="537"/>
      <c r="AS53" s="538"/>
      <c r="AT53" s="537"/>
      <c r="AU53" s="538"/>
      <c r="AV53" s="537"/>
      <c r="AW53" s="539"/>
      <c r="AX53" s="542"/>
      <c r="AY53" s="538"/>
      <c r="AZ53" s="537"/>
      <c r="BA53" s="538"/>
      <c r="BB53" s="537"/>
      <c r="BC53" s="538"/>
      <c r="BD53" s="543"/>
    </row>
    <row r="54" spans="2:56" s="119" customFormat="1" ht="16.149999999999999" customHeight="1" outlineLevel="2">
      <c r="B54" s="1117"/>
      <c r="C54" s="1054"/>
      <c r="D54" s="1054"/>
      <c r="E54" s="1054"/>
      <c r="F54" s="1054"/>
      <c r="G54" s="1054"/>
      <c r="H54" s="1054"/>
      <c r="I54" s="1054"/>
      <c r="J54" s="1054"/>
      <c r="K54" s="1054"/>
      <c r="L54" s="1052" t="str">
        <f>IFERROR(VLOOKUP(C54,'IV Discontinue'!$A$1:$B$109,2,FALSE),"")</f>
        <v/>
      </c>
      <c r="M54" s="1052"/>
      <c r="N54" s="1052"/>
      <c r="O54" s="1053"/>
      <c r="P54" s="1055"/>
      <c r="Q54" s="1056"/>
      <c r="R54" s="999" t="str">
        <f>IFERROR(VLOOKUP(C54,'IV Discontinue'!$A$1:$D$109,4,FALSE),"")</f>
        <v/>
      </c>
      <c r="S54" s="1000"/>
      <c r="T54" s="1074" t="str">
        <f>IFERROR(VLOOKUP(C54,'IV Discontinue'!$A$1:$F$127,5,FALSE),"")</f>
        <v/>
      </c>
      <c r="U54" s="1074"/>
      <c r="V54" s="1007" t="str">
        <f>IFERROR(VLOOKUP(C54,'IV Discontinue'!$A$1:$F$127,6,FALSE),"")</f>
        <v/>
      </c>
      <c r="W54" s="1007"/>
      <c r="X54" s="1007"/>
      <c r="Y54" s="1008"/>
      <c r="Z54" s="983"/>
      <c r="AA54" s="984"/>
      <c r="AB54" s="984"/>
      <c r="AC54" s="984"/>
      <c r="AD54" s="984"/>
      <c r="AE54" s="985"/>
      <c r="AF54" s="370"/>
      <c r="AG54" s="538"/>
      <c r="AH54" s="537"/>
      <c r="AI54" s="538"/>
      <c r="AJ54" s="537"/>
      <c r="AK54" s="538"/>
      <c r="AL54" s="537"/>
      <c r="AM54" s="538"/>
      <c r="AN54" s="537"/>
      <c r="AO54" s="539"/>
      <c r="AP54" s="540"/>
      <c r="AQ54" s="541"/>
      <c r="AR54" s="537"/>
      <c r="AS54" s="538"/>
      <c r="AT54" s="537"/>
      <c r="AU54" s="538"/>
      <c r="AV54" s="537"/>
      <c r="AW54" s="539"/>
      <c r="AX54" s="542"/>
      <c r="AY54" s="538"/>
      <c r="AZ54" s="537"/>
      <c r="BA54" s="538"/>
      <c r="BB54" s="537"/>
      <c r="BC54" s="538"/>
      <c r="BD54" s="543"/>
    </row>
    <row r="55" spans="2:56" s="119" customFormat="1" ht="16.149999999999999" customHeight="1" outlineLevel="2" thickBot="1">
      <c r="B55" s="1118"/>
      <c r="C55" s="1141"/>
      <c r="D55" s="1142"/>
      <c r="E55" s="1142"/>
      <c r="F55" s="1142"/>
      <c r="G55" s="1142"/>
      <c r="H55" s="1142"/>
      <c r="I55" s="1142"/>
      <c r="J55" s="1142"/>
      <c r="K55" s="1143"/>
      <c r="L55" s="1075"/>
      <c r="M55" s="1076"/>
      <c r="N55" s="1076"/>
      <c r="O55" s="1076"/>
      <c r="P55" s="997"/>
      <c r="Q55" s="998"/>
      <c r="R55" s="1083"/>
      <c r="S55" s="1084"/>
      <c r="T55" s="1082"/>
      <c r="U55" s="1082"/>
      <c r="V55" s="1080"/>
      <c r="W55" s="1080"/>
      <c r="X55" s="1080"/>
      <c r="Y55" s="1081"/>
      <c r="Z55" s="1077"/>
      <c r="AA55" s="1078"/>
      <c r="AB55" s="1078"/>
      <c r="AC55" s="1078"/>
      <c r="AD55" s="1078"/>
      <c r="AE55" s="1079"/>
      <c r="AF55" s="370"/>
      <c r="AG55" s="538"/>
      <c r="AH55" s="537"/>
      <c r="AI55" s="538"/>
      <c r="AJ55" s="537"/>
      <c r="AK55" s="538"/>
      <c r="AL55" s="537"/>
      <c r="AM55" s="538"/>
      <c r="AN55" s="537"/>
      <c r="AO55" s="539"/>
      <c r="AP55" s="540"/>
      <c r="AQ55" s="541"/>
      <c r="AR55" s="537"/>
      <c r="AS55" s="538"/>
      <c r="AT55" s="537"/>
      <c r="AU55" s="538"/>
      <c r="AV55" s="537"/>
      <c r="AW55" s="539"/>
      <c r="AX55" s="542"/>
      <c r="AY55" s="538"/>
      <c r="AZ55" s="537"/>
      <c r="BA55" s="538"/>
      <c r="BB55" s="537"/>
      <c r="BC55" s="538"/>
      <c r="BD55" s="543"/>
    </row>
    <row r="56" spans="2:56" ht="17.25" customHeight="1" outlineLevel="2" thickTop="1" thickBot="1">
      <c r="B56" s="1115" t="s">
        <v>444</v>
      </c>
      <c r="C56" s="1116"/>
      <c r="D56" s="1116"/>
      <c r="E56" s="1116"/>
      <c r="F56" s="1116"/>
      <c r="G56" s="1116"/>
      <c r="H56" s="1116"/>
      <c r="I56" s="1116"/>
      <c r="J56" s="1116"/>
      <c r="K56" s="1116"/>
      <c r="L56" s="1119"/>
      <c r="M56" s="1120"/>
      <c r="N56" s="1120"/>
      <c r="O56" s="1120"/>
      <c r="P56" s="1120"/>
      <c r="Q56" s="1120"/>
      <c r="R56" s="1120"/>
      <c r="S56" s="1120"/>
      <c r="T56" s="1120"/>
      <c r="U56" s="1120"/>
      <c r="V56" s="1120"/>
      <c r="W56" s="1120"/>
      <c r="X56" s="1120"/>
      <c r="Y56" s="1120"/>
      <c r="Z56" s="1120"/>
      <c r="AA56" s="1120"/>
      <c r="AB56" s="1120"/>
      <c r="AC56" s="1120"/>
      <c r="AD56" s="1120"/>
      <c r="AE56" s="1120"/>
      <c r="AF56" s="370"/>
      <c r="AG56" s="527"/>
      <c r="AH56" s="528"/>
      <c r="AI56" s="529"/>
      <c r="AJ56" s="528"/>
      <c r="AK56" s="529"/>
      <c r="AL56" s="528"/>
      <c r="AM56" s="529"/>
      <c r="AN56" s="528"/>
      <c r="AO56" s="530"/>
      <c r="AP56" s="531"/>
      <c r="AQ56" s="532"/>
      <c r="AR56" s="528"/>
      <c r="AS56" s="529"/>
      <c r="AT56" s="528"/>
      <c r="AU56" s="529"/>
      <c r="AV56" s="528"/>
      <c r="AW56" s="530"/>
      <c r="AX56" s="533"/>
      <c r="AY56" s="529"/>
      <c r="AZ56" s="528"/>
      <c r="BA56" s="529"/>
      <c r="BB56" s="528"/>
      <c r="BC56" s="529"/>
      <c r="BD56" s="534"/>
    </row>
    <row r="57" spans="2:56" s="141" customFormat="1" ht="16.7" customHeight="1" thickTop="1">
      <c r="B57" s="1113" t="s">
        <v>558</v>
      </c>
      <c r="C57" s="1114"/>
      <c r="D57" s="1114"/>
      <c r="E57" s="1114"/>
      <c r="F57" s="1114"/>
      <c r="G57" s="1114"/>
      <c r="H57" s="1114"/>
      <c r="I57" s="1114"/>
      <c r="J57" s="1114"/>
      <c r="K57" s="1114"/>
      <c r="L57" s="1023" t="str">
        <f>IF(AND(C58="",C59="",C60="",C61="",C62="",C63=""),"","Forme")</f>
        <v/>
      </c>
      <c r="M57" s="1024"/>
      <c r="N57" s="1024"/>
      <c r="O57" s="1024"/>
      <c r="P57" s="1085" t="str">
        <f>IF(AND(C58="",C59="",C60="",C61="",C62="",C63=""),"","Dose")</f>
        <v/>
      </c>
      <c r="Q57" s="1086"/>
      <c r="R57" s="1086"/>
      <c r="S57" s="1086"/>
      <c r="T57" s="1023" t="str">
        <f>IF(AND(C58="",C59="",C60="",C61="",C62="",C63=""),"","Fréquence")</f>
        <v/>
      </c>
      <c r="U57" s="1024"/>
      <c r="V57" s="1024"/>
      <c r="W57" s="1024"/>
      <c r="X57" s="1024"/>
      <c r="Y57" s="1025"/>
      <c r="Z57" s="1024" t="str">
        <f>IF(AND(C58="",C59="",C60="",C61="",C62="",C63=""),"","Note")</f>
        <v/>
      </c>
      <c r="AA57" s="1024"/>
      <c r="AB57" s="1024"/>
      <c r="AC57" s="1024"/>
      <c r="AD57" s="1024"/>
      <c r="AE57" s="1124"/>
      <c r="AF57" s="374" t="s">
        <v>188</v>
      </c>
      <c r="AG57" s="303">
        <v>14</v>
      </c>
      <c r="AH57" s="518"/>
      <c r="AI57" s="303">
        <v>16</v>
      </c>
      <c r="AJ57" s="518"/>
      <c r="AK57" s="303">
        <v>18</v>
      </c>
      <c r="AL57" s="518"/>
      <c r="AM57" s="303">
        <v>20</v>
      </c>
      <c r="AN57" s="518"/>
      <c r="AO57" s="410">
        <v>22</v>
      </c>
      <c r="AP57" s="523"/>
      <c r="AQ57" s="380">
        <v>0</v>
      </c>
      <c r="AR57" s="518"/>
      <c r="AS57" s="303">
        <v>2</v>
      </c>
      <c r="AT57" s="518"/>
      <c r="AU57" s="303">
        <v>4</v>
      </c>
      <c r="AV57" s="518"/>
      <c r="AW57" s="410">
        <v>6</v>
      </c>
      <c r="AX57" s="525"/>
      <c r="AY57" s="303">
        <v>8</v>
      </c>
      <c r="AZ57" s="518"/>
      <c r="BA57" s="303">
        <v>10</v>
      </c>
      <c r="BB57" s="518"/>
      <c r="BC57" s="303">
        <v>12</v>
      </c>
      <c r="BD57" s="521"/>
    </row>
    <row r="58" spans="2:56" s="119" customFormat="1" ht="16.149999999999999" customHeight="1">
      <c r="B58" s="1177"/>
      <c r="C58" s="1054"/>
      <c r="D58" s="1054"/>
      <c r="E58" s="1054"/>
      <c r="F58" s="1054"/>
      <c r="G58" s="1054"/>
      <c r="H58" s="1054"/>
      <c r="I58" s="1054"/>
      <c r="J58" s="1054"/>
      <c r="K58" s="1054"/>
      <c r="L58" s="1070" t="str">
        <f>IFERROR(VLOOKUP(C58,'Per Os'!$A$1:$F$39,2,FALSE),"")</f>
        <v/>
      </c>
      <c r="M58" s="1071"/>
      <c r="N58" s="1071"/>
      <c r="O58" s="1071"/>
      <c r="P58" s="1001"/>
      <c r="Q58" s="1002"/>
      <c r="R58" s="995" t="str">
        <f>IFERROR(VLOOKUP(C58,'Per Os'!$A$1:$F$39,4,FALSE),"")</f>
        <v/>
      </c>
      <c r="S58" s="996"/>
      <c r="T58" s="987" t="str">
        <f>IFERROR(VLOOKUP(C58,'Per Os'!$A$1:$F$39,5,FALSE),"")</f>
        <v/>
      </c>
      <c r="U58" s="988"/>
      <c r="V58" s="988"/>
      <c r="W58" s="988"/>
      <c r="X58" s="988"/>
      <c r="Y58" s="989"/>
      <c r="Z58" s="979"/>
      <c r="AA58" s="979"/>
      <c r="AB58" s="979"/>
      <c r="AC58" s="979"/>
      <c r="AD58" s="979"/>
      <c r="AE58" s="980"/>
      <c r="AF58" s="369"/>
      <c r="AG58" s="544"/>
      <c r="AH58" s="545"/>
      <c r="AI58" s="544"/>
      <c r="AJ58" s="545"/>
      <c r="AK58" s="544"/>
      <c r="AL58" s="545"/>
      <c r="AM58" s="544"/>
      <c r="AN58" s="545"/>
      <c r="AO58" s="546"/>
      <c r="AP58" s="547"/>
      <c r="AQ58" s="548"/>
      <c r="AR58" s="545"/>
      <c r="AS58" s="544"/>
      <c r="AT58" s="545"/>
      <c r="AU58" s="544"/>
      <c r="AV58" s="545"/>
      <c r="AW58" s="546"/>
      <c r="AX58" s="549"/>
      <c r="AY58" s="544"/>
      <c r="AZ58" s="545"/>
      <c r="BA58" s="544"/>
      <c r="BB58" s="545"/>
      <c r="BC58" s="544"/>
      <c r="BD58" s="550"/>
    </row>
    <row r="59" spans="2:56" s="119" customFormat="1" ht="16.149999999999999" customHeight="1">
      <c r="B59" s="1177"/>
      <c r="C59" s="1054"/>
      <c r="D59" s="1054"/>
      <c r="E59" s="1054"/>
      <c r="F59" s="1054"/>
      <c r="G59" s="1054"/>
      <c r="H59" s="1054"/>
      <c r="I59" s="1054"/>
      <c r="J59" s="1054"/>
      <c r="K59" s="1054"/>
      <c r="L59" s="1070" t="str">
        <f>IFERROR(VLOOKUP(C59,'Per Os'!$A$1:$F$39,2,FALSE),"")</f>
        <v/>
      </c>
      <c r="M59" s="1071"/>
      <c r="N59" s="1071"/>
      <c r="O59" s="1071"/>
      <c r="P59" s="1001"/>
      <c r="Q59" s="1002"/>
      <c r="R59" s="995" t="str">
        <f>IFERROR(VLOOKUP(C59,'Per Os'!$A$1:$F$39,4,FALSE),"")</f>
        <v/>
      </c>
      <c r="S59" s="996"/>
      <c r="T59" s="987" t="str">
        <f>IFERROR(VLOOKUP(C59,'Per Os'!$A$1:$F$39,5,FALSE),"")</f>
        <v/>
      </c>
      <c r="U59" s="988"/>
      <c r="V59" s="988"/>
      <c r="W59" s="988"/>
      <c r="X59" s="988"/>
      <c r="Y59" s="989"/>
      <c r="Z59" s="979"/>
      <c r="AA59" s="979"/>
      <c r="AB59" s="979"/>
      <c r="AC59" s="979"/>
      <c r="AD59" s="979"/>
      <c r="AE59" s="980"/>
      <c r="AF59" s="369"/>
      <c r="AG59" s="544"/>
      <c r="AH59" s="545"/>
      <c r="AI59" s="544"/>
      <c r="AJ59" s="545"/>
      <c r="AK59" s="544"/>
      <c r="AL59" s="545"/>
      <c r="AM59" s="544"/>
      <c r="AN59" s="545"/>
      <c r="AO59" s="546"/>
      <c r="AP59" s="547"/>
      <c r="AQ59" s="548"/>
      <c r="AR59" s="545"/>
      <c r="AS59" s="544"/>
      <c r="AT59" s="545"/>
      <c r="AU59" s="544"/>
      <c r="AV59" s="545"/>
      <c r="AW59" s="546"/>
      <c r="AX59" s="549"/>
      <c r="AY59" s="544"/>
      <c r="AZ59" s="545"/>
      <c r="BA59" s="544"/>
      <c r="BB59" s="545"/>
      <c r="BC59" s="544"/>
      <c r="BD59" s="550"/>
    </row>
    <row r="60" spans="2:56" s="119" customFormat="1" ht="16.149999999999999" customHeight="1">
      <c r="B60" s="1177"/>
      <c r="C60" s="1054"/>
      <c r="D60" s="1054"/>
      <c r="E60" s="1054"/>
      <c r="F60" s="1054"/>
      <c r="G60" s="1054"/>
      <c r="H60" s="1054"/>
      <c r="I60" s="1054"/>
      <c r="J60" s="1054"/>
      <c r="K60" s="1054"/>
      <c r="L60" s="1070" t="str">
        <f>IFERROR(VLOOKUP(C60,'Per Os'!$A$1:$F$39,2,FALSE),"")</f>
        <v/>
      </c>
      <c r="M60" s="1071"/>
      <c r="N60" s="1071"/>
      <c r="O60" s="1071"/>
      <c r="P60" s="1001"/>
      <c r="Q60" s="1002"/>
      <c r="R60" s="995" t="str">
        <f>IFERROR(VLOOKUP(C60,'Per Os'!$A$1:$F$39,4,FALSE),"")</f>
        <v/>
      </c>
      <c r="S60" s="996"/>
      <c r="T60" s="987" t="str">
        <f>IFERROR(VLOOKUP(C60,'Per Os'!$A$1:$F$39,5,FALSE),"")</f>
        <v/>
      </c>
      <c r="U60" s="988"/>
      <c r="V60" s="988"/>
      <c r="W60" s="988"/>
      <c r="X60" s="988"/>
      <c r="Y60" s="989"/>
      <c r="Z60" s="979"/>
      <c r="AA60" s="979"/>
      <c r="AB60" s="979"/>
      <c r="AC60" s="979"/>
      <c r="AD60" s="979"/>
      <c r="AE60" s="980"/>
      <c r="AF60" s="369"/>
      <c r="AG60" s="544"/>
      <c r="AH60" s="545"/>
      <c r="AI60" s="544"/>
      <c r="AJ60" s="545"/>
      <c r="AK60" s="544"/>
      <c r="AL60" s="545"/>
      <c r="AM60" s="544"/>
      <c r="AN60" s="545"/>
      <c r="AO60" s="546"/>
      <c r="AP60" s="547"/>
      <c r="AQ60" s="548"/>
      <c r="AR60" s="545"/>
      <c r="AS60" s="544"/>
      <c r="AT60" s="545"/>
      <c r="AU60" s="544"/>
      <c r="AV60" s="545"/>
      <c r="AW60" s="546"/>
      <c r="AX60" s="549"/>
      <c r="AY60" s="544"/>
      <c r="AZ60" s="545"/>
      <c r="BA60" s="544"/>
      <c r="BB60" s="545"/>
      <c r="BC60" s="544"/>
      <c r="BD60" s="550"/>
    </row>
    <row r="61" spans="2:56" s="119" customFormat="1" ht="16.149999999999999" customHeight="1">
      <c r="B61" s="1177"/>
      <c r="C61" s="1054"/>
      <c r="D61" s="1054"/>
      <c r="E61" s="1054"/>
      <c r="F61" s="1054"/>
      <c r="G61" s="1054"/>
      <c r="H61" s="1054"/>
      <c r="I61" s="1054"/>
      <c r="J61" s="1054"/>
      <c r="K61" s="1054"/>
      <c r="L61" s="1070" t="str">
        <f>IFERROR(VLOOKUP(C61,'Per Os'!$A$1:$F$39,2,FALSE),"")</f>
        <v/>
      </c>
      <c r="M61" s="1071"/>
      <c r="N61" s="1071"/>
      <c r="O61" s="1071"/>
      <c r="P61" s="1001"/>
      <c r="Q61" s="1002"/>
      <c r="R61" s="995" t="str">
        <f>IFERROR(VLOOKUP(C61,'Per Os'!$A$1:$F$39,4,FALSE),"")</f>
        <v/>
      </c>
      <c r="S61" s="996"/>
      <c r="T61" s="987" t="str">
        <f>IFERROR(VLOOKUP(C61,'Per Os'!$A$1:$F$39,5,FALSE),"")</f>
        <v/>
      </c>
      <c r="U61" s="988"/>
      <c r="V61" s="988"/>
      <c r="W61" s="988"/>
      <c r="X61" s="988"/>
      <c r="Y61" s="989"/>
      <c r="Z61" s="979"/>
      <c r="AA61" s="979"/>
      <c r="AB61" s="979"/>
      <c r="AC61" s="979"/>
      <c r="AD61" s="979"/>
      <c r="AE61" s="980"/>
      <c r="AF61" s="369"/>
      <c r="AG61" s="544"/>
      <c r="AH61" s="545"/>
      <c r="AI61" s="544"/>
      <c r="AJ61" s="545"/>
      <c r="AK61" s="544"/>
      <c r="AL61" s="545"/>
      <c r="AM61" s="544"/>
      <c r="AN61" s="545"/>
      <c r="AO61" s="546"/>
      <c r="AP61" s="547"/>
      <c r="AQ61" s="548"/>
      <c r="AR61" s="545"/>
      <c r="AS61" s="544"/>
      <c r="AT61" s="545"/>
      <c r="AU61" s="544"/>
      <c r="AV61" s="545"/>
      <c r="AW61" s="546"/>
      <c r="AX61" s="549"/>
      <c r="AY61" s="544"/>
      <c r="AZ61" s="545"/>
      <c r="BA61" s="544"/>
      <c r="BB61" s="545"/>
      <c r="BC61" s="544"/>
      <c r="BD61" s="550"/>
    </row>
    <row r="62" spans="2:56" s="119" customFormat="1" ht="16.149999999999999" customHeight="1">
      <c r="B62" s="1177"/>
      <c r="C62" s="1054"/>
      <c r="D62" s="1054"/>
      <c r="E62" s="1054"/>
      <c r="F62" s="1054"/>
      <c r="G62" s="1054"/>
      <c r="H62" s="1054"/>
      <c r="I62" s="1054"/>
      <c r="J62" s="1054"/>
      <c r="K62" s="1054"/>
      <c r="L62" s="1070" t="str">
        <f>IFERROR(VLOOKUP(C62,'Per Os'!$A$1:$F$39,2,FALSE),"")</f>
        <v/>
      </c>
      <c r="M62" s="1071"/>
      <c r="N62" s="1071"/>
      <c r="O62" s="1071"/>
      <c r="P62" s="1001"/>
      <c r="Q62" s="1002"/>
      <c r="R62" s="995" t="str">
        <f>IFERROR(VLOOKUP(C62,'Per Os'!$A$1:$F$39,4,FALSE),"")</f>
        <v/>
      </c>
      <c r="S62" s="996"/>
      <c r="T62" s="987" t="str">
        <f>IFERROR(VLOOKUP(C62,'Per Os'!$A$1:$F$39,5,FALSE),"")</f>
        <v/>
      </c>
      <c r="U62" s="988"/>
      <c r="V62" s="988"/>
      <c r="W62" s="988"/>
      <c r="X62" s="988"/>
      <c r="Y62" s="989"/>
      <c r="Z62" s="979"/>
      <c r="AA62" s="979"/>
      <c r="AB62" s="979"/>
      <c r="AC62" s="979"/>
      <c r="AD62" s="979"/>
      <c r="AE62" s="980"/>
      <c r="AF62" s="369"/>
      <c r="AG62" s="544"/>
      <c r="AH62" s="545"/>
      <c r="AI62" s="544"/>
      <c r="AJ62" s="545"/>
      <c r="AK62" s="544"/>
      <c r="AL62" s="545"/>
      <c r="AM62" s="544"/>
      <c r="AN62" s="545"/>
      <c r="AO62" s="546"/>
      <c r="AP62" s="547"/>
      <c r="AQ62" s="548"/>
      <c r="AR62" s="545"/>
      <c r="AS62" s="544"/>
      <c r="AT62" s="545"/>
      <c r="AU62" s="544"/>
      <c r="AV62" s="545"/>
      <c r="AW62" s="546"/>
      <c r="AX62" s="549"/>
      <c r="AY62" s="544"/>
      <c r="AZ62" s="545"/>
      <c r="BA62" s="544"/>
      <c r="BB62" s="545"/>
      <c r="BC62" s="544"/>
      <c r="BD62" s="550"/>
    </row>
    <row r="63" spans="2:56" s="119" customFormat="1" ht="16.149999999999999" customHeight="1" thickBot="1">
      <c r="B63" s="1178"/>
      <c r="C63" s="1229"/>
      <c r="D63" s="1230"/>
      <c r="E63" s="1230"/>
      <c r="F63" s="1230"/>
      <c r="G63" s="1230"/>
      <c r="H63" s="1230"/>
      <c r="I63" s="1230"/>
      <c r="J63" s="1230"/>
      <c r="K63" s="1231"/>
      <c r="L63" s="1075"/>
      <c r="M63" s="1076"/>
      <c r="N63" s="1076"/>
      <c r="O63" s="1076"/>
      <c r="P63" s="1046"/>
      <c r="Q63" s="1047"/>
      <c r="R63" s="1048"/>
      <c r="S63" s="1049"/>
      <c r="T63" s="1037"/>
      <c r="U63" s="1038"/>
      <c r="V63" s="1038"/>
      <c r="W63" s="1038"/>
      <c r="X63" s="1038"/>
      <c r="Y63" s="1039"/>
      <c r="Z63" s="1026"/>
      <c r="AA63" s="1026"/>
      <c r="AB63" s="1026"/>
      <c r="AC63" s="1026"/>
      <c r="AD63" s="1026"/>
      <c r="AE63" s="360"/>
      <c r="AF63" s="370"/>
      <c r="AG63" s="544"/>
      <c r="AH63" s="551"/>
      <c r="AI63" s="552"/>
      <c r="AJ63" s="551"/>
      <c r="AK63" s="552"/>
      <c r="AL63" s="551"/>
      <c r="AM63" s="552"/>
      <c r="AN63" s="551"/>
      <c r="AO63" s="553"/>
      <c r="AP63" s="554"/>
      <c r="AQ63" s="555"/>
      <c r="AR63" s="551"/>
      <c r="AS63" s="552"/>
      <c r="AT63" s="551"/>
      <c r="AU63" s="552"/>
      <c r="AV63" s="551"/>
      <c r="AW63" s="553"/>
      <c r="AX63" s="556"/>
      <c r="AY63" s="552"/>
      <c r="AZ63" s="551"/>
      <c r="BA63" s="552"/>
      <c r="BB63" s="551"/>
      <c r="BC63" s="552"/>
      <c r="BD63" s="557"/>
    </row>
    <row r="64" spans="2:56" s="111" customFormat="1" ht="18" customHeight="1" thickTop="1">
      <c r="B64" s="1181" t="s">
        <v>559</v>
      </c>
      <c r="C64" s="1182"/>
      <c r="D64" s="1182"/>
      <c r="E64" s="1182"/>
      <c r="F64" s="1182"/>
      <c r="G64" s="1182"/>
      <c r="H64" s="1182"/>
      <c r="I64" s="1182"/>
      <c r="J64" s="1182"/>
      <c r="K64" s="1183"/>
      <c r="L64" s="1035" t="str">
        <f>IF(AND(C65="",C66=""),"","Forme")</f>
        <v/>
      </c>
      <c r="M64" s="1030"/>
      <c r="N64" s="1030"/>
      <c r="O64" s="1030"/>
      <c r="P64" s="1179" t="str">
        <f>IF(AND(C65="",C66=""),"","Dose")</f>
        <v/>
      </c>
      <c r="Q64" s="1180"/>
      <c r="R64" s="1180"/>
      <c r="S64" s="1180"/>
      <c r="T64" s="1035" t="str">
        <f>IF(AND(C65="",C66=""),"","Fréquence")</f>
        <v/>
      </c>
      <c r="U64" s="1030"/>
      <c r="V64" s="1030"/>
      <c r="W64" s="1030"/>
      <c r="X64" s="1030"/>
      <c r="Y64" s="1036"/>
      <c r="Z64" s="1030" t="str">
        <f>IF(AND(C65="",C66=""),"","Modalité")</f>
        <v/>
      </c>
      <c r="AA64" s="1030"/>
      <c r="AB64" s="1030"/>
      <c r="AC64" s="1030"/>
      <c r="AD64" s="1030"/>
      <c r="AE64" s="1031"/>
      <c r="AF64" s="368" t="s">
        <v>188</v>
      </c>
      <c r="AG64" s="303">
        <v>14</v>
      </c>
      <c r="AH64" s="518"/>
      <c r="AI64" s="303">
        <v>16</v>
      </c>
      <c r="AJ64" s="518"/>
      <c r="AK64" s="303">
        <v>18</v>
      </c>
      <c r="AL64" s="518"/>
      <c r="AM64" s="303">
        <v>20</v>
      </c>
      <c r="AN64" s="518"/>
      <c r="AO64" s="410">
        <v>22</v>
      </c>
      <c r="AP64" s="523"/>
      <c r="AQ64" s="380">
        <v>0</v>
      </c>
      <c r="AR64" s="518"/>
      <c r="AS64" s="303">
        <v>2</v>
      </c>
      <c r="AT64" s="518"/>
      <c r="AU64" s="303">
        <v>4</v>
      </c>
      <c r="AV64" s="518"/>
      <c r="AW64" s="410">
        <v>6</v>
      </c>
      <c r="AX64" s="525"/>
      <c r="AY64" s="303">
        <v>8</v>
      </c>
      <c r="AZ64" s="518"/>
      <c r="BA64" s="303">
        <v>10</v>
      </c>
      <c r="BB64" s="518"/>
      <c r="BC64" s="303">
        <v>12</v>
      </c>
      <c r="BD64" s="521"/>
    </row>
    <row r="65" spans="2:57" s="119" customFormat="1" ht="16.149999999999999" customHeight="1">
      <c r="B65" s="1184"/>
      <c r="C65" s="1054"/>
      <c r="D65" s="1054"/>
      <c r="E65" s="1054"/>
      <c r="F65" s="1054"/>
      <c r="G65" s="1054"/>
      <c r="H65" s="1054"/>
      <c r="I65" s="1054"/>
      <c r="J65" s="1054"/>
      <c r="K65" s="1054"/>
      <c r="L65" s="1070" t="str">
        <f>IFERROR(VLOOKUP(C65,'Autres Médicaments'!$A$1:$F$77,2,FALSE),"")</f>
        <v/>
      </c>
      <c r="M65" s="1071"/>
      <c r="N65" s="1071"/>
      <c r="O65" s="1071"/>
      <c r="P65" s="1001"/>
      <c r="Q65" s="1002"/>
      <c r="R65" s="1003" t="str">
        <f>IFERROR(VLOOKUP(C65,'Autres Médicaments'!$A$1:$F$77,4,FALSE),"")</f>
        <v/>
      </c>
      <c r="S65" s="1004"/>
      <c r="T65" s="987" t="str">
        <f>IFERROR(VLOOKUP(C65,'Autres Médicaments'!$A$1:$F$77,5,FALSE),"")</f>
        <v/>
      </c>
      <c r="U65" s="988"/>
      <c r="V65" s="988"/>
      <c r="W65" s="988"/>
      <c r="X65" s="988"/>
      <c r="Y65" s="989"/>
      <c r="Z65" s="1028" t="str">
        <f>IFERROR(VLOOKUP(C65,'Autres Médicaments'!$A$2:$F$77,6,FALSE),"")</f>
        <v/>
      </c>
      <c r="AA65" s="1028"/>
      <c r="AB65" s="1028"/>
      <c r="AC65" s="1028"/>
      <c r="AD65" s="1028"/>
      <c r="AE65" s="1029"/>
      <c r="AF65" s="369"/>
      <c r="AG65" s="538"/>
      <c r="AH65" s="537"/>
      <c r="AI65" s="538"/>
      <c r="AJ65" s="537"/>
      <c r="AK65" s="538"/>
      <c r="AL65" s="537"/>
      <c r="AM65" s="538"/>
      <c r="AN65" s="537"/>
      <c r="AO65" s="539"/>
      <c r="AP65" s="540"/>
      <c r="AQ65" s="541"/>
      <c r="AR65" s="537"/>
      <c r="AS65" s="538"/>
      <c r="AT65" s="537"/>
      <c r="AU65" s="538"/>
      <c r="AV65" s="537"/>
      <c r="AW65" s="539"/>
      <c r="AX65" s="542"/>
      <c r="AY65" s="538"/>
      <c r="AZ65" s="537"/>
      <c r="BA65" s="538"/>
      <c r="BB65" s="537"/>
      <c r="BC65" s="538"/>
      <c r="BD65" s="543"/>
    </row>
    <row r="66" spans="2:57" s="119" customFormat="1" ht="16.149999999999999" customHeight="1">
      <c r="B66" s="1185"/>
      <c r="C66" s="1054"/>
      <c r="D66" s="1054"/>
      <c r="E66" s="1054"/>
      <c r="F66" s="1054"/>
      <c r="G66" s="1054"/>
      <c r="H66" s="1054"/>
      <c r="I66" s="1054"/>
      <c r="J66" s="1054"/>
      <c r="K66" s="1054"/>
      <c r="L66" s="1070" t="str">
        <f>IFERROR(VLOOKUP(C66,'Autres Médicaments'!$A$1:$F$77,2,FALSE),"")</f>
        <v/>
      </c>
      <c r="M66" s="1071"/>
      <c r="N66" s="1071"/>
      <c r="O66" s="1071"/>
      <c r="P66" s="1001"/>
      <c r="Q66" s="1002"/>
      <c r="R66" s="1003" t="str">
        <f>IFERROR(VLOOKUP(C66,'Autres Médicaments'!$A$1:$F$77,4,FALSE),"")</f>
        <v/>
      </c>
      <c r="S66" s="1004"/>
      <c r="T66" s="987" t="str">
        <f>IFERROR(VLOOKUP(C66,'Autres Médicaments'!$A$1:$F$77,5,FALSE),"")</f>
        <v/>
      </c>
      <c r="U66" s="988"/>
      <c r="V66" s="988"/>
      <c r="W66" s="988"/>
      <c r="X66" s="988"/>
      <c r="Y66" s="989"/>
      <c r="Z66" s="1028" t="str">
        <f>IFERROR(VLOOKUP(C66,'Autres Médicaments'!$A$2:$F$77,6,FALSE),"")</f>
        <v/>
      </c>
      <c r="AA66" s="1028"/>
      <c r="AB66" s="1028"/>
      <c r="AC66" s="1028"/>
      <c r="AD66" s="1028"/>
      <c r="AE66" s="1029"/>
      <c r="AF66" s="369"/>
      <c r="AG66" s="538"/>
      <c r="AH66" s="537"/>
      <c r="AI66" s="538"/>
      <c r="AJ66" s="537"/>
      <c r="AK66" s="538"/>
      <c r="AL66" s="537"/>
      <c r="AM66" s="538"/>
      <c r="AN66" s="537"/>
      <c r="AO66" s="539"/>
      <c r="AP66" s="540"/>
      <c r="AQ66" s="541"/>
      <c r="AR66" s="537"/>
      <c r="AS66" s="538"/>
      <c r="AT66" s="537"/>
      <c r="AU66" s="538"/>
      <c r="AV66" s="537"/>
      <c r="AW66" s="539"/>
      <c r="AX66" s="542"/>
      <c r="AY66" s="538"/>
      <c r="AZ66" s="537"/>
      <c r="BA66" s="538"/>
      <c r="BB66" s="537"/>
      <c r="BC66" s="538"/>
      <c r="BD66" s="543"/>
    </row>
    <row r="67" spans="2:57" s="119" customFormat="1" ht="16.149999999999999" customHeight="1" thickBot="1">
      <c r="B67" s="1186"/>
      <c r="C67" s="1176"/>
      <c r="D67" s="1176"/>
      <c r="E67" s="1176"/>
      <c r="F67" s="1176"/>
      <c r="G67" s="1176"/>
      <c r="H67" s="1176"/>
      <c r="I67" s="1176"/>
      <c r="J67" s="1176"/>
      <c r="K67" s="1176"/>
      <c r="L67" s="1087"/>
      <c r="M67" s="1088"/>
      <c r="N67" s="1088"/>
      <c r="O67" s="1088"/>
      <c r="P67" s="1046"/>
      <c r="Q67" s="1047"/>
      <c r="R67" s="1227"/>
      <c r="S67" s="1228"/>
      <c r="T67" s="1032"/>
      <c r="U67" s="1033"/>
      <c r="V67" s="1033"/>
      <c r="W67" s="1033"/>
      <c r="X67" s="1033"/>
      <c r="Y67" s="1034"/>
      <c r="Z67" s="1026"/>
      <c r="AA67" s="1026"/>
      <c r="AB67" s="1026"/>
      <c r="AC67" s="1026"/>
      <c r="AD67" s="1026"/>
      <c r="AE67" s="1027"/>
      <c r="AF67" s="370"/>
      <c r="AG67" s="538"/>
      <c r="AH67" s="537"/>
      <c r="AI67" s="538"/>
      <c r="AJ67" s="537"/>
      <c r="AK67" s="538"/>
      <c r="AL67" s="537"/>
      <c r="AM67" s="538"/>
      <c r="AN67" s="537"/>
      <c r="AO67" s="539"/>
      <c r="AP67" s="540"/>
      <c r="AQ67" s="541"/>
      <c r="AR67" s="537"/>
      <c r="AS67" s="538"/>
      <c r="AT67" s="537"/>
      <c r="AU67" s="538"/>
      <c r="AV67" s="537"/>
      <c r="AW67" s="539"/>
      <c r="AX67" s="542"/>
      <c r="AY67" s="538"/>
      <c r="AZ67" s="537"/>
      <c r="BA67" s="538"/>
      <c r="BB67" s="537"/>
      <c r="BC67" s="538"/>
      <c r="BD67" s="543"/>
    </row>
    <row r="68" spans="2:57" s="141" customFormat="1" ht="8.25" customHeight="1" thickTop="1" thickBot="1">
      <c r="B68" s="1174"/>
      <c r="C68" s="1175"/>
      <c r="D68" s="1175"/>
      <c r="E68" s="1175"/>
      <c r="F68" s="1175"/>
      <c r="G68" s="1175"/>
      <c r="H68" s="1175"/>
      <c r="I68" s="1175"/>
      <c r="J68" s="1175"/>
      <c r="K68" s="1175"/>
      <c r="L68" s="1044"/>
      <c r="M68" s="1045"/>
      <c r="N68" s="1045"/>
      <c r="O68" s="1045"/>
      <c r="P68" s="1045"/>
      <c r="Q68" s="1045"/>
      <c r="R68" s="1045"/>
      <c r="S68" s="1045"/>
      <c r="T68" s="1045"/>
      <c r="U68" s="1045"/>
      <c r="V68" s="1045"/>
      <c r="W68" s="1045"/>
      <c r="X68" s="1045"/>
      <c r="Y68" s="1045"/>
      <c r="Z68" s="1045"/>
      <c r="AA68" s="1045"/>
      <c r="AB68" s="1045"/>
      <c r="AC68" s="1045"/>
      <c r="AD68" s="1045"/>
      <c r="AE68" s="1045"/>
      <c r="AF68" s="371"/>
      <c r="AG68" s="306"/>
      <c r="AH68" s="519"/>
      <c r="AI68" s="307"/>
      <c r="AJ68" s="519"/>
      <c r="AK68" s="307"/>
      <c r="AL68" s="519"/>
      <c r="AM68" s="307"/>
      <c r="AN68" s="519"/>
      <c r="AO68" s="422"/>
      <c r="AP68" s="524"/>
      <c r="AQ68" s="384"/>
      <c r="AR68" s="519"/>
      <c r="AS68" s="307"/>
      <c r="AT68" s="519"/>
      <c r="AU68" s="307"/>
      <c r="AV68" s="519"/>
      <c r="AW68" s="422"/>
      <c r="AX68" s="526"/>
      <c r="AY68" s="307"/>
      <c r="AZ68" s="519"/>
      <c r="BA68" s="307"/>
      <c r="BB68" s="519"/>
      <c r="BC68" s="307"/>
      <c r="BD68" s="522"/>
    </row>
    <row r="69" spans="2:57" s="112" customFormat="1" ht="16.5" customHeight="1" thickTop="1">
      <c r="B69" s="1225" t="s">
        <v>552</v>
      </c>
      <c r="C69" s="1226"/>
      <c r="D69" s="1226"/>
      <c r="E69" s="1226"/>
      <c r="F69" s="1226"/>
      <c r="G69" s="1226"/>
      <c r="H69" s="1226"/>
      <c r="I69" s="1226"/>
      <c r="J69" s="1226"/>
      <c r="K69" s="1226"/>
      <c r="L69" s="1030" t="str">
        <f>IF(AND(C70="",C71=""),"","Forme")</f>
        <v/>
      </c>
      <c r="M69" s="1030"/>
      <c r="N69" s="1030"/>
      <c r="O69" s="1036"/>
      <c r="P69" s="992" t="str">
        <f>IF(AND(C70="",C71=""),"","Volume")</f>
        <v/>
      </c>
      <c r="Q69" s="993"/>
      <c r="R69" s="993"/>
      <c r="S69" s="994"/>
      <c r="T69" s="1072" t="str">
        <f>IF(AND(C70="",C71=""),"","Débit")</f>
        <v/>
      </c>
      <c r="U69" s="993"/>
      <c r="V69" s="993"/>
      <c r="W69" s="993"/>
      <c r="X69" s="993"/>
      <c r="Y69" s="1073"/>
      <c r="Z69" s="1005" t="str">
        <f>IF(AND(C70="",C71=""),"","Note")</f>
        <v/>
      </c>
      <c r="AA69" s="1005"/>
      <c r="AB69" s="1005"/>
      <c r="AC69" s="1005"/>
      <c r="AD69" s="1005"/>
      <c r="AE69" s="1006"/>
      <c r="AF69" s="368" t="s">
        <v>188</v>
      </c>
      <c r="AG69" s="303">
        <v>14</v>
      </c>
      <c r="AH69" s="518"/>
      <c r="AI69" s="303">
        <v>16</v>
      </c>
      <c r="AJ69" s="518"/>
      <c r="AK69" s="303">
        <v>18</v>
      </c>
      <c r="AL69" s="518"/>
      <c r="AM69" s="303">
        <v>20</v>
      </c>
      <c r="AN69" s="518"/>
      <c r="AO69" s="410">
        <v>22</v>
      </c>
      <c r="AP69" s="523"/>
      <c r="AQ69" s="380">
        <v>0</v>
      </c>
      <c r="AR69" s="518"/>
      <c r="AS69" s="303">
        <v>2</v>
      </c>
      <c r="AT69" s="518"/>
      <c r="AU69" s="303">
        <v>4</v>
      </c>
      <c r="AV69" s="518"/>
      <c r="AW69" s="410">
        <v>6</v>
      </c>
      <c r="AX69" s="525"/>
      <c r="AY69" s="303">
        <v>8</v>
      </c>
      <c r="AZ69" s="518"/>
      <c r="BA69" s="303">
        <v>10</v>
      </c>
      <c r="BB69" s="518"/>
      <c r="BC69" s="303">
        <v>12</v>
      </c>
      <c r="BD69" s="521"/>
    </row>
    <row r="70" spans="2:57" s="119" customFormat="1" ht="16.149999999999999" customHeight="1">
      <c r="B70" s="1184"/>
      <c r="C70" s="1207"/>
      <c r="D70" s="1208"/>
      <c r="E70" s="1208"/>
      <c r="F70" s="1208"/>
      <c r="G70" s="1208"/>
      <c r="H70" s="1208"/>
      <c r="I70" s="1208"/>
      <c r="J70" s="1208"/>
      <c r="K70" s="1209"/>
      <c r="L70" s="1202" t="str">
        <f>IFERROR(VLOOKUP(C70,'Dérivés Sanguins'!$A$2:$D$15,2,FALSE),"")</f>
        <v/>
      </c>
      <c r="M70" s="1203"/>
      <c r="N70" s="1203"/>
      <c r="O70" s="1203"/>
      <c r="P70" s="1214"/>
      <c r="Q70" s="991"/>
      <c r="R70" s="1215" t="str">
        <f>IF(C70="","","mL")</f>
        <v/>
      </c>
      <c r="S70" s="1216"/>
      <c r="T70" s="990"/>
      <c r="U70" s="991"/>
      <c r="V70" s="1040" t="str">
        <f>IF(C70="","","mL/h")</f>
        <v/>
      </c>
      <c r="W70" s="1040"/>
      <c r="X70" s="1040"/>
      <c r="Y70" s="1041"/>
      <c r="Z70" s="979"/>
      <c r="AA70" s="979"/>
      <c r="AB70" s="979"/>
      <c r="AC70" s="979"/>
      <c r="AD70" s="979"/>
      <c r="AE70" s="980"/>
      <c r="AF70" s="370"/>
      <c r="AG70" s="538"/>
      <c r="AH70" s="537"/>
      <c r="AI70" s="538"/>
      <c r="AJ70" s="537"/>
      <c r="AK70" s="538"/>
      <c r="AL70" s="537"/>
      <c r="AM70" s="538"/>
      <c r="AN70" s="537"/>
      <c r="AO70" s="539"/>
      <c r="AP70" s="540"/>
      <c r="AQ70" s="541"/>
      <c r="AR70" s="537"/>
      <c r="AS70" s="538"/>
      <c r="AT70" s="537"/>
      <c r="AU70" s="538"/>
      <c r="AV70" s="537"/>
      <c r="AW70" s="539"/>
      <c r="AX70" s="542"/>
      <c r="AY70" s="538"/>
      <c r="AZ70" s="537"/>
      <c r="BA70" s="538"/>
      <c r="BB70" s="537"/>
      <c r="BC70" s="538"/>
      <c r="BD70" s="543"/>
    </row>
    <row r="71" spans="2:57" s="119" customFormat="1" ht="16.149999999999999" customHeight="1" thickBot="1">
      <c r="B71" s="1186"/>
      <c r="C71" s="1204"/>
      <c r="D71" s="1205"/>
      <c r="E71" s="1205"/>
      <c r="F71" s="1205"/>
      <c r="G71" s="1205"/>
      <c r="H71" s="1205"/>
      <c r="I71" s="1205"/>
      <c r="J71" s="1205"/>
      <c r="K71" s="1206"/>
      <c r="L71" s="1200" t="str">
        <f>IFERROR(VLOOKUP(C71,'Dérivés Sanguins'!$A$2:$D$15,2,FALSE),"")</f>
        <v/>
      </c>
      <c r="M71" s="1201"/>
      <c r="N71" s="1201"/>
      <c r="O71" s="1201"/>
      <c r="P71" s="1210"/>
      <c r="Q71" s="982"/>
      <c r="R71" s="1198" t="str">
        <f>IF(C71="","","mL")</f>
        <v/>
      </c>
      <c r="S71" s="1199"/>
      <c r="T71" s="981"/>
      <c r="U71" s="982"/>
      <c r="V71" s="1042" t="str">
        <f>IF(C71="","","mL/h")</f>
        <v/>
      </c>
      <c r="W71" s="1042"/>
      <c r="X71" s="1042"/>
      <c r="Y71" s="1043"/>
      <c r="Z71" s="1026"/>
      <c r="AA71" s="1026"/>
      <c r="AB71" s="1026"/>
      <c r="AC71" s="1026"/>
      <c r="AD71" s="1026"/>
      <c r="AE71" s="1027"/>
      <c r="AF71" s="370"/>
      <c r="AG71" s="538"/>
      <c r="AH71" s="537"/>
      <c r="AI71" s="538"/>
      <c r="AJ71" s="537"/>
      <c r="AK71" s="538"/>
      <c r="AL71" s="537"/>
      <c r="AM71" s="538"/>
      <c r="AN71" s="537"/>
      <c r="AO71" s="539"/>
      <c r="AP71" s="540"/>
      <c r="AQ71" s="541"/>
      <c r="AR71" s="537"/>
      <c r="AS71" s="538"/>
      <c r="AT71" s="537"/>
      <c r="AU71" s="538"/>
      <c r="AV71" s="537"/>
      <c r="AW71" s="539"/>
      <c r="AX71" s="542"/>
      <c r="AY71" s="538"/>
      <c r="AZ71" s="537"/>
      <c r="BA71" s="538"/>
      <c r="BB71" s="537"/>
      <c r="BC71" s="538"/>
      <c r="BD71" s="543"/>
    </row>
    <row r="72" spans="2:57" s="112" customFormat="1" ht="16.7" customHeight="1" collapsed="1" thickTop="1">
      <c r="B72" s="1181" t="s">
        <v>239</v>
      </c>
      <c r="C72" s="1182"/>
      <c r="D72" s="1182"/>
      <c r="E72" s="1182"/>
      <c r="F72" s="1182"/>
      <c r="G72" s="1182"/>
      <c r="H72" s="1182"/>
      <c r="I72" s="1182"/>
      <c r="J72" s="1182"/>
      <c r="K72" s="1182"/>
      <c r="L72" s="1195" t="str">
        <f>IF(AND(C73="",C74="",C75=""),"","Fréquence")</f>
        <v/>
      </c>
      <c r="M72" s="1021"/>
      <c r="N72" s="1021"/>
      <c r="O72" s="1021"/>
      <c r="P72" s="1021"/>
      <c r="Q72" s="1021"/>
      <c r="R72" s="1021"/>
      <c r="S72" s="1021"/>
      <c r="T72" s="1021" t="str">
        <f>IF(AND(C73="",C74="",C75=""),"","Note")</f>
        <v/>
      </c>
      <c r="U72" s="1021"/>
      <c r="V72" s="1021"/>
      <c r="W72" s="1021"/>
      <c r="X72" s="1021"/>
      <c r="Y72" s="1021"/>
      <c r="Z72" s="1021"/>
      <c r="AA72" s="1021"/>
      <c r="AB72" s="1021"/>
      <c r="AC72" s="1021"/>
      <c r="AD72" s="1021"/>
      <c r="AE72" s="1022"/>
      <c r="AF72" s="368" t="s">
        <v>188</v>
      </c>
      <c r="AG72" s="303">
        <v>14</v>
      </c>
      <c r="AH72" s="518"/>
      <c r="AI72" s="303">
        <v>16</v>
      </c>
      <c r="AJ72" s="518"/>
      <c r="AK72" s="303">
        <v>18</v>
      </c>
      <c r="AL72" s="518"/>
      <c r="AM72" s="303">
        <v>20</v>
      </c>
      <c r="AN72" s="518"/>
      <c r="AO72" s="410">
        <v>22</v>
      </c>
      <c r="AP72" s="523"/>
      <c r="AQ72" s="380">
        <v>0</v>
      </c>
      <c r="AR72" s="518"/>
      <c r="AS72" s="303">
        <v>2</v>
      </c>
      <c r="AT72" s="518"/>
      <c r="AU72" s="303">
        <v>4</v>
      </c>
      <c r="AV72" s="518"/>
      <c r="AW72" s="410">
        <v>6</v>
      </c>
      <c r="AX72" s="525"/>
      <c r="AY72" s="303">
        <v>8</v>
      </c>
      <c r="AZ72" s="518"/>
      <c r="BA72" s="303">
        <v>10</v>
      </c>
      <c r="BB72" s="518"/>
      <c r="BC72" s="303">
        <v>12</v>
      </c>
      <c r="BD72" s="521"/>
    </row>
    <row r="73" spans="2:57" s="112" customFormat="1" ht="16.149999999999999" customHeight="1">
      <c r="B73" s="1211"/>
      <c r="C73" s="1054"/>
      <c r="D73" s="1054"/>
      <c r="E73" s="1054"/>
      <c r="F73" s="1054"/>
      <c r="G73" s="1054"/>
      <c r="H73" s="1054"/>
      <c r="I73" s="1054"/>
      <c r="J73" s="1054"/>
      <c r="K73" s="1054"/>
      <c r="L73" s="1196"/>
      <c r="M73" s="1196"/>
      <c r="N73" s="1196"/>
      <c r="O73" s="1196"/>
      <c r="P73" s="1196"/>
      <c r="Q73" s="1196"/>
      <c r="R73" s="1196"/>
      <c r="S73" s="1196"/>
      <c r="T73" s="1019"/>
      <c r="U73" s="1019"/>
      <c r="V73" s="1019"/>
      <c r="W73" s="1019"/>
      <c r="X73" s="1019"/>
      <c r="Y73" s="1019"/>
      <c r="Z73" s="1019"/>
      <c r="AA73" s="1019"/>
      <c r="AB73" s="1019"/>
      <c r="AC73" s="1019"/>
      <c r="AD73" s="1019"/>
      <c r="AE73" s="1020"/>
      <c r="AF73" s="370"/>
      <c r="AG73" s="538"/>
      <c r="AH73" s="537"/>
      <c r="AI73" s="538"/>
      <c r="AJ73" s="537"/>
      <c r="AK73" s="538"/>
      <c r="AL73" s="537"/>
      <c r="AM73" s="538"/>
      <c r="AN73" s="537"/>
      <c r="AO73" s="539"/>
      <c r="AP73" s="540"/>
      <c r="AQ73" s="541"/>
      <c r="AR73" s="537"/>
      <c r="AS73" s="538"/>
      <c r="AT73" s="537"/>
      <c r="AU73" s="538"/>
      <c r="AV73" s="537"/>
      <c r="AW73" s="539"/>
      <c r="AX73" s="542"/>
      <c r="AY73" s="538"/>
      <c r="AZ73" s="537"/>
      <c r="BA73" s="538"/>
      <c r="BB73" s="537"/>
      <c r="BC73" s="538"/>
      <c r="BD73" s="543"/>
    </row>
    <row r="74" spans="2:57" s="119" customFormat="1" ht="16.149999999999999" customHeight="1">
      <c r="B74" s="1212"/>
      <c r="C74" s="1054"/>
      <c r="D74" s="1054"/>
      <c r="E74" s="1054"/>
      <c r="F74" s="1054"/>
      <c r="G74" s="1054"/>
      <c r="H74" s="1054"/>
      <c r="I74" s="1054"/>
      <c r="J74" s="1054"/>
      <c r="K74" s="1054"/>
      <c r="L74" s="1196"/>
      <c r="M74" s="1196"/>
      <c r="N74" s="1196"/>
      <c r="O74" s="1196"/>
      <c r="P74" s="1196"/>
      <c r="Q74" s="1196"/>
      <c r="R74" s="1196"/>
      <c r="S74" s="1196"/>
      <c r="T74" s="1019"/>
      <c r="U74" s="1019"/>
      <c r="V74" s="1019"/>
      <c r="W74" s="1019"/>
      <c r="X74" s="1019"/>
      <c r="Y74" s="1019"/>
      <c r="Z74" s="1019"/>
      <c r="AA74" s="1019"/>
      <c r="AB74" s="1019"/>
      <c r="AC74" s="1019"/>
      <c r="AD74" s="1019"/>
      <c r="AE74" s="1020"/>
      <c r="AF74" s="370"/>
      <c r="AG74" s="538"/>
      <c r="AH74" s="537"/>
      <c r="AI74" s="538"/>
      <c r="AJ74" s="537"/>
      <c r="AK74" s="538"/>
      <c r="AL74" s="537"/>
      <c r="AM74" s="538"/>
      <c r="AN74" s="537"/>
      <c r="AO74" s="539"/>
      <c r="AP74" s="540"/>
      <c r="AQ74" s="541"/>
      <c r="AR74" s="537"/>
      <c r="AS74" s="538"/>
      <c r="AT74" s="537"/>
      <c r="AU74" s="538"/>
      <c r="AV74" s="537"/>
      <c r="AW74" s="539"/>
      <c r="AX74" s="542"/>
      <c r="AY74" s="538"/>
      <c r="AZ74" s="537"/>
      <c r="BA74" s="538"/>
      <c r="BB74" s="537"/>
      <c r="BC74" s="538"/>
      <c r="BD74" s="543"/>
    </row>
    <row r="75" spans="2:57" s="119" customFormat="1" ht="16.149999999999999" customHeight="1" thickBot="1">
      <c r="B75" s="1213"/>
      <c r="C75" s="1194"/>
      <c r="D75" s="1194"/>
      <c r="E75" s="1194"/>
      <c r="F75" s="1194"/>
      <c r="G75" s="1194"/>
      <c r="H75" s="1194"/>
      <c r="I75" s="1194"/>
      <c r="J75" s="1194"/>
      <c r="K75" s="1194"/>
      <c r="L75" s="1197"/>
      <c r="M75" s="1197"/>
      <c r="N75" s="1197"/>
      <c r="O75" s="1197"/>
      <c r="P75" s="1197"/>
      <c r="Q75" s="1197"/>
      <c r="R75" s="1197"/>
      <c r="S75" s="1197"/>
      <c r="T75" s="1017"/>
      <c r="U75" s="1017"/>
      <c r="V75" s="1017"/>
      <c r="W75" s="1017"/>
      <c r="X75" s="1017"/>
      <c r="Y75" s="1017"/>
      <c r="Z75" s="1017"/>
      <c r="AA75" s="1017"/>
      <c r="AB75" s="1017"/>
      <c r="AC75" s="1017"/>
      <c r="AD75" s="1017"/>
      <c r="AE75" s="1018"/>
      <c r="AF75" s="511"/>
      <c r="AG75" s="558"/>
      <c r="AH75" s="559"/>
      <c r="AI75" s="560"/>
      <c r="AJ75" s="559"/>
      <c r="AK75" s="560"/>
      <c r="AL75" s="559"/>
      <c r="AM75" s="560"/>
      <c r="AN75" s="559"/>
      <c r="AO75" s="561"/>
      <c r="AP75" s="562"/>
      <c r="AQ75" s="563"/>
      <c r="AR75" s="559"/>
      <c r="AS75" s="560"/>
      <c r="AT75" s="559"/>
      <c r="AU75" s="560"/>
      <c r="AV75" s="559"/>
      <c r="AW75" s="561"/>
      <c r="AX75" s="564"/>
      <c r="AY75" s="560"/>
      <c r="AZ75" s="559"/>
      <c r="BA75" s="560"/>
      <c r="BB75" s="559"/>
      <c r="BC75" s="560"/>
      <c r="BD75" s="565"/>
      <c r="BE75" s="535"/>
    </row>
    <row r="76" spans="2:57" ht="16.5" thickTop="1">
      <c r="AG76" s="520"/>
    </row>
  </sheetData>
  <sheetProtection selectLockedCells="1"/>
  <dataConsolidate/>
  <mergeCells count="437">
    <mergeCell ref="AH11:AJ11"/>
    <mergeCell ref="AR11:AU11"/>
    <mergeCell ref="AW11:AX11"/>
    <mergeCell ref="BA11:BD11"/>
    <mergeCell ref="B10:I10"/>
    <mergeCell ref="B30:F30"/>
    <mergeCell ref="G30:S30"/>
    <mergeCell ref="B17:I17"/>
    <mergeCell ref="B25:C25"/>
    <mergeCell ref="X18:Y18"/>
    <mergeCell ref="B13:B15"/>
    <mergeCell ref="T25:W25"/>
    <mergeCell ref="X25:AE25"/>
    <mergeCell ref="X19:AE19"/>
    <mergeCell ref="F14:M14"/>
    <mergeCell ref="F15:M15"/>
    <mergeCell ref="F13:M13"/>
    <mergeCell ref="C13:E14"/>
    <mergeCell ref="N14:S15"/>
    <mergeCell ref="T19:W19"/>
    <mergeCell ref="X26:AE26"/>
    <mergeCell ref="X27:AE27"/>
    <mergeCell ref="L24:M24"/>
    <mergeCell ref="E20:K20"/>
    <mergeCell ref="D25:K25"/>
    <mergeCell ref="T27:U27"/>
    <mergeCell ref="P24:Q24"/>
    <mergeCell ref="L27:S27"/>
    <mergeCell ref="A19:A21"/>
    <mergeCell ref="N20:O20"/>
    <mergeCell ref="R22:S22"/>
    <mergeCell ref="R23:S23"/>
    <mergeCell ref="R21:S21"/>
    <mergeCell ref="R20:S20"/>
    <mergeCell ref="P23:Q23"/>
    <mergeCell ref="P21:Q21"/>
    <mergeCell ref="P22:Q22"/>
    <mergeCell ref="N23:O23"/>
    <mergeCell ref="N21:O21"/>
    <mergeCell ref="L22:M22"/>
    <mergeCell ref="L23:M23"/>
    <mergeCell ref="L21:M21"/>
    <mergeCell ref="L20:M20"/>
    <mergeCell ref="L19:O19"/>
    <mergeCell ref="P20:Q20"/>
    <mergeCell ref="N22:O22"/>
    <mergeCell ref="P19:S19"/>
    <mergeCell ref="B19:D24"/>
    <mergeCell ref="E24:K24"/>
    <mergeCell ref="E23:K23"/>
    <mergeCell ref="R24:S24"/>
    <mergeCell ref="N24:O24"/>
    <mergeCell ref="B9:I9"/>
    <mergeCell ref="J6:T6"/>
    <mergeCell ref="U6:AE6"/>
    <mergeCell ref="Q5:S5"/>
    <mergeCell ref="V9:W9"/>
    <mergeCell ref="B5:C5"/>
    <mergeCell ref="X9:Z9"/>
    <mergeCell ref="AA9:AE9"/>
    <mergeCell ref="J7:S7"/>
    <mergeCell ref="J8:S8"/>
    <mergeCell ref="B8:I8"/>
    <mergeCell ref="B6:I7"/>
    <mergeCell ref="AA5:AC5"/>
    <mergeCell ref="J9:S9"/>
    <mergeCell ref="B16:C16"/>
    <mergeCell ref="E16:G16"/>
    <mergeCell ref="H16:I16"/>
    <mergeCell ref="C15:E15"/>
    <mergeCell ref="B12:I12"/>
    <mergeCell ref="V26:W26"/>
    <mergeCell ref="V27:W27"/>
    <mergeCell ref="T26:U26"/>
    <mergeCell ref="X29:AE29"/>
    <mergeCell ref="V29:W29"/>
    <mergeCell ref="B69:K69"/>
    <mergeCell ref="C60:K60"/>
    <mergeCell ref="R60:S60"/>
    <mergeCell ref="R67:S67"/>
    <mergeCell ref="R46:S46"/>
    <mergeCell ref="P51:Q51"/>
    <mergeCell ref="R50:S50"/>
    <mergeCell ref="R49:S49"/>
    <mergeCell ref="T47:U47"/>
    <mergeCell ref="T46:U46"/>
    <mergeCell ref="C51:K51"/>
    <mergeCell ref="L60:O60"/>
    <mergeCell ref="L59:O59"/>
    <mergeCell ref="C59:K59"/>
    <mergeCell ref="L66:O66"/>
    <mergeCell ref="C63:K63"/>
    <mergeCell ref="C62:K62"/>
    <mergeCell ref="T52:U52"/>
    <mergeCell ref="L50:O50"/>
    <mergeCell ref="Z41:AE41"/>
    <mergeCell ref="P45:S45"/>
    <mergeCell ref="V45:Y45"/>
    <mergeCell ref="T44:U44"/>
    <mergeCell ref="V44:Y44"/>
    <mergeCell ref="C75:K75"/>
    <mergeCell ref="C74:K74"/>
    <mergeCell ref="C73:K73"/>
    <mergeCell ref="B72:K72"/>
    <mergeCell ref="L72:S72"/>
    <mergeCell ref="L73:S73"/>
    <mergeCell ref="L74:S74"/>
    <mergeCell ref="L75:S75"/>
    <mergeCell ref="R71:S71"/>
    <mergeCell ref="B70:B71"/>
    <mergeCell ref="L71:O71"/>
    <mergeCell ref="L70:O70"/>
    <mergeCell ref="C71:K71"/>
    <mergeCell ref="C70:K70"/>
    <mergeCell ref="P71:Q71"/>
    <mergeCell ref="B73:B75"/>
    <mergeCell ref="P70:Q70"/>
    <mergeCell ref="R70:S70"/>
    <mergeCell ref="Z43:AE43"/>
    <mergeCell ref="Z44:AE44"/>
    <mergeCell ref="Z47:AE47"/>
    <mergeCell ref="Z46:AE46"/>
    <mergeCell ref="Z45:AE45"/>
    <mergeCell ref="V47:Y47"/>
    <mergeCell ref="T45:U45"/>
    <mergeCell ref="R47:S47"/>
    <mergeCell ref="B68:K68"/>
    <mergeCell ref="C67:K67"/>
    <mergeCell ref="B58:B63"/>
    <mergeCell ref="C66:K66"/>
    <mergeCell ref="R66:S66"/>
    <mergeCell ref="C65:K65"/>
    <mergeCell ref="P64:S64"/>
    <mergeCell ref="P66:Q66"/>
    <mergeCell ref="P65:Q65"/>
    <mergeCell ref="B64:K64"/>
    <mergeCell ref="B65:B67"/>
    <mergeCell ref="C58:K58"/>
    <mergeCell ref="P59:Q59"/>
    <mergeCell ref="P58:Q58"/>
    <mergeCell ref="C61:K61"/>
    <mergeCell ref="P61:Q61"/>
    <mergeCell ref="R59:S59"/>
    <mergeCell ref="P63:Q63"/>
    <mergeCell ref="L65:O65"/>
    <mergeCell ref="R61:S61"/>
    <mergeCell ref="L64:O64"/>
    <mergeCell ref="L63:O63"/>
    <mergeCell ref="L62:O62"/>
    <mergeCell ref="L61:O61"/>
    <mergeCell ref="AX12:BA12"/>
    <mergeCell ref="T29:U29"/>
    <mergeCell ref="V40:Y40"/>
    <mergeCell ref="V41:Y41"/>
    <mergeCell ref="V42:Y42"/>
    <mergeCell ref="V43:Y43"/>
    <mergeCell ref="R40:U40"/>
    <mergeCell ref="R43:U43"/>
    <mergeCell ref="R42:U42"/>
    <mergeCell ref="R41:U41"/>
    <mergeCell ref="T35:U35"/>
    <mergeCell ref="V35:W35"/>
    <mergeCell ref="V36:W36"/>
    <mergeCell ref="T36:U36"/>
    <mergeCell ref="X36:Z36"/>
    <mergeCell ref="X35:Z35"/>
    <mergeCell ref="AA36:AE36"/>
    <mergeCell ref="R36:S36"/>
    <mergeCell ref="Z40:AE40"/>
    <mergeCell ref="X28:AE28"/>
    <mergeCell ref="L28:S28"/>
    <mergeCell ref="Z18:AA18"/>
    <mergeCell ref="AB18:AC18"/>
    <mergeCell ref="C55:K55"/>
    <mergeCell ref="P50:Q50"/>
    <mergeCell ref="R52:S52"/>
    <mergeCell ref="P52:Q52"/>
    <mergeCell ref="P49:Q49"/>
    <mergeCell ref="L52:O52"/>
    <mergeCell ref="L51:O51"/>
    <mergeCell ref="P54:Q54"/>
    <mergeCell ref="L53:O53"/>
    <mergeCell ref="C54:K54"/>
    <mergeCell ref="X30:AE30"/>
    <mergeCell ref="T30:W30"/>
    <mergeCell ref="F29:K29"/>
    <mergeCell ref="F26:K26"/>
    <mergeCell ref="F27:K27"/>
    <mergeCell ref="C43:K43"/>
    <mergeCell ref="Z42:AE42"/>
    <mergeCell ref="Z57:AE57"/>
    <mergeCell ref="T48:U48"/>
    <mergeCell ref="T54:U54"/>
    <mergeCell ref="V52:Y52"/>
    <mergeCell ref="V50:Y50"/>
    <mergeCell ref="V49:Y49"/>
    <mergeCell ref="V48:Y48"/>
    <mergeCell ref="R48:S48"/>
    <mergeCell ref="C49:K49"/>
    <mergeCell ref="R51:S51"/>
    <mergeCell ref="C53:K53"/>
    <mergeCell ref="C48:K48"/>
    <mergeCell ref="C47:K47"/>
    <mergeCell ref="B56:K56"/>
    <mergeCell ref="B46:B55"/>
    <mergeCell ref="L56:AE56"/>
    <mergeCell ref="Z48:AE48"/>
    <mergeCell ref="Z52:AE52"/>
    <mergeCell ref="T50:U50"/>
    <mergeCell ref="T49:U49"/>
    <mergeCell ref="Z49:AE49"/>
    <mergeCell ref="V51:Y51"/>
    <mergeCell ref="T51:U51"/>
    <mergeCell ref="P39:U39"/>
    <mergeCell ref="L39:O39"/>
    <mergeCell ref="B39:K39"/>
    <mergeCell ref="C36:E36"/>
    <mergeCell ref="B33:B36"/>
    <mergeCell ref="C33:E33"/>
    <mergeCell ref="C34:E34"/>
    <mergeCell ref="C35:E35"/>
    <mergeCell ref="P33:S33"/>
    <mergeCell ref="P34:Q34"/>
    <mergeCell ref="R34:S34"/>
    <mergeCell ref="T33:W33"/>
    <mergeCell ref="T34:U34"/>
    <mergeCell ref="V39:Y39"/>
    <mergeCell ref="P36:Q36"/>
    <mergeCell ref="X34:Z34"/>
    <mergeCell ref="B38:K38"/>
    <mergeCell ref="R35:S35"/>
    <mergeCell ref="P43:Q43"/>
    <mergeCell ref="L58:O58"/>
    <mergeCell ref="T69:Y69"/>
    <mergeCell ref="T53:U53"/>
    <mergeCell ref="T73:AE73"/>
    <mergeCell ref="L54:O54"/>
    <mergeCell ref="L57:O57"/>
    <mergeCell ref="P53:Q53"/>
    <mergeCell ref="Z53:AE53"/>
    <mergeCell ref="L69:O69"/>
    <mergeCell ref="Z61:AE61"/>
    <mergeCell ref="V53:Y53"/>
    <mergeCell ref="R54:S54"/>
    <mergeCell ref="L55:O55"/>
    <mergeCell ref="Z55:AE55"/>
    <mergeCell ref="V55:Y55"/>
    <mergeCell ref="T55:U55"/>
    <mergeCell ref="R55:S55"/>
    <mergeCell ref="V54:Y54"/>
    <mergeCell ref="P57:S57"/>
    <mergeCell ref="L67:O67"/>
    <mergeCell ref="F36:K36"/>
    <mergeCell ref="P62:Q62"/>
    <mergeCell ref="R63:S63"/>
    <mergeCell ref="L40:O40"/>
    <mergeCell ref="L49:O49"/>
    <mergeCell ref="C52:K52"/>
    <mergeCell ref="C50:K50"/>
    <mergeCell ref="P42:Q42"/>
    <mergeCell ref="L48:O48"/>
    <mergeCell ref="L47:O47"/>
    <mergeCell ref="P48:Q48"/>
    <mergeCell ref="L46:O46"/>
    <mergeCell ref="L45:O45"/>
    <mergeCell ref="C46:K46"/>
    <mergeCell ref="P47:Q47"/>
    <mergeCell ref="P46:Q46"/>
    <mergeCell ref="C42:K42"/>
    <mergeCell ref="C41:K41"/>
    <mergeCell ref="C44:K44"/>
    <mergeCell ref="L44:O44"/>
    <mergeCell ref="P44:Q44"/>
    <mergeCell ref="L42:O42"/>
    <mergeCell ref="L41:O41"/>
    <mergeCell ref="L43:O43"/>
    <mergeCell ref="B57:K57"/>
    <mergeCell ref="B45:K45"/>
    <mergeCell ref="P41:Q41"/>
    <mergeCell ref="C40:K40"/>
    <mergeCell ref="B40:B44"/>
    <mergeCell ref="T75:AE75"/>
    <mergeCell ref="T74:AE74"/>
    <mergeCell ref="T72:AE72"/>
    <mergeCell ref="T57:Y57"/>
    <mergeCell ref="Z67:AE67"/>
    <mergeCell ref="Z66:AE66"/>
    <mergeCell ref="Z65:AE65"/>
    <mergeCell ref="Z64:AE64"/>
    <mergeCell ref="T67:Y67"/>
    <mergeCell ref="T66:Y66"/>
    <mergeCell ref="T65:Y65"/>
    <mergeCell ref="T64:Y64"/>
    <mergeCell ref="Z63:AD63"/>
    <mergeCell ref="T63:Y63"/>
    <mergeCell ref="T62:Y62"/>
    <mergeCell ref="T61:Y61"/>
    <mergeCell ref="T60:Y60"/>
    <mergeCell ref="V70:Y70"/>
    <mergeCell ref="V71:Y71"/>
    <mergeCell ref="Z71:AE71"/>
    <mergeCell ref="Z60:AE60"/>
    <mergeCell ref="T71:U71"/>
    <mergeCell ref="Z51:AE51"/>
    <mergeCell ref="Z50:AE50"/>
    <mergeCell ref="R44:S44"/>
    <mergeCell ref="T58:Y58"/>
    <mergeCell ref="T59:Y59"/>
    <mergeCell ref="T70:U70"/>
    <mergeCell ref="P69:S69"/>
    <mergeCell ref="R58:S58"/>
    <mergeCell ref="P55:Q55"/>
    <mergeCell ref="R53:S53"/>
    <mergeCell ref="Z54:AE54"/>
    <mergeCell ref="R62:S62"/>
    <mergeCell ref="P60:Q60"/>
    <mergeCell ref="Z62:AE62"/>
    <mergeCell ref="Z59:AE59"/>
    <mergeCell ref="R65:S65"/>
    <mergeCell ref="Z58:AE58"/>
    <mergeCell ref="Z70:AE70"/>
    <mergeCell ref="Z69:AE69"/>
    <mergeCell ref="V46:Y46"/>
    <mergeCell ref="L68:AE68"/>
    <mergeCell ref="P67:Q67"/>
    <mergeCell ref="AD1:AE1"/>
    <mergeCell ref="T8:AE8"/>
    <mergeCell ref="T7:AE7"/>
    <mergeCell ref="T13:W13"/>
    <mergeCell ref="X23:AE23"/>
    <mergeCell ref="X22:AE22"/>
    <mergeCell ref="X21:AE21"/>
    <mergeCell ref="X20:AE20"/>
    <mergeCell ref="B2:AE2"/>
    <mergeCell ref="B3:C4"/>
    <mergeCell ref="T4:U4"/>
    <mergeCell ref="V3:W3"/>
    <mergeCell ref="Q4:S4"/>
    <mergeCell ref="Q3:S3"/>
    <mergeCell ref="T5:U5"/>
    <mergeCell ref="B1:G1"/>
    <mergeCell ref="U1:AB1"/>
    <mergeCell ref="O1:S1"/>
    <mergeCell ref="M1:N1"/>
    <mergeCell ref="AA11:AB11"/>
    <mergeCell ref="AD11:AE11"/>
    <mergeCell ref="L17:M17"/>
    <mergeCell ref="G18:T18"/>
    <mergeCell ref="B18:F18"/>
    <mergeCell ref="L25:S25"/>
    <mergeCell ref="AD3:AE3"/>
    <mergeCell ref="L12:M12"/>
    <mergeCell ref="T12:U12"/>
    <mergeCell ref="AA12:AB12"/>
    <mergeCell ref="L33:O33"/>
    <mergeCell ref="F34:K34"/>
    <mergeCell ref="L34:O34"/>
    <mergeCell ref="L29:S29"/>
    <mergeCell ref="T20:U24"/>
    <mergeCell ref="F28:K28"/>
    <mergeCell ref="T17:U17"/>
    <mergeCell ref="AA17:AB17"/>
    <mergeCell ref="V16:X16"/>
    <mergeCell ref="Y16:Z16"/>
    <mergeCell ref="AA16:AC16"/>
    <mergeCell ref="V34:W34"/>
    <mergeCell ref="T28:U28"/>
    <mergeCell ref="V28:W28"/>
    <mergeCell ref="L26:S26"/>
    <mergeCell ref="X24:AE24"/>
    <mergeCell ref="V20:W24"/>
    <mergeCell ref="E22:K22"/>
    <mergeCell ref="E21:K21"/>
    <mergeCell ref="B32:K32"/>
    <mergeCell ref="AA35:AE35"/>
    <mergeCell ref="AA34:AE34"/>
    <mergeCell ref="AA33:AE33"/>
    <mergeCell ref="L35:O35"/>
    <mergeCell ref="V31:W31"/>
    <mergeCell ref="T31:U31"/>
    <mergeCell ref="F33:K33"/>
    <mergeCell ref="F35:K35"/>
    <mergeCell ref="X33:Z33"/>
    <mergeCell ref="O31:Q31"/>
    <mergeCell ref="I31:J31"/>
    <mergeCell ref="L32:AE32"/>
    <mergeCell ref="E31:H31"/>
    <mergeCell ref="X31:AE31"/>
    <mergeCell ref="B31:D31"/>
    <mergeCell ref="P40:Q40"/>
    <mergeCell ref="L36:O36"/>
    <mergeCell ref="L38:AE38"/>
    <mergeCell ref="Z39:AE39"/>
    <mergeCell ref="P35:Q35"/>
    <mergeCell ref="AF1:AH1"/>
    <mergeCell ref="AQ1:AS1"/>
    <mergeCell ref="AI1:AP1"/>
    <mergeCell ref="AT1:BD1"/>
    <mergeCell ref="S16:T16"/>
    <mergeCell ref="J16:L16"/>
    <mergeCell ref="N16:P16"/>
    <mergeCell ref="Q16:R16"/>
    <mergeCell ref="AU12:AW12"/>
    <mergeCell ref="AL12:AO12"/>
    <mergeCell ref="AI12:AK12"/>
    <mergeCell ref="X13:AE13"/>
    <mergeCell ref="X14:AE15"/>
    <mergeCell ref="N13:S13"/>
    <mergeCell ref="V5:W5"/>
    <mergeCell ref="Z3:AC3"/>
    <mergeCell ref="H1:L1"/>
    <mergeCell ref="D3:P4"/>
    <mergeCell ref="D5:H5"/>
    <mergeCell ref="AH2:AO3"/>
    <mergeCell ref="AQ2:BD3"/>
    <mergeCell ref="B11:D11"/>
    <mergeCell ref="Z4:AE4"/>
    <mergeCell ref="AF11:AG11"/>
    <mergeCell ref="AL11:AN11"/>
    <mergeCell ref="AO11:AQ11"/>
    <mergeCell ref="AY11:AZ11"/>
    <mergeCell ref="AG4:AO4"/>
    <mergeCell ref="AP4:AW4"/>
    <mergeCell ref="AX4:BD4"/>
    <mergeCell ref="E11:G11"/>
    <mergeCell ref="H11:I11"/>
    <mergeCell ref="J11:L11"/>
    <mergeCell ref="N11:P11"/>
    <mergeCell ref="Q11:R11"/>
    <mergeCell ref="S11:T11"/>
    <mergeCell ref="V11:X11"/>
    <mergeCell ref="Y11:Z11"/>
    <mergeCell ref="J5:K5"/>
    <mergeCell ref="T3:U3"/>
    <mergeCell ref="T9:U9"/>
    <mergeCell ref="M5:N5"/>
    <mergeCell ref="O5:P5"/>
  </mergeCells>
  <conditionalFormatting sqref="X34:Z34">
    <cfRule type="cellIs" dxfId="2" priority="3" operator="equal">
      <formula>"Pas IV seul"</formula>
    </cfRule>
  </conditionalFormatting>
  <conditionalFormatting sqref="X35:Z35">
    <cfRule type="cellIs" dxfId="1" priority="2" operator="equal">
      <formula>"Pas IV seul"</formula>
    </cfRule>
  </conditionalFormatting>
  <conditionalFormatting sqref="X36:Z36">
    <cfRule type="cellIs" dxfId="0" priority="1" operator="equal">
      <formula>"Pas IV seul"</formula>
    </cfRule>
  </conditionalFormatting>
  <dataValidations count="56">
    <dataValidation type="list" allowBlank="1" showInputMessage="1" showErrorMessage="1" sqref="AG16 AF46:AF55 AG29 AF58:AF63 AG32:AG38 AF13:AF16 AF65:AF68">
      <formula1>#REF!</formula1>
    </dataValidation>
    <dataValidation type="list" showInputMessage="1" showErrorMessage="1" sqref="C65:K66">
      <formula1>produit_autres_médicaments</formula1>
    </dataValidation>
    <dataValidation type="list" showInputMessage="1" showErrorMessage="1" sqref="D62:K62 D58:K59 C58:C62">
      <formula1>Produit_per_os</formula1>
    </dataValidation>
    <dataValidation type="list" showInputMessage="1" showErrorMessage="1" sqref="C46:K54">
      <formula1>Produit_IV_discontinue</formula1>
    </dataValidation>
    <dataValidation type="list" showInputMessage="1" showErrorMessage="1" sqref="C40:C43">
      <formula1>I.V._Continue</formula1>
    </dataValidation>
    <dataValidation type="list" showInputMessage="1" showErrorMessage="1" sqref="V41:V43">
      <formula1>"-,concentration simple,double concentration"</formula1>
    </dataValidation>
    <dataValidation type="list" showInputMessage="1" showErrorMessage="1" sqref="F26:F28">
      <formula1>ajouts_TPN</formula1>
    </dataValidation>
    <dataValidation type="list" showInputMessage="1" showErrorMessage="1" sqref="T3:U3">
      <formula1>"23,24,25,26,27,28,29,30,31,32,33,34,35,36,37,38,39,40,41,42"</formula1>
    </dataValidation>
    <dataValidation type="list" showInputMessage="1" showErrorMessage="1" sqref="X3">
      <formula1>"0,1,2,3,4,5,6"</formula1>
    </dataValidation>
    <dataValidation type="list" showInputMessage="1" showErrorMessage="1" sqref="J8">
      <formula1>"AIR AMBIANT ,BiPAP nasale,CPAP nasale,VMC ,HFO ,OXYGÉNOTHÉRAPIE À HAUT DÉBIT,NO INHALÉ,OXYGENE SOUS HOOD"</formula1>
    </dataValidation>
    <dataValidation type="list" showInputMessage="1" showErrorMessage="1" sqref="C70:C71">
      <formula1>produits_dérivés</formula1>
    </dataValidation>
    <dataValidation type="list" allowBlank="1" showInputMessage="1" showErrorMessage="1" sqref="D58:K59 D62:K62">
      <formula1>$A$2:$A$31</formula1>
    </dataValidation>
    <dataValidation type="list" showInputMessage="1" showErrorMessage="1" sqref="N14">
      <formula1>"-,Infusion libre,Infusion 30 min,Infusion 1h, Infusion 2h,Infusion continue, Sein,Sein / Biberon,Sein / Infusion libre,Biberon ,A la demande"</formula1>
    </dataValidation>
    <dataValidation type="list" allowBlank="1" showInputMessage="1" showErrorMessage="1" sqref="F34:K35">
      <formula1>Autre_perfusion_solutés</formula1>
    </dataValidation>
    <dataValidation type="list" showInputMessage="1" showErrorMessage="1" sqref="G30:S30">
      <formula1>"PAS D'AJOUT DE LIPIDES,CLINOLEIC Standard,SMOFLIPID Standard,CLINOLEIC Personnalisé,SMOFLIPID Personnalisé"</formula1>
    </dataValidation>
    <dataValidation type="list" allowBlank="1" showInputMessage="1" showErrorMessage="1" sqref="AF7:AF10">
      <formula1>"- , VMC, HFO, CPAP nasale, O2 à haut débit, "</formula1>
    </dataValidation>
    <dataValidation type="list" showInputMessage="1" showErrorMessage="1" sqref="J9:J10">
      <formula1>"-,CUROSURF 120 mg/1.5 mL dose 1,CUROSURF 120 mg/1.5 mL dose 2,CUROSURF 120 mg/1.5 mL dose 3"</formula1>
    </dataValidation>
    <dataValidation type="list" allowBlank="1" showInputMessage="1" showErrorMessage="1" sqref="J9:J10">
      <formula1>"-,CUROSURF 120 mg/1,5 mL dose 1,CUROSURF 120 mg/1,5 mL dose 2,CUROSURF 120 mg/1,5 mL dose 3"</formula1>
    </dataValidation>
    <dataValidation type="list" showInputMessage="1" showErrorMessage="1" sqref="C37:E37">
      <formula1>"-,Veine 2, Veine 3, Veine 4, KT Art"</formula1>
    </dataValidation>
    <dataValidation type="list" showInputMessage="1" showErrorMessage="1" sqref="V40">
      <formula1>"-, simple,double "</formula1>
    </dataValidation>
    <dataValidation type="list" showInputMessage="1" showErrorMessage="1" sqref="L73:L74">
      <formula1>"-,1x /24h,2x /24h,3x /24h,continu,4 heures,3 H/6"</formula1>
    </dataValidation>
    <dataValidation type="list" allowBlank="1" showInputMessage="1" showErrorMessage="1" sqref="T14:T15">
      <formula1>"2,3,4,6,7,8,10,12,24"</formula1>
    </dataValidation>
    <dataValidation type="list" showInputMessage="1" showErrorMessage="1" sqref="J7:S7">
      <formula1>"AIR AMBIANT,BiPAP nasale,CPAP nasale,VMC ,HFO ,OXYGÉNOTHÉRAPIE À HAUT DÉBIT,NO INHALÉ,OXYGENE SOUS HOOD"</formula1>
    </dataValidation>
    <dataValidation type="list" allowBlank="1" showInputMessage="1" showErrorMessage="1" sqref="C34:E34">
      <formula1>" --,Veine 2, Veine 3, Veine 4, KT Art"</formula1>
    </dataValidation>
    <dataValidation showInputMessage="1" showErrorMessage="1" sqref="C67:K67"/>
    <dataValidation allowBlank="1" showDropDown="1" showInputMessage="1" showErrorMessage="1" sqref="C67:K67 AG13:AG15 AG7:AG10 M1:N1 AG68"/>
    <dataValidation type="list" showInputMessage="1" showErrorMessage="1" sqref="C35:E36">
      <formula1>"--,Veine 2, Veine 3, Veine 4, KT Art"</formula1>
    </dataValidation>
    <dataValidation type="list" allowBlank="1" showInputMessage="1" showErrorMessage="1" sqref="AG40:BD40">
      <formula1>IF($C$40="","",codes)</formula1>
    </dataValidation>
    <dataValidation type="list" allowBlank="1" showInputMessage="1" showErrorMessage="1" sqref="AG41:BD41">
      <formula1>IF($C$41="","",codes)</formula1>
    </dataValidation>
    <dataValidation type="list" allowBlank="1" showInputMessage="1" showErrorMessage="1" sqref="AG42:BD42">
      <formula1>IF($C$42="","",codes)</formula1>
    </dataValidation>
    <dataValidation type="list" allowBlank="1" showInputMessage="1" showErrorMessage="1" sqref="AG43:BD43">
      <formula1>IF($C$43="","",codes)</formula1>
    </dataValidation>
    <dataValidation type="list" allowBlank="1" showInputMessage="1" showErrorMessage="1" sqref="AG44:BD44">
      <formula1>IF($C$44="","",codes)</formula1>
    </dataValidation>
    <dataValidation type="list" allowBlank="1" showInputMessage="1" showErrorMessage="1" sqref="AG46:BD46">
      <formula1>IF($C$46="","",codes)</formula1>
    </dataValidation>
    <dataValidation type="list" allowBlank="1" showInputMessage="1" showErrorMessage="1" sqref="AG47:BD47">
      <formula1>IF($C$47="","",codes)</formula1>
    </dataValidation>
    <dataValidation type="list" allowBlank="1" showInputMessage="1" showErrorMessage="1" sqref="AG48:BD48">
      <formula1>IF($C$48="","",codes)</formula1>
    </dataValidation>
    <dataValidation type="list" allowBlank="1" showInputMessage="1" showErrorMessage="1" sqref="AG49:BD49">
      <formula1>IF($C49="","",codes)</formula1>
    </dataValidation>
    <dataValidation type="list" allowBlank="1" showInputMessage="1" showErrorMessage="1" sqref="AG50:BD50">
      <formula1>IF($C$50="","",codes)</formula1>
    </dataValidation>
    <dataValidation type="list" allowBlank="1" showInputMessage="1" showErrorMessage="1" sqref="AG51:BD51">
      <formula1>IF($C$51="","",codes)</formula1>
    </dataValidation>
    <dataValidation type="list" allowBlank="1" showInputMessage="1" showErrorMessage="1" sqref="AG52:BD52">
      <formula1>IF($C$52="","",codes)</formula1>
    </dataValidation>
    <dataValidation type="list" allowBlank="1" showInputMessage="1" showErrorMessage="1" sqref="AG53:BD53">
      <formula1>IF($C$53="","",codes)</formula1>
    </dataValidation>
    <dataValidation type="list" allowBlank="1" showInputMessage="1" showErrorMessage="1" sqref="AG54:BD54">
      <formula1>IF($C$54="","",codes)</formula1>
    </dataValidation>
    <dataValidation type="list" allowBlank="1" showInputMessage="1" showErrorMessage="1" sqref="AG55:BD55">
      <formula1>IF($C$55="","",codes)</formula1>
    </dataValidation>
    <dataValidation type="list" allowBlank="1" showInputMessage="1" showErrorMessage="1" sqref="AG58:BD58">
      <formula1>IF($C$58="","",codes)</formula1>
    </dataValidation>
    <dataValidation type="list" allowBlank="1" showInputMessage="1" showErrorMessage="1" sqref="AG59:BD59">
      <formula1>IF($C$59="","",codes)</formula1>
    </dataValidation>
    <dataValidation type="list" allowBlank="1" showInputMessage="1" showErrorMessage="1" sqref="AG60:BD60">
      <formula1>IF($C$60="","",codes)</formula1>
    </dataValidation>
    <dataValidation type="list" allowBlank="1" showInputMessage="1" showErrorMessage="1" sqref="AG61:BD61">
      <formula1>IF($C$61="","",codes)</formula1>
    </dataValidation>
    <dataValidation type="list" allowBlank="1" showInputMessage="1" showErrorMessage="1" sqref="AG62:BD62">
      <formula1>IF($C$62="","",codes)</formula1>
    </dataValidation>
    <dataValidation type="list" allowBlank="1" showInputMessage="1" showErrorMessage="1" sqref="AG63">
      <formula1>IF($C$63="","",codes)</formula1>
    </dataValidation>
    <dataValidation type="list" allowBlank="1" showInputMessage="1" showErrorMessage="1" sqref="AG65:BD65">
      <formula1>IF($C$65="","",codes)</formula1>
    </dataValidation>
    <dataValidation type="list" allowBlank="1" showInputMessage="1" showErrorMessage="1" sqref="AG66:BD66">
      <formula1>IF($C$66="","",codes)</formula1>
    </dataValidation>
    <dataValidation type="list" allowBlank="1" showInputMessage="1" showErrorMessage="1" sqref="AG67:BD67">
      <formula1>IF($C$67="","",codes)</formula1>
    </dataValidation>
    <dataValidation type="list" allowBlank="1" showInputMessage="1" showErrorMessage="1" sqref="AG70:BD70">
      <formula1>IF($C$70="","",codes)</formula1>
    </dataValidation>
    <dataValidation type="list" allowBlank="1" showInputMessage="1" showErrorMessage="1" sqref="AG71:BD71">
      <formula1>IF($C$71="","",codes)</formula1>
    </dataValidation>
    <dataValidation type="list" allowBlank="1" showInputMessage="1" showErrorMessage="1" sqref="AG73:BD73">
      <formula1>IF($C$73="","",codes)</formula1>
    </dataValidation>
    <dataValidation type="list" allowBlank="1" showInputMessage="1" showErrorMessage="1" sqref="AG74:BD74">
      <formula1>IF($C$74="","",codes)</formula1>
    </dataValidation>
    <dataValidation type="list" allowBlank="1" showInputMessage="1" showErrorMessage="1" sqref="AG75:BD75">
      <formula1>IF($C$75="","",codes)</formula1>
    </dataValidation>
  </dataValidations>
  <pageMargins left="0.11811023622047245" right="0.11811023622047245" top="0.11811023622047245" bottom="0.11811023622047245" header="0" footer="0"/>
  <pageSetup paperSize="8" orientation="portrait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'Liste Médecins'!$A$2:$A$17</xm:f>
          </x14:formula1>
          <xm:sqref>AQ2:BD3</xm:sqref>
        </x14:dataValidation>
        <x14:dataValidation type="list" allowBlank="1" showInputMessage="1" showErrorMessage="1">
          <x14:formula1>
            <xm:f>'Per Os'!$A$2:$A$39</xm:f>
          </x14:formula1>
          <xm:sqref>C58:C62</xm:sqref>
        </x14:dataValidation>
        <x14:dataValidation type="list" allowBlank="1" showInputMessage="1" showErrorMessage="1">
          <x14:formula1>
            <xm:f>'Autres Traitements'!$A$2:$A$116</xm:f>
          </x14:formula1>
          <xm:sqref>C73:C74</xm:sqref>
        </x14:dataValidation>
        <x14:dataValidation type="list" allowBlank="1" showInputMessage="1" showErrorMessage="1">
          <x14:formula1>
            <xm:f>Intervalle!$C$2:$C$12</xm:f>
          </x14:formula1>
          <xm:sqref>L74</xm:sqref>
        </x14:dataValidation>
        <x14:dataValidation type="list" allowBlank="1" showInputMessage="1" showErrorMessage="1">
          <x14:formula1>
            <xm:f>Intervalle!$C$3:$C$14</xm:f>
          </x14:formula1>
          <xm:sqref>L74</xm:sqref>
        </x14:dataValidation>
        <x14:dataValidation type="list" allowBlank="1" showInputMessage="1" showErrorMessage="1">
          <x14:formula1>
            <xm:f>'Autres Médicaments'!$A$2:$A$77</xm:f>
          </x14:formula1>
          <xm:sqref>C65:K66</xm:sqref>
        </x14:dataValidation>
        <x14:dataValidation type="list" allowBlank="1" showInputMessage="1" showErrorMessage="1">
          <x14:formula1>
            <xm:f>TPN!$O$8:$O$14</xm:f>
          </x14:formula1>
          <xm:sqref>AD18:AE18</xm:sqref>
        </x14:dataValidation>
        <x14:dataValidation type="list" allowBlank="1" showInputMessage="1" showErrorMessage="1">
          <x14:formula1>
            <xm:f>TPN!$O$9:$O$18</xm:f>
          </x14:formula1>
          <xm:sqref>G18:T18</xm:sqref>
        </x14:dataValidation>
        <x14:dataValidation type="list" showInputMessage="1" showErrorMessage="1">
          <x14:formula1>
            <xm:f>Laits!$A$3:$A$31</xm:f>
          </x14:formula1>
          <xm:sqref>F14:F15</xm:sqref>
        </x14:dataValidation>
        <x14:dataValidation type="list" allowBlank="1" showInputMessage="1" showErrorMessage="1">
          <x14:formula1>
            <xm:f>Entérale!$A$2:$A$25</xm:f>
          </x14:formula1>
          <xm:sqref>F14:F15</xm:sqref>
        </x14:dataValidation>
        <x14:dataValidation type="list" allowBlank="1" showInputMessage="1" showErrorMessage="1">
          <x14:formula1>
            <xm:f>Apports!$A$1:$A$2</xm:f>
          </x14:formula1>
          <xm:sqref>C15:E15</xm:sqref>
        </x14:dataValidation>
        <x14:dataValidation type="list" allowBlank="1" showInputMessage="1" showErrorMessage="1">
          <x14:formula1>
            <xm:f>'IV Continue'!$A$2:$A$45</xm:f>
          </x14:formula1>
          <xm:sqref>C40:C43</xm:sqref>
        </x14:dataValidation>
        <x14:dataValidation type="list" allowBlank="1" showInputMessage="1" showErrorMessage="1">
          <x14:formula1>
            <xm:f>'IV Discontinue'!$A$2:$A$109</xm:f>
          </x14:formula1>
          <xm:sqref>C46:K53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G88"/>
  <sheetViews>
    <sheetView workbookViewId="0">
      <pane ySplit="1" topLeftCell="A2" activePane="bottomLeft" state="frozen"/>
      <selection activeCell="A17" sqref="A17:A19"/>
      <selection pane="bottomLeft" activeCell="E6" sqref="E6"/>
    </sheetView>
  </sheetViews>
  <sheetFormatPr baseColWidth="10" defaultRowHeight="15"/>
  <cols>
    <col min="1" max="1" width="27.5703125" customWidth="1"/>
    <col min="2" max="2" width="24.140625" customWidth="1"/>
    <col min="3" max="3" width="7.85546875" customWidth="1"/>
    <col min="4" max="4" width="21.140625" style="54" customWidth="1"/>
    <col min="5" max="5" width="7.28515625" style="54" customWidth="1"/>
    <col min="6" max="6" width="23.42578125" style="54" customWidth="1"/>
    <col min="7" max="7" width="15.42578125" customWidth="1"/>
  </cols>
  <sheetData>
    <row r="1" spans="1:7" s="7" customFormat="1" ht="18.75" customHeight="1">
      <c r="A1" s="14" t="s">
        <v>3</v>
      </c>
      <c r="B1" s="6" t="s">
        <v>12</v>
      </c>
      <c r="C1" s="6" t="s">
        <v>1</v>
      </c>
      <c r="D1" s="6" t="s">
        <v>140</v>
      </c>
      <c r="E1" s="55" t="s">
        <v>149</v>
      </c>
      <c r="F1" s="105" t="s">
        <v>233</v>
      </c>
      <c r="G1" s="15" t="s">
        <v>141</v>
      </c>
    </row>
    <row r="2" spans="1:7" s="26" customFormat="1" ht="18.75" customHeight="1">
      <c r="A2" s="23"/>
      <c r="B2" s="24"/>
      <c r="C2" s="24"/>
      <c r="D2" s="24"/>
      <c r="E2" s="56"/>
      <c r="F2" s="56"/>
      <c r="G2" s="25"/>
    </row>
    <row r="3" spans="1:7" ht="18.75" customHeight="1">
      <c r="A3" s="16" t="s">
        <v>17</v>
      </c>
      <c r="B3" s="2" t="s">
        <v>277</v>
      </c>
      <c r="C3" s="2" t="s">
        <v>232</v>
      </c>
      <c r="D3" s="50" t="s">
        <v>629</v>
      </c>
      <c r="E3" s="57" t="s">
        <v>149</v>
      </c>
      <c r="F3" s="57"/>
      <c r="G3" s="17"/>
    </row>
    <row r="4" spans="1:7" ht="18.75" customHeight="1">
      <c r="A4" s="16" t="s">
        <v>234</v>
      </c>
      <c r="B4" s="58" t="s">
        <v>785</v>
      </c>
      <c r="C4" s="2" t="s">
        <v>232</v>
      </c>
      <c r="D4" s="50" t="s">
        <v>232</v>
      </c>
      <c r="E4" s="57" t="s">
        <v>149</v>
      </c>
      <c r="F4" s="57"/>
      <c r="G4" s="17"/>
    </row>
    <row r="5" spans="1:7" ht="18.75" customHeight="1">
      <c r="A5" s="16" t="s">
        <v>235</v>
      </c>
      <c r="B5" s="2" t="s">
        <v>278</v>
      </c>
      <c r="C5" s="2" t="s">
        <v>232</v>
      </c>
      <c r="D5" s="50" t="s">
        <v>232</v>
      </c>
      <c r="E5" s="57" t="s">
        <v>149</v>
      </c>
      <c r="F5" s="57"/>
      <c r="G5" s="17"/>
    </row>
    <row r="6" spans="1:7" s="489" customFormat="1" ht="18.75" customHeight="1">
      <c r="A6" s="16" t="s">
        <v>783</v>
      </c>
      <c r="B6" s="2" t="s">
        <v>595</v>
      </c>
      <c r="C6" s="2" t="s">
        <v>232</v>
      </c>
      <c r="D6" s="50" t="s">
        <v>232</v>
      </c>
      <c r="E6" s="57" t="s">
        <v>149</v>
      </c>
      <c r="F6" s="57"/>
      <c r="G6" s="17"/>
    </row>
    <row r="7" spans="1:7" ht="18.75" customHeight="1">
      <c r="A7" s="19" t="s">
        <v>775</v>
      </c>
      <c r="B7" s="2" t="s">
        <v>279</v>
      </c>
      <c r="C7" s="2" t="s">
        <v>232</v>
      </c>
      <c r="D7" s="50" t="s">
        <v>744</v>
      </c>
      <c r="E7" s="57" t="s">
        <v>149</v>
      </c>
      <c r="F7" s="57"/>
      <c r="G7" s="17"/>
    </row>
    <row r="8" spans="1:7" ht="18.75" customHeight="1">
      <c r="A8" s="19" t="s">
        <v>638</v>
      </c>
      <c r="B8" s="2" t="s">
        <v>277</v>
      </c>
      <c r="C8" s="2" t="s">
        <v>232</v>
      </c>
      <c r="D8" s="2" t="s">
        <v>629</v>
      </c>
      <c r="E8" s="57" t="s">
        <v>149</v>
      </c>
      <c r="F8" s="57"/>
      <c r="G8" s="17"/>
    </row>
    <row r="9" spans="1:7" ht="18.75" customHeight="1">
      <c r="A9" s="16" t="s">
        <v>18</v>
      </c>
      <c r="B9" s="2" t="s">
        <v>280</v>
      </c>
      <c r="C9" s="2" t="s">
        <v>232</v>
      </c>
      <c r="D9" s="58" t="s">
        <v>745</v>
      </c>
      <c r="E9" s="57" t="s">
        <v>149</v>
      </c>
      <c r="F9" s="57"/>
      <c r="G9" s="17"/>
    </row>
    <row r="10" spans="1:7" ht="18.75" customHeight="1">
      <c r="A10" s="19" t="s">
        <v>168</v>
      </c>
      <c r="B10" s="2" t="s">
        <v>281</v>
      </c>
      <c r="C10" s="2" t="s">
        <v>232</v>
      </c>
      <c r="D10" s="58" t="s">
        <v>744</v>
      </c>
      <c r="E10" s="57" t="s">
        <v>149</v>
      </c>
      <c r="F10" s="57"/>
      <c r="G10" s="17"/>
    </row>
    <row r="11" spans="1:7" ht="18.75" customHeight="1">
      <c r="A11" s="16" t="s">
        <v>19</v>
      </c>
      <c r="B11" s="2" t="s">
        <v>282</v>
      </c>
      <c r="C11" s="2" t="s">
        <v>232</v>
      </c>
      <c r="D11" s="50" t="s">
        <v>629</v>
      </c>
      <c r="E11" s="57" t="s">
        <v>149</v>
      </c>
      <c r="F11" s="57"/>
      <c r="G11" s="17"/>
    </row>
    <row r="12" spans="1:7" ht="18.75" customHeight="1">
      <c r="A12" s="18" t="s">
        <v>20</v>
      </c>
      <c r="B12" s="2" t="s">
        <v>283</v>
      </c>
      <c r="C12" s="2" t="s">
        <v>232</v>
      </c>
      <c r="D12" s="50" t="s">
        <v>629</v>
      </c>
      <c r="E12" s="57" t="s">
        <v>149</v>
      </c>
      <c r="F12" s="57"/>
      <c r="G12" s="17"/>
    </row>
    <row r="13" spans="1:7" ht="18.75" customHeight="1">
      <c r="A13" s="16" t="s">
        <v>21</v>
      </c>
      <c r="B13" s="2" t="s">
        <v>284</v>
      </c>
      <c r="C13" s="2" t="s">
        <v>232</v>
      </c>
      <c r="D13" s="58" t="s">
        <v>548</v>
      </c>
      <c r="E13" s="57" t="s">
        <v>149</v>
      </c>
      <c r="F13" s="57"/>
      <c r="G13" s="17"/>
    </row>
    <row r="14" spans="1:7" ht="18.75" customHeight="1">
      <c r="A14" s="16" t="s">
        <v>22</v>
      </c>
      <c r="B14" s="2" t="s">
        <v>285</v>
      </c>
      <c r="C14" s="2" t="s">
        <v>232</v>
      </c>
      <c r="D14" s="50" t="s">
        <v>629</v>
      </c>
      <c r="E14" s="57" t="s">
        <v>149</v>
      </c>
      <c r="F14" s="57"/>
      <c r="G14" s="17"/>
    </row>
    <row r="15" spans="1:7" ht="18.75" customHeight="1">
      <c r="A15" s="16" t="s">
        <v>23</v>
      </c>
      <c r="B15" s="2" t="s">
        <v>286</v>
      </c>
      <c r="C15" s="2" t="s">
        <v>232</v>
      </c>
      <c r="D15" s="2" t="s">
        <v>629</v>
      </c>
      <c r="E15" s="57" t="s">
        <v>149</v>
      </c>
      <c r="F15" s="57"/>
      <c r="G15" s="17"/>
    </row>
    <row r="16" spans="1:7" s="489" customFormat="1" ht="18.75" customHeight="1">
      <c r="A16" s="16" t="s">
        <v>60</v>
      </c>
      <c r="B16" s="2" t="s">
        <v>61</v>
      </c>
      <c r="C16" s="2" t="s">
        <v>232</v>
      </c>
      <c r="D16" s="2" t="s">
        <v>382</v>
      </c>
      <c r="E16" s="57" t="s">
        <v>149</v>
      </c>
      <c r="F16" s="57"/>
      <c r="G16" s="17"/>
    </row>
    <row r="17" spans="1:7" ht="18.75" customHeight="1">
      <c r="A17" s="16" t="s">
        <v>24</v>
      </c>
      <c r="B17" s="2" t="s">
        <v>287</v>
      </c>
      <c r="C17" s="2" t="s">
        <v>232</v>
      </c>
      <c r="D17" s="50" t="s">
        <v>383</v>
      </c>
      <c r="E17" s="57" t="s">
        <v>149</v>
      </c>
      <c r="F17" s="57"/>
      <c r="G17" s="17"/>
    </row>
    <row r="18" spans="1:7" s="484" customFormat="1" ht="18.75" customHeight="1">
      <c r="A18" s="16" t="s">
        <v>778</v>
      </c>
      <c r="B18" s="2" t="s">
        <v>748</v>
      </c>
      <c r="C18" s="2" t="s">
        <v>232</v>
      </c>
      <c r="D18" s="50" t="s">
        <v>629</v>
      </c>
      <c r="E18" s="57" t="s">
        <v>149</v>
      </c>
      <c r="F18" s="57"/>
      <c r="G18" s="17"/>
    </row>
    <row r="19" spans="1:7" ht="18.75" customHeight="1">
      <c r="A19" s="16" t="s">
        <v>25</v>
      </c>
      <c r="B19" s="2" t="s">
        <v>288</v>
      </c>
      <c r="C19" s="2" t="s">
        <v>232</v>
      </c>
      <c r="D19" s="476" t="s">
        <v>384</v>
      </c>
      <c r="E19" s="57" t="s">
        <v>149</v>
      </c>
      <c r="F19" s="57"/>
      <c r="G19" s="17"/>
    </row>
    <row r="20" spans="1:7" ht="18.75" customHeight="1">
      <c r="A20" s="16" t="s">
        <v>26</v>
      </c>
      <c r="B20" s="2" t="s">
        <v>289</v>
      </c>
      <c r="C20" s="2" t="s">
        <v>232</v>
      </c>
      <c r="D20" s="475" t="s">
        <v>384</v>
      </c>
      <c r="E20" s="57" t="s">
        <v>149</v>
      </c>
      <c r="F20" s="57"/>
      <c r="G20" s="17"/>
    </row>
    <row r="21" spans="1:7" ht="18.75" customHeight="1">
      <c r="A21" s="19" t="s">
        <v>743</v>
      </c>
      <c r="B21" s="2" t="s">
        <v>290</v>
      </c>
      <c r="C21" s="2" t="s">
        <v>232</v>
      </c>
      <c r="D21" s="475" t="s">
        <v>232</v>
      </c>
      <c r="E21" s="57" t="s">
        <v>149</v>
      </c>
      <c r="F21" s="57"/>
      <c r="G21" s="17"/>
    </row>
    <row r="22" spans="1:7" ht="18.75" customHeight="1">
      <c r="A22" s="19" t="s">
        <v>169</v>
      </c>
      <c r="B22" s="2" t="s">
        <v>291</v>
      </c>
      <c r="C22" s="2" t="s">
        <v>232</v>
      </c>
      <c r="D22" s="51" t="s">
        <v>382</v>
      </c>
      <c r="E22" s="57" t="s">
        <v>149</v>
      </c>
      <c r="F22" s="57"/>
      <c r="G22" s="17"/>
    </row>
    <row r="23" spans="1:7" ht="18.75" customHeight="1">
      <c r="A23" s="19" t="s">
        <v>637</v>
      </c>
      <c r="B23" s="2" t="s">
        <v>277</v>
      </c>
      <c r="C23" s="2" t="s">
        <v>232</v>
      </c>
      <c r="D23" s="2" t="s">
        <v>629</v>
      </c>
      <c r="E23" s="57" t="s">
        <v>149</v>
      </c>
      <c r="F23" s="57"/>
      <c r="G23" s="17"/>
    </row>
    <row r="24" spans="1:7" ht="18.75" customHeight="1">
      <c r="A24" s="16" t="s">
        <v>801</v>
      </c>
      <c r="B24" s="2" t="s">
        <v>292</v>
      </c>
      <c r="C24" s="2" t="s">
        <v>232</v>
      </c>
      <c r="D24" s="50" t="s">
        <v>726</v>
      </c>
      <c r="E24" s="57" t="s">
        <v>149</v>
      </c>
      <c r="F24" s="57"/>
      <c r="G24" s="17"/>
    </row>
    <row r="25" spans="1:7" ht="18.75" customHeight="1">
      <c r="A25" s="16" t="s">
        <v>725</v>
      </c>
      <c r="B25" s="2" t="s">
        <v>293</v>
      </c>
      <c r="C25" s="2" t="s">
        <v>232</v>
      </c>
      <c r="D25" s="51" t="s">
        <v>232</v>
      </c>
      <c r="E25" s="57" t="s">
        <v>149</v>
      </c>
      <c r="F25" s="57"/>
      <c r="G25" s="17"/>
    </row>
    <row r="26" spans="1:7" ht="18.75" customHeight="1">
      <c r="A26" s="16" t="s">
        <v>804</v>
      </c>
      <c r="B26" s="2" t="s">
        <v>294</v>
      </c>
      <c r="C26" s="2" t="s">
        <v>232</v>
      </c>
      <c r="D26" s="50" t="s">
        <v>382</v>
      </c>
      <c r="E26" s="57" t="s">
        <v>149</v>
      </c>
      <c r="F26" s="57"/>
      <c r="G26" s="17"/>
    </row>
    <row r="27" spans="1:7" ht="18.75" customHeight="1">
      <c r="A27" s="16" t="s">
        <v>27</v>
      </c>
      <c r="B27" s="2" t="s">
        <v>295</v>
      </c>
      <c r="C27" s="2" t="s">
        <v>232</v>
      </c>
      <c r="D27" s="50" t="s">
        <v>629</v>
      </c>
      <c r="E27" s="57" t="s">
        <v>149</v>
      </c>
      <c r="F27" s="57"/>
      <c r="G27" s="17"/>
    </row>
    <row r="28" spans="1:7" s="489" customFormat="1" ht="18.75" customHeight="1">
      <c r="A28" s="19" t="s">
        <v>805</v>
      </c>
      <c r="B28" s="2" t="s">
        <v>48</v>
      </c>
      <c r="C28" s="47" t="s">
        <v>232</v>
      </c>
      <c r="D28" s="2" t="s">
        <v>382</v>
      </c>
      <c r="E28" s="2" t="s">
        <v>149</v>
      </c>
      <c r="F28" s="293"/>
      <c r="G28" s="17"/>
    </row>
    <row r="29" spans="1:7" ht="18.75" customHeight="1">
      <c r="A29" s="16" t="s">
        <v>28</v>
      </c>
      <c r="B29" s="2" t="s">
        <v>296</v>
      </c>
      <c r="C29" s="2" t="s">
        <v>232</v>
      </c>
      <c r="D29" s="50" t="s">
        <v>629</v>
      </c>
      <c r="E29" s="57" t="s">
        <v>149</v>
      </c>
      <c r="F29" s="57"/>
      <c r="G29" s="17"/>
    </row>
    <row r="30" spans="1:7" ht="18.75" customHeight="1">
      <c r="A30" s="16" t="s">
        <v>29</v>
      </c>
      <c r="B30" s="2" t="s">
        <v>297</v>
      </c>
      <c r="C30" s="2" t="s">
        <v>232</v>
      </c>
      <c r="D30" s="50" t="s">
        <v>382</v>
      </c>
      <c r="E30" s="57" t="s">
        <v>149</v>
      </c>
      <c r="F30" s="57"/>
      <c r="G30" s="17"/>
    </row>
    <row r="31" spans="1:7" ht="18.75" customHeight="1">
      <c r="A31" s="16" t="s">
        <v>30</v>
      </c>
      <c r="B31" s="2" t="s">
        <v>298</v>
      </c>
      <c r="C31" s="2" t="s">
        <v>232</v>
      </c>
      <c r="D31" s="50" t="s">
        <v>629</v>
      </c>
      <c r="E31" s="57" t="s">
        <v>149</v>
      </c>
      <c r="F31" s="57"/>
      <c r="G31" s="17"/>
    </row>
    <row r="32" spans="1:7" ht="18.75" customHeight="1">
      <c r="A32" s="16" t="s">
        <v>31</v>
      </c>
      <c r="B32" s="2" t="s">
        <v>299</v>
      </c>
      <c r="C32" s="2" t="s">
        <v>232</v>
      </c>
      <c r="D32" s="50" t="s">
        <v>232</v>
      </c>
      <c r="E32" s="57" t="s">
        <v>149</v>
      </c>
      <c r="F32" s="57"/>
      <c r="G32" s="17"/>
    </row>
    <row r="33" spans="1:7" ht="18.75" customHeight="1">
      <c r="A33" s="19" t="s">
        <v>776</v>
      </c>
      <c r="B33" s="2" t="s">
        <v>32</v>
      </c>
      <c r="C33" s="2" t="s">
        <v>232</v>
      </c>
      <c r="D33" s="50" t="s">
        <v>383</v>
      </c>
      <c r="E33" s="57" t="s">
        <v>149</v>
      </c>
      <c r="F33" s="57"/>
      <c r="G33" s="17"/>
    </row>
    <row r="34" spans="1:7" s="484" customFormat="1" ht="18.75" customHeight="1">
      <c r="A34" s="19" t="s">
        <v>769</v>
      </c>
      <c r="B34" s="2" t="s">
        <v>96</v>
      </c>
      <c r="C34" s="2" t="s">
        <v>232</v>
      </c>
      <c r="D34" s="50" t="s">
        <v>744</v>
      </c>
      <c r="E34" s="57" t="s">
        <v>149</v>
      </c>
      <c r="F34" s="57"/>
      <c r="G34" s="17"/>
    </row>
    <row r="35" spans="1:7" ht="18.75" customHeight="1">
      <c r="A35" s="19" t="s">
        <v>33</v>
      </c>
      <c r="B35" s="2" t="s">
        <v>300</v>
      </c>
      <c r="C35" s="2" t="s">
        <v>232</v>
      </c>
      <c r="D35" s="50" t="s">
        <v>629</v>
      </c>
      <c r="E35" s="57" t="s">
        <v>149</v>
      </c>
      <c r="F35" s="57"/>
      <c r="G35" s="17"/>
    </row>
    <row r="36" spans="1:7" ht="18.75" customHeight="1">
      <c r="A36" s="16"/>
      <c r="B36" s="2"/>
      <c r="C36" s="2"/>
      <c r="D36" s="50"/>
      <c r="E36" s="57" t="s">
        <v>149</v>
      </c>
      <c r="F36" s="57"/>
      <c r="G36" s="17"/>
    </row>
    <row r="37" spans="1:7" ht="18.75" customHeight="1">
      <c r="A37" s="16"/>
      <c r="B37" s="2"/>
      <c r="C37" s="2"/>
      <c r="D37" s="50"/>
      <c r="E37" s="57" t="s">
        <v>149</v>
      </c>
      <c r="F37" s="57"/>
      <c r="G37" s="17"/>
    </row>
    <row r="38" spans="1:7" ht="18.75" customHeight="1">
      <c r="A38" s="16"/>
      <c r="B38" s="2"/>
      <c r="C38" s="2"/>
      <c r="D38" s="50"/>
      <c r="E38" s="57" t="s">
        <v>149</v>
      </c>
      <c r="F38" s="57"/>
      <c r="G38" s="17"/>
    </row>
    <row r="39" spans="1:7" ht="18.75" customHeight="1">
      <c r="A39" s="16"/>
      <c r="B39" s="2"/>
      <c r="C39" s="2"/>
      <c r="D39" s="50"/>
      <c r="E39" s="57" t="s">
        <v>149</v>
      </c>
      <c r="F39" s="57"/>
      <c r="G39" s="17"/>
    </row>
    <row r="40" spans="1:7" ht="18.75" customHeight="1">
      <c r="A40" s="16"/>
      <c r="B40" s="2"/>
      <c r="C40" s="2"/>
      <c r="D40" s="50"/>
      <c r="E40" s="57" t="s">
        <v>149</v>
      </c>
      <c r="F40" s="57"/>
      <c r="G40" s="17"/>
    </row>
    <row r="41" spans="1:7" ht="18.75" customHeight="1">
      <c r="A41" s="16"/>
      <c r="B41" s="2"/>
      <c r="C41" s="2"/>
      <c r="D41" s="50"/>
      <c r="E41" s="57" t="s">
        <v>149</v>
      </c>
      <c r="F41" s="57"/>
      <c r="G41" s="17"/>
    </row>
    <row r="42" spans="1:7" ht="18.75" customHeight="1">
      <c r="A42" s="16"/>
      <c r="B42" s="2"/>
      <c r="C42" s="2"/>
      <c r="D42" s="50"/>
      <c r="E42" s="57" t="s">
        <v>149</v>
      </c>
      <c r="F42" s="57"/>
      <c r="G42" s="17"/>
    </row>
    <row r="43" spans="1:7" ht="18.75" customHeight="1">
      <c r="A43" s="16"/>
      <c r="B43" s="2"/>
      <c r="C43" s="2"/>
      <c r="D43" s="50"/>
      <c r="E43" s="57" t="s">
        <v>149</v>
      </c>
      <c r="F43" s="57"/>
      <c r="G43" s="17"/>
    </row>
    <row r="44" spans="1:7" ht="18.75" customHeight="1">
      <c r="A44" s="16"/>
      <c r="B44" s="2"/>
      <c r="C44" s="2"/>
      <c r="D44" s="50"/>
      <c r="E44" s="57" t="s">
        <v>149</v>
      </c>
      <c r="F44" s="57"/>
      <c r="G44" s="17"/>
    </row>
    <row r="45" spans="1:7" ht="18.75" customHeight="1" thickBot="1">
      <c r="A45" s="20"/>
      <c r="B45" s="21"/>
      <c r="C45" s="21"/>
      <c r="D45" s="52"/>
      <c r="E45" s="477" t="s">
        <v>149</v>
      </c>
      <c r="F45" s="478"/>
      <c r="G45" s="22"/>
    </row>
    <row r="46" spans="1:7" ht="15.75" thickTop="1">
      <c r="A46" s="13"/>
      <c r="B46" s="13"/>
      <c r="C46" s="13"/>
      <c r="D46" s="53"/>
      <c r="E46" s="53"/>
      <c r="F46" s="53"/>
      <c r="G46" s="13"/>
    </row>
    <row r="47" spans="1:7">
      <c r="A47" s="2"/>
      <c r="B47" s="2"/>
      <c r="C47" s="2"/>
      <c r="D47" s="50"/>
      <c r="E47" s="50"/>
      <c r="F47" s="50"/>
      <c r="G47" s="2"/>
    </row>
    <row r="48" spans="1:7">
      <c r="A48" s="2"/>
      <c r="B48" s="2"/>
      <c r="C48" s="2"/>
      <c r="D48" s="50"/>
      <c r="E48" s="50"/>
      <c r="F48" s="50"/>
      <c r="G48" s="2"/>
    </row>
    <row r="49" spans="1:7">
      <c r="A49" s="2"/>
      <c r="B49" s="2"/>
      <c r="C49" s="2"/>
      <c r="D49" s="50"/>
      <c r="E49" s="50"/>
      <c r="F49" s="50"/>
      <c r="G49" s="2"/>
    </row>
    <row r="50" spans="1:7">
      <c r="A50" s="2"/>
      <c r="B50" s="2"/>
      <c r="C50" s="2"/>
      <c r="D50" s="50"/>
      <c r="E50" s="50"/>
      <c r="F50" s="50"/>
      <c r="G50" s="2"/>
    </row>
    <row r="51" spans="1:7">
      <c r="A51" s="2"/>
      <c r="B51" s="2"/>
      <c r="C51" s="2"/>
      <c r="D51" s="50"/>
      <c r="E51" s="50"/>
      <c r="F51" s="50"/>
      <c r="G51" s="2"/>
    </row>
    <row r="52" spans="1:7">
      <c r="A52" s="2"/>
      <c r="B52" s="2"/>
      <c r="C52" s="2"/>
      <c r="D52" s="50"/>
      <c r="E52" s="50"/>
      <c r="F52" s="50"/>
      <c r="G52" s="2"/>
    </row>
    <row r="53" spans="1:7">
      <c r="A53" s="2"/>
      <c r="B53" s="2"/>
      <c r="C53" s="2"/>
      <c r="D53" s="50"/>
      <c r="E53" s="50"/>
      <c r="F53" s="50"/>
      <c r="G53" s="2"/>
    </row>
    <row r="54" spans="1:7">
      <c r="A54" s="2"/>
      <c r="B54" s="2"/>
      <c r="C54" s="2"/>
      <c r="D54" s="50"/>
      <c r="E54" s="50"/>
      <c r="F54" s="50"/>
      <c r="G54" s="2"/>
    </row>
    <row r="55" spans="1:7">
      <c r="A55" s="2"/>
      <c r="B55" s="2"/>
      <c r="C55" s="2"/>
      <c r="D55" s="50"/>
      <c r="E55" s="50"/>
      <c r="F55" s="50"/>
      <c r="G55" s="2"/>
    </row>
    <row r="56" spans="1:7">
      <c r="A56" s="2"/>
      <c r="B56" s="2"/>
      <c r="C56" s="2"/>
      <c r="D56" s="50"/>
      <c r="E56" s="50"/>
      <c r="F56" s="50"/>
      <c r="G56" s="2"/>
    </row>
    <row r="57" spans="1:7">
      <c r="A57" s="2"/>
      <c r="B57" s="2"/>
      <c r="C57" s="2"/>
      <c r="D57" s="50"/>
      <c r="E57" s="50"/>
      <c r="F57" s="50"/>
      <c r="G57" s="2"/>
    </row>
    <row r="58" spans="1:7">
      <c r="A58" s="2"/>
      <c r="B58" s="2"/>
      <c r="C58" s="2"/>
      <c r="D58" s="50"/>
      <c r="E58" s="50"/>
      <c r="F58" s="50"/>
      <c r="G58" s="2"/>
    </row>
    <row r="59" spans="1:7">
      <c r="A59" s="2"/>
      <c r="B59" s="2"/>
      <c r="C59" s="2"/>
      <c r="D59" s="50"/>
      <c r="E59" s="50"/>
      <c r="F59" s="50"/>
      <c r="G59" s="2"/>
    </row>
    <row r="60" spans="1:7">
      <c r="A60" s="2"/>
      <c r="B60" s="2"/>
      <c r="C60" s="2"/>
      <c r="D60" s="50"/>
      <c r="E60" s="50"/>
      <c r="F60" s="50"/>
      <c r="G60" s="2"/>
    </row>
    <row r="61" spans="1:7">
      <c r="A61" s="2"/>
      <c r="B61" s="2"/>
      <c r="C61" s="2"/>
      <c r="D61" s="50"/>
      <c r="E61" s="50"/>
      <c r="F61" s="50"/>
      <c r="G61" s="2"/>
    </row>
    <row r="62" spans="1:7">
      <c r="A62" s="2"/>
      <c r="B62" s="2"/>
      <c r="C62" s="2"/>
      <c r="D62" s="50"/>
      <c r="E62" s="50"/>
      <c r="F62" s="50"/>
      <c r="G62" s="2"/>
    </row>
    <row r="63" spans="1:7">
      <c r="A63" s="2"/>
      <c r="B63" s="2"/>
      <c r="C63" s="2"/>
      <c r="D63" s="50"/>
      <c r="E63" s="50"/>
      <c r="F63" s="50"/>
      <c r="G63" s="2"/>
    </row>
    <row r="64" spans="1:7">
      <c r="A64" s="2"/>
      <c r="B64" s="2"/>
      <c r="C64" s="2"/>
      <c r="D64" s="50"/>
      <c r="E64" s="50"/>
      <c r="F64" s="50"/>
      <c r="G64" s="2"/>
    </row>
    <row r="65" spans="1:7">
      <c r="A65" s="2"/>
      <c r="B65" s="2"/>
      <c r="C65" s="2"/>
      <c r="D65" s="50"/>
      <c r="E65" s="50"/>
      <c r="F65" s="50"/>
      <c r="G65" s="2"/>
    </row>
    <row r="66" spans="1:7">
      <c r="A66" s="2"/>
      <c r="B66" s="2"/>
      <c r="C66" s="2"/>
      <c r="D66" s="50"/>
      <c r="E66" s="50"/>
      <c r="F66" s="50"/>
      <c r="G66" s="2"/>
    </row>
    <row r="67" spans="1:7">
      <c r="A67" s="2"/>
      <c r="B67" s="2"/>
      <c r="C67" s="2"/>
      <c r="D67" s="50"/>
      <c r="E67" s="50"/>
      <c r="F67" s="50"/>
      <c r="G67" s="2"/>
    </row>
    <row r="68" spans="1:7">
      <c r="A68" s="2"/>
      <c r="B68" s="2"/>
      <c r="C68" s="2"/>
      <c r="D68" s="50"/>
      <c r="E68" s="50"/>
      <c r="F68" s="50"/>
      <c r="G68" s="2"/>
    </row>
    <row r="69" spans="1:7">
      <c r="A69" s="2"/>
      <c r="B69" s="2"/>
      <c r="C69" s="2"/>
      <c r="D69" s="50"/>
      <c r="E69" s="50"/>
      <c r="F69" s="50"/>
      <c r="G69" s="2"/>
    </row>
    <row r="70" spans="1:7">
      <c r="A70" s="2"/>
      <c r="B70" s="2"/>
      <c r="C70" s="2"/>
      <c r="D70" s="50"/>
      <c r="E70" s="50"/>
      <c r="F70" s="50"/>
      <c r="G70" s="2"/>
    </row>
    <row r="71" spans="1:7">
      <c r="A71" s="2"/>
      <c r="B71" s="2"/>
      <c r="C71" s="2"/>
      <c r="D71" s="50"/>
      <c r="E71" s="50"/>
      <c r="F71" s="50"/>
      <c r="G71" s="2"/>
    </row>
    <row r="72" spans="1:7">
      <c r="A72" s="2"/>
      <c r="B72" s="2"/>
      <c r="C72" s="2"/>
      <c r="D72" s="50"/>
      <c r="E72" s="50"/>
      <c r="F72" s="50"/>
      <c r="G72" s="2"/>
    </row>
    <row r="73" spans="1:7">
      <c r="A73" s="2"/>
      <c r="B73" s="2"/>
      <c r="C73" s="2"/>
      <c r="D73" s="50"/>
      <c r="E73" s="50"/>
      <c r="F73" s="50"/>
      <c r="G73" s="2"/>
    </row>
    <row r="74" spans="1:7">
      <c r="A74" s="2"/>
      <c r="B74" s="2"/>
      <c r="C74" s="2"/>
      <c r="D74" s="50"/>
      <c r="E74" s="50"/>
      <c r="F74" s="50"/>
      <c r="G74" s="2"/>
    </row>
    <row r="75" spans="1:7">
      <c r="A75" s="2"/>
      <c r="B75" s="2"/>
      <c r="C75" s="2"/>
      <c r="D75" s="50"/>
      <c r="E75" s="50"/>
      <c r="F75" s="50"/>
      <c r="G75" s="2"/>
    </row>
    <row r="76" spans="1:7">
      <c r="A76" s="2"/>
      <c r="B76" s="2"/>
      <c r="C76" s="2"/>
      <c r="D76" s="50"/>
      <c r="E76" s="50"/>
      <c r="F76" s="50"/>
      <c r="G76" s="2"/>
    </row>
    <row r="77" spans="1:7">
      <c r="A77" s="2"/>
      <c r="B77" s="2"/>
      <c r="C77" s="2"/>
      <c r="D77" s="50"/>
      <c r="E77" s="50"/>
      <c r="F77" s="50"/>
      <c r="G77" s="2"/>
    </row>
    <row r="78" spans="1:7">
      <c r="A78" s="2"/>
      <c r="B78" s="2"/>
      <c r="C78" s="2"/>
      <c r="D78" s="50"/>
      <c r="E78" s="50"/>
      <c r="F78" s="50"/>
      <c r="G78" s="2"/>
    </row>
    <row r="79" spans="1:7">
      <c r="A79" s="2"/>
      <c r="B79" s="2"/>
      <c r="C79" s="2"/>
      <c r="D79" s="50"/>
      <c r="E79" s="50"/>
      <c r="F79" s="50"/>
      <c r="G79" s="2"/>
    </row>
    <row r="80" spans="1:7">
      <c r="A80" s="2"/>
      <c r="B80" s="2"/>
      <c r="C80" s="2"/>
      <c r="D80" s="50"/>
      <c r="E80" s="50"/>
      <c r="F80" s="50"/>
      <c r="G80" s="2"/>
    </row>
    <row r="81" spans="1:7">
      <c r="A81" s="2"/>
      <c r="B81" s="2"/>
      <c r="C81" s="2"/>
      <c r="D81" s="50"/>
      <c r="E81" s="50"/>
      <c r="F81" s="50"/>
      <c r="G81" s="2"/>
    </row>
    <row r="82" spans="1:7">
      <c r="A82" s="2"/>
      <c r="B82" s="2"/>
      <c r="C82" s="2"/>
      <c r="D82" s="50"/>
      <c r="E82" s="50"/>
      <c r="F82" s="50"/>
      <c r="G82" s="2"/>
    </row>
    <row r="83" spans="1:7">
      <c r="A83" s="2"/>
      <c r="B83" s="2"/>
      <c r="C83" s="2"/>
      <c r="D83" s="50"/>
      <c r="E83" s="50"/>
      <c r="F83" s="50"/>
      <c r="G83" s="2"/>
    </row>
    <row r="84" spans="1:7">
      <c r="A84" s="2"/>
      <c r="B84" s="2"/>
      <c r="C84" s="2"/>
      <c r="D84" s="50"/>
      <c r="E84" s="50"/>
      <c r="F84" s="50"/>
      <c r="G84" s="2"/>
    </row>
    <row r="85" spans="1:7">
      <c r="A85" s="2"/>
      <c r="B85" s="2"/>
      <c r="C85" s="2"/>
      <c r="D85" s="50"/>
      <c r="E85" s="50"/>
      <c r="F85" s="50"/>
      <c r="G85" s="2"/>
    </row>
    <row r="86" spans="1:7">
      <c r="A86" s="2"/>
      <c r="B86" s="2"/>
      <c r="C86" s="2"/>
      <c r="D86" s="50"/>
      <c r="E86" s="50"/>
      <c r="F86" s="50"/>
      <c r="G86" s="2"/>
    </row>
    <row r="87" spans="1:7">
      <c r="A87" s="2"/>
      <c r="B87" s="2"/>
      <c r="C87" s="2"/>
      <c r="D87" s="50"/>
      <c r="E87" s="50"/>
      <c r="F87" s="50"/>
      <c r="G87" s="2"/>
    </row>
    <row r="88" spans="1:7">
      <c r="A88" s="2"/>
      <c r="B88" s="2"/>
      <c r="C88" s="2"/>
      <c r="D88" s="50"/>
      <c r="E88" s="50"/>
      <c r="F88" s="50"/>
      <c r="G88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H190"/>
  <sheetViews>
    <sheetView workbookViewId="0">
      <pane ySplit="1" topLeftCell="A53" activePane="bottomLeft" state="frozen"/>
      <selection activeCell="A17" sqref="A17:A19"/>
      <selection pane="bottomLeft" activeCell="A72" sqref="A72"/>
    </sheetView>
  </sheetViews>
  <sheetFormatPr baseColWidth="10" defaultRowHeight="15"/>
  <cols>
    <col min="1" max="1" width="35.140625" customWidth="1"/>
    <col min="2" max="2" width="22.7109375" customWidth="1"/>
    <col min="3" max="3" width="11.42578125" style="37"/>
    <col min="4" max="4" width="14.85546875" customWidth="1"/>
    <col min="5" max="6" width="13" customWidth="1"/>
  </cols>
  <sheetData>
    <row r="1" spans="1:8" s="7" customFormat="1" ht="18.75" customHeight="1">
      <c r="A1" s="14" t="s">
        <v>11</v>
      </c>
      <c r="B1" s="6" t="s">
        <v>12</v>
      </c>
      <c r="C1" s="121" t="s">
        <v>13</v>
      </c>
      <c r="D1" s="6" t="s">
        <v>142</v>
      </c>
      <c r="E1" s="6" t="s">
        <v>15</v>
      </c>
      <c r="F1" s="6" t="s">
        <v>2</v>
      </c>
    </row>
    <row r="2" spans="1:8" s="26" customFormat="1" ht="18.75" customHeight="1">
      <c r="A2" s="23"/>
      <c r="B2" s="24"/>
      <c r="C2" s="122"/>
      <c r="D2" s="24"/>
      <c r="E2" s="24"/>
      <c r="F2" s="24"/>
    </row>
    <row r="3" spans="1:8" s="26" customFormat="1" ht="18.75" customHeight="1">
      <c r="A3" s="485" t="s">
        <v>781</v>
      </c>
      <c r="B3" s="487" t="s">
        <v>779</v>
      </c>
      <c r="C3" s="486"/>
      <c r="D3" s="487" t="s">
        <v>143</v>
      </c>
      <c r="E3" s="487" t="s">
        <v>433</v>
      </c>
      <c r="F3" s="487" t="s">
        <v>780</v>
      </c>
      <c r="H3" s="26" t="s">
        <v>433</v>
      </c>
    </row>
    <row r="4" spans="1:8" s="26" customFormat="1" ht="18.75" customHeight="1">
      <c r="A4" s="485" t="s">
        <v>770</v>
      </c>
      <c r="B4" s="50" t="s">
        <v>16</v>
      </c>
      <c r="C4" s="486"/>
      <c r="D4" s="487" t="s">
        <v>143</v>
      </c>
      <c r="E4" s="487" t="s">
        <v>274</v>
      </c>
      <c r="F4" s="487" t="s">
        <v>385</v>
      </c>
      <c r="H4" s="26" t="s">
        <v>432</v>
      </c>
    </row>
    <row r="5" spans="1:8" s="26" customFormat="1" ht="18.75" customHeight="1">
      <c r="A5" s="485" t="s">
        <v>772</v>
      </c>
      <c r="B5" s="50" t="s">
        <v>16</v>
      </c>
      <c r="C5" s="486"/>
      <c r="D5" s="487" t="s">
        <v>143</v>
      </c>
      <c r="E5" s="487" t="s">
        <v>274</v>
      </c>
      <c r="F5" s="487" t="s">
        <v>773</v>
      </c>
      <c r="H5" s="26" t="s">
        <v>434</v>
      </c>
    </row>
    <row r="6" spans="1:8" s="10" customFormat="1" ht="18.75" customHeight="1">
      <c r="A6" s="19" t="s">
        <v>462</v>
      </c>
      <c r="B6" s="293" t="s">
        <v>589</v>
      </c>
      <c r="C6" s="379"/>
      <c r="D6" s="295" t="s">
        <v>143</v>
      </c>
      <c r="E6" s="293" t="s">
        <v>274</v>
      </c>
      <c r="F6" s="293" t="s">
        <v>771</v>
      </c>
      <c r="H6" s="26" t="s">
        <v>438</v>
      </c>
    </row>
    <row r="7" spans="1:8" ht="18.75" customHeight="1">
      <c r="A7" s="16" t="s">
        <v>43</v>
      </c>
      <c r="B7" s="2" t="s">
        <v>590</v>
      </c>
      <c r="C7" s="103"/>
      <c r="D7" s="2" t="s">
        <v>143</v>
      </c>
      <c r="E7" s="2" t="s">
        <v>333</v>
      </c>
      <c r="F7" s="2" t="s">
        <v>381</v>
      </c>
    </row>
    <row r="8" spans="1:8" ht="18.75" customHeight="1">
      <c r="A8" s="16" t="s">
        <v>790</v>
      </c>
      <c r="B8" s="2" t="s">
        <v>591</v>
      </c>
      <c r="C8" s="103">
        <v>15</v>
      </c>
      <c r="D8" s="2" t="s">
        <v>143</v>
      </c>
      <c r="E8" s="2" t="s">
        <v>433</v>
      </c>
      <c r="F8" s="2" t="s">
        <v>144</v>
      </c>
    </row>
    <row r="9" spans="1:8" ht="18.75" customHeight="1">
      <c r="A9" s="16" t="s">
        <v>791</v>
      </c>
      <c r="B9" s="2" t="s">
        <v>591</v>
      </c>
      <c r="C9" s="103">
        <v>18</v>
      </c>
      <c r="D9" s="2" t="s">
        <v>143</v>
      </c>
      <c r="E9" s="2" t="s">
        <v>442</v>
      </c>
      <c r="F9" s="2" t="s">
        <v>144</v>
      </c>
    </row>
    <row r="10" spans="1:8" ht="18.75" customHeight="1">
      <c r="A10" s="16" t="s">
        <v>792</v>
      </c>
      <c r="B10" s="2" t="s">
        <v>591</v>
      </c>
      <c r="C10" s="103">
        <v>16</v>
      </c>
      <c r="D10" s="2" t="s">
        <v>143</v>
      </c>
      <c r="E10" s="2" t="s">
        <v>442</v>
      </c>
      <c r="F10" s="2" t="s">
        <v>144</v>
      </c>
    </row>
    <row r="11" spans="1:8" ht="18.75" customHeight="1">
      <c r="A11" s="16" t="s">
        <v>793</v>
      </c>
      <c r="B11" s="2" t="s">
        <v>591</v>
      </c>
      <c r="C11" s="103">
        <v>18</v>
      </c>
      <c r="D11" s="2" t="s">
        <v>143</v>
      </c>
      <c r="E11" s="2" t="s">
        <v>443</v>
      </c>
      <c r="F11" s="2" t="s">
        <v>144</v>
      </c>
      <c r="H11" s="104"/>
    </row>
    <row r="12" spans="1:8" ht="18.75" customHeight="1">
      <c r="A12" s="16" t="s">
        <v>36</v>
      </c>
      <c r="B12" s="2" t="s">
        <v>592</v>
      </c>
      <c r="C12" s="103"/>
      <c r="D12" s="2" t="s">
        <v>143</v>
      </c>
      <c r="E12" s="2" t="s">
        <v>434</v>
      </c>
      <c r="F12" s="2" t="s">
        <v>144</v>
      </c>
    </row>
    <row r="13" spans="1:8" ht="18.75" customHeight="1">
      <c r="A13" s="16" t="s">
        <v>34</v>
      </c>
      <c r="B13" s="2" t="s">
        <v>35</v>
      </c>
      <c r="C13" s="103"/>
      <c r="D13" s="2" t="s">
        <v>143</v>
      </c>
      <c r="E13" s="2" t="s">
        <v>274</v>
      </c>
      <c r="F13" s="2" t="s">
        <v>381</v>
      </c>
    </row>
    <row r="14" spans="1:8" ht="18.75" customHeight="1">
      <c r="A14" s="16" t="s">
        <v>37</v>
      </c>
      <c r="B14" s="2" t="s">
        <v>593</v>
      </c>
      <c r="C14" s="103"/>
      <c r="D14" s="2" t="s">
        <v>143</v>
      </c>
      <c r="E14" s="2" t="s">
        <v>274</v>
      </c>
      <c r="F14" s="2" t="s">
        <v>381</v>
      </c>
    </row>
    <row r="15" spans="1:8" ht="18.75" customHeight="1">
      <c r="A15" s="488" t="s">
        <v>39</v>
      </c>
      <c r="B15" s="490" t="s">
        <v>40</v>
      </c>
      <c r="C15" s="491"/>
      <c r="D15" s="490" t="s">
        <v>143</v>
      </c>
      <c r="E15" s="490" t="str">
        <f>IF(REA!AD3&lt;=7,"2x/24 H","3x/24 H")</f>
        <v>3x/24 H</v>
      </c>
      <c r="F15" s="490" t="s">
        <v>144</v>
      </c>
    </row>
    <row r="16" spans="1:8" s="484" customFormat="1" ht="18.75" customHeight="1">
      <c r="A16" s="16" t="s">
        <v>782</v>
      </c>
      <c r="B16" s="2" t="s">
        <v>40</v>
      </c>
      <c r="C16" s="103"/>
      <c r="D16" s="2" t="s">
        <v>143</v>
      </c>
      <c r="E16" s="2" t="s">
        <v>438</v>
      </c>
      <c r="F16" s="293" t="s">
        <v>144</v>
      </c>
    </row>
    <row r="17" spans="1:6" ht="18.75" customHeight="1">
      <c r="A17" s="16" t="s">
        <v>41</v>
      </c>
      <c r="B17" s="2" t="s">
        <v>42</v>
      </c>
      <c r="C17" s="103"/>
      <c r="D17" s="2" t="s">
        <v>143</v>
      </c>
      <c r="E17" s="2" t="str">
        <f>IF(REA!T3&lt;=29,IF(REA!AD3&gt;28,"3x/24 H","2x/24 H"),IF(AND(REA!T3&gt;29,REA!T3&lt;37),IF(REA!AD3&gt;14,"3x/24 H","2x/24 H"),IF(AND(REA!T3&gt;36,REA!T3&lt;45),IF(REA!AD3&gt;7,"3x/24 H","2x/24 H"),IF(REA!T3&gt;=45,"4x/24 H"))))</f>
        <v>3x/24 H</v>
      </c>
      <c r="F17" s="2" t="s">
        <v>144</v>
      </c>
    </row>
    <row r="18" spans="1:6" ht="18.75" customHeight="1">
      <c r="A18" s="16" t="s">
        <v>235</v>
      </c>
      <c r="B18" s="2" t="s">
        <v>278</v>
      </c>
      <c r="C18" s="103"/>
      <c r="D18" s="2" t="s">
        <v>149</v>
      </c>
      <c r="E18" s="2" t="s">
        <v>485</v>
      </c>
      <c r="F18" s="2" t="s">
        <v>830</v>
      </c>
    </row>
    <row r="19" spans="1:6" ht="18.75" customHeight="1">
      <c r="A19" s="19" t="s">
        <v>47</v>
      </c>
      <c r="B19" s="2" t="s">
        <v>40</v>
      </c>
      <c r="C19" s="103"/>
      <c r="D19" s="2" t="s">
        <v>143</v>
      </c>
      <c r="E19" s="2" t="s">
        <v>432</v>
      </c>
      <c r="F19" s="2" t="s">
        <v>381</v>
      </c>
    </row>
    <row r="20" spans="1:6" ht="18.75" customHeight="1">
      <c r="A20" s="16" t="s">
        <v>161</v>
      </c>
      <c r="B20" s="2" t="s">
        <v>594</v>
      </c>
      <c r="C20" s="103"/>
      <c r="D20" s="2" t="s">
        <v>143</v>
      </c>
      <c r="E20" s="2" t="s">
        <v>274</v>
      </c>
      <c r="F20" s="2" t="s">
        <v>164</v>
      </c>
    </row>
    <row r="21" spans="1:6" ht="18.75" customHeight="1">
      <c r="A21" s="16" t="s">
        <v>162</v>
      </c>
      <c r="B21" s="2" t="s">
        <v>594</v>
      </c>
      <c r="C21" s="103"/>
      <c r="D21" s="2" t="s">
        <v>143</v>
      </c>
      <c r="E21" s="2" t="s">
        <v>433</v>
      </c>
      <c r="F21" s="2" t="s">
        <v>164</v>
      </c>
    </row>
    <row r="22" spans="1:6" ht="18.75" customHeight="1">
      <c r="A22" s="16" t="s">
        <v>38</v>
      </c>
      <c r="B22" s="2" t="s">
        <v>595</v>
      </c>
      <c r="C22" s="103"/>
      <c r="D22" s="58" t="s">
        <v>149</v>
      </c>
      <c r="E22" s="2" t="s">
        <v>485</v>
      </c>
      <c r="F22" s="2" t="s">
        <v>767</v>
      </c>
    </row>
    <row r="23" spans="1:6" ht="18.75" customHeight="1">
      <c r="A23" s="16" t="s">
        <v>45</v>
      </c>
      <c r="B23" s="2" t="s">
        <v>596</v>
      </c>
      <c r="C23" s="103"/>
      <c r="D23" s="2" t="s">
        <v>143</v>
      </c>
      <c r="E23" s="2" t="s">
        <v>433</v>
      </c>
      <c r="F23" s="2" t="s">
        <v>145</v>
      </c>
    </row>
    <row r="24" spans="1:6" ht="18.75" customHeight="1">
      <c r="A24" s="19" t="s">
        <v>46</v>
      </c>
      <c r="B24" s="2" t="s">
        <v>597</v>
      </c>
      <c r="C24" s="103"/>
      <c r="D24" s="2" t="s">
        <v>143</v>
      </c>
      <c r="E24" s="2" t="s">
        <v>433</v>
      </c>
      <c r="F24" s="2" t="s">
        <v>463</v>
      </c>
    </row>
    <row r="25" spans="1:6" ht="18.75" customHeight="1">
      <c r="A25" s="488" t="s">
        <v>436</v>
      </c>
      <c r="B25" s="490" t="s">
        <v>48</v>
      </c>
      <c r="C25" s="491"/>
      <c r="D25" s="490" t="s">
        <v>143</v>
      </c>
      <c r="E25" s="490" t="s">
        <v>438</v>
      </c>
      <c r="F25" s="490" t="s">
        <v>144</v>
      </c>
    </row>
    <row r="26" spans="1:6" ht="18.75" customHeight="1">
      <c r="A26" s="488" t="s">
        <v>435</v>
      </c>
      <c r="B26" s="490" t="s">
        <v>48</v>
      </c>
      <c r="C26" s="491"/>
      <c r="D26" s="490" t="s">
        <v>143</v>
      </c>
      <c r="E26" s="490" t="s">
        <v>434</v>
      </c>
      <c r="F26" s="490" t="s">
        <v>144</v>
      </c>
    </row>
    <row r="27" spans="1:6" ht="18.75" customHeight="1">
      <c r="A27" s="488" t="s">
        <v>437</v>
      </c>
      <c r="B27" s="490" t="s">
        <v>48</v>
      </c>
      <c r="C27" s="491"/>
      <c r="D27" s="490" t="s">
        <v>143</v>
      </c>
      <c r="E27" s="490" t="s">
        <v>432</v>
      </c>
      <c r="F27" s="490" t="s">
        <v>144</v>
      </c>
    </row>
    <row r="28" spans="1:6" s="10" customFormat="1" ht="18.75" customHeight="1">
      <c r="A28" s="19" t="s">
        <v>464</v>
      </c>
      <c r="B28" s="293" t="s">
        <v>598</v>
      </c>
      <c r="C28" s="379"/>
      <c r="D28" s="293" t="s">
        <v>143</v>
      </c>
      <c r="E28" s="293" t="s">
        <v>433</v>
      </c>
      <c r="F28" s="295" t="s">
        <v>465</v>
      </c>
    </row>
    <row r="29" spans="1:6" s="10" customFormat="1" ht="18.75" customHeight="1">
      <c r="A29" s="19" t="s">
        <v>774</v>
      </c>
      <c r="B29" s="293" t="s">
        <v>279</v>
      </c>
      <c r="C29" s="379"/>
      <c r="D29" s="293" t="s">
        <v>143</v>
      </c>
      <c r="E29" s="293" t="s">
        <v>274</v>
      </c>
      <c r="F29" s="295" t="s">
        <v>144</v>
      </c>
    </row>
    <row r="30" spans="1:6" ht="18.75" customHeight="1">
      <c r="A30" s="19" t="s">
        <v>175</v>
      </c>
      <c r="B30" s="2" t="s">
        <v>40</v>
      </c>
      <c r="C30" s="103"/>
      <c r="D30" s="2" t="s">
        <v>143</v>
      </c>
      <c r="E30" s="2" t="s">
        <v>432</v>
      </c>
      <c r="F30" s="2" t="s">
        <v>449</v>
      </c>
    </row>
    <row r="31" spans="1:6" ht="18.75" customHeight="1">
      <c r="A31" s="19" t="s">
        <v>49</v>
      </c>
      <c r="B31" s="2" t="s">
        <v>599</v>
      </c>
      <c r="C31" s="103"/>
      <c r="D31" s="2" t="s">
        <v>143</v>
      </c>
      <c r="E31" s="2" t="s">
        <v>434</v>
      </c>
      <c r="F31" s="2" t="s">
        <v>449</v>
      </c>
    </row>
    <row r="32" spans="1:6" ht="18.75" customHeight="1">
      <c r="A32" s="19" t="s">
        <v>50</v>
      </c>
      <c r="B32" s="2" t="s">
        <v>40</v>
      </c>
      <c r="C32" s="103"/>
      <c r="D32" s="2" t="s">
        <v>143</v>
      </c>
      <c r="E32" s="2" t="s">
        <v>433</v>
      </c>
      <c r="F32" s="2" t="s">
        <v>787</v>
      </c>
    </row>
    <row r="33" spans="1:6" ht="18.75" customHeight="1">
      <c r="A33" s="19" t="s">
        <v>51</v>
      </c>
      <c r="B33" s="2" t="s">
        <v>52</v>
      </c>
      <c r="C33" s="103"/>
      <c r="D33" s="2" t="s">
        <v>143</v>
      </c>
      <c r="E33" s="2" t="s">
        <v>434</v>
      </c>
      <c r="F33" s="2" t="s">
        <v>471</v>
      </c>
    </row>
    <row r="34" spans="1:6" ht="18.75" customHeight="1">
      <c r="A34" s="19" t="s">
        <v>390</v>
      </c>
      <c r="B34" s="2" t="s">
        <v>600</v>
      </c>
      <c r="C34" s="103"/>
      <c r="D34" s="2" t="s">
        <v>143</v>
      </c>
      <c r="E34" s="2" t="s">
        <v>485</v>
      </c>
      <c r="F34" s="2" t="s">
        <v>144</v>
      </c>
    </row>
    <row r="35" spans="1:6" ht="18.75" customHeight="1">
      <c r="A35" s="19" t="s">
        <v>391</v>
      </c>
      <c r="B35" s="2" t="s">
        <v>600</v>
      </c>
      <c r="C35" s="103"/>
      <c r="D35" s="2" t="s">
        <v>143</v>
      </c>
      <c r="E35" s="2" t="s">
        <v>433</v>
      </c>
      <c r="F35" s="2" t="s">
        <v>144</v>
      </c>
    </row>
    <row r="36" spans="1:6" ht="18.75" customHeight="1">
      <c r="A36" s="19" t="s">
        <v>177</v>
      </c>
      <c r="B36" s="2" t="s">
        <v>786</v>
      </c>
      <c r="C36" s="103"/>
      <c r="D36" s="2" t="s">
        <v>143</v>
      </c>
      <c r="E36" s="2" t="s">
        <v>485</v>
      </c>
      <c r="F36" s="2" t="s">
        <v>466</v>
      </c>
    </row>
    <row r="37" spans="1:6" ht="18.75" customHeight="1">
      <c r="A37" s="19" t="s">
        <v>549</v>
      </c>
      <c r="B37" s="2" t="s">
        <v>284</v>
      </c>
      <c r="C37" s="103"/>
      <c r="D37" s="2" t="s">
        <v>143</v>
      </c>
      <c r="E37" s="2" t="s">
        <v>485</v>
      </c>
      <c r="F37" s="2" t="s">
        <v>449</v>
      </c>
    </row>
    <row r="38" spans="1:6" ht="18.75" customHeight="1">
      <c r="A38" s="19" t="s">
        <v>22</v>
      </c>
      <c r="B38" s="293" t="s">
        <v>285</v>
      </c>
      <c r="C38" s="379"/>
      <c r="D38" s="293" t="s">
        <v>628</v>
      </c>
      <c r="E38" s="293" t="s">
        <v>485</v>
      </c>
      <c r="F38" s="2" t="s">
        <v>381</v>
      </c>
    </row>
    <row r="39" spans="1:6" s="489" customFormat="1" ht="18.75" customHeight="1">
      <c r="A39" s="19" t="s">
        <v>788</v>
      </c>
      <c r="B39" s="2" t="s">
        <v>601</v>
      </c>
      <c r="C39" s="103"/>
      <c r="D39" s="2" t="s">
        <v>143</v>
      </c>
      <c r="E39" s="2" t="s">
        <v>485</v>
      </c>
      <c r="F39" s="2" t="s">
        <v>144</v>
      </c>
    </row>
    <row r="40" spans="1:6" ht="18.75" customHeight="1">
      <c r="A40" s="19" t="s">
        <v>174</v>
      </c>
      <c r="B40" s="2" t="s">
        <v>601</v>
      </c>
      <c r="C40" s="103"/>
      <c r="D40" s="2" t="s">
        <v>143</v>
      </c>
      <c r="E40" s="2" t="s">
        <v>432</v>
      </c>
      <c r="F40" s="2" t="s">
        <v>144</v>
      </c>
    </row>
    <row r="41" spans="1:6" ht="18.75" customHeight="1">
      <c r="A41" s="16" t="s">
        <v>57</v>
      </c>
      <c r="B41" s="2" t="s">
        <v>58</v>
      </c>
      <c r="C41" s="103"/>
      <c r="D41" s="2" t="s">
        <v>143</v>
      </c>
      <c r="E41" s="2" t="s">
        <v>438</v>
      </c>
      <c r="F41" s="2" t="s">
        <v>449</v>
      </c>
    </row>
    <row r="42" spans="1:6" ht="18.75" customHeight="1">
      <c r="A42" s="19" t="s">
        <v>53</v>
      </c>
      <c r="B42" s="2" t="s">
        <v>602</v>
      </c>
      <c r="C42" s="103"/>
      <c r="D42" s="2" t="s">
        <v>143</v>
      </c>
      <c r="E42" s="2" t="s">
        <v>432</v>
      </c>
      <c r="F42" s="2" t="s">
        <v>449</v>
      </c>
    </row>
    <row r="43" spans="1:6" ht="18.75" customHeight="1">
      <c r="A43" s="16" t="s">
        <v>23</v>
      </c>
      <c r="B43" s="2" t="s">
        <v>286</v>
      </c>
      <c r="C43" s="103"/>
      <c r="D43" s="293" t="s">
        <v>628</v>
      </c>
      <c r="E43" s="2" t="s">
        <v>274</v>
      </c>
      <c r="F43" s="2" t="s">
        <v>385</v>
      </c>
    </row>
    <row r="44" spans="1:6" ht="18.75" customHeight="1">
      <c r="A44" s="16" t="s">
        <v>445</v>
      </c>
      <c r="B44" s="293" t="s">
        <v>603</v>
      </c>
      <c r="C44" s="103"/>
      <c r="D44" s="2" t="s">
        <v>143</v>
      </c>
      <c r="E44" s="2" t="s">
        <v>433</v>
      </c>
      <c r="F44" s="2" t="s">
        <v>449</v>
      </c>
    </row>
    <row r="45" spans="1:6" ht="18.75" customHeight="1">
      <c r="A45" s="16" t="s">
        <v>446</v>
      </c>
      <c r="B45" s="293" t="s">
        <v>603</v>
      </c>
      <c r="C45" s="103"/>
      <c r="D45" s="2" t="s">
        <v>143</v>
      </c>
      <c r="E45" s="2" t="s">
        <v>432</v>
      </c>
      <c r="F45" s="2" t="s">
        <v>449</v>
      </c>
    </row>
    <row r="46" spans="1:6" ht="18.75" customHeight="1">
      <c r="A46" s="16" t="s">
        <v>447</v>
      </c>
      <c r="B46" s="293" t="s">
        <v>603</v>
      </c>
      <c r="C46" s="103"/>
      <c r="D46" s="2" t="s">
        <v>143</v>
      </c>
      <c r="E46" s="2" t="s">
        <v>434</v>
      </c>
      <c r="F46" s="2" t="s">
        <v>449</v>
      </c>
    </row>
    <row r="47" spans="1:6" ht="18.75" customHeight="1">
      <c r="A47" s="16" t="s">
        <v>448</v>
      </c>
      <c r="B47" s="293" t="s">
        <v>603</v>
      </c>
      <c r="C47" s="103"/>
      <c r="D47" s="2" t="s">
        <v>143</v>
      </c>
      <c r="E47" s="2" t="s">
        <v>443</v>
      </c>
      <c r="F47" s="2" t="s">
        <v>449</v>
      </c>
    </row>
    <row r="48" spans="1:6" ht="18.75" customHeight="1">
      <c r="A48" s="16" t="s">
        <v>789</v>
      </c>
      <c r="B48" s="2" t="s">
        <v>59</v>
      </c>
      <c r="C48" s="103"/>
      <c r="D48" s="2" t="s">
        <v>143</v>
      </c>
      <c r="E48" s="2" t="s">
        <v>438</v>
      </c>
      <c r="F48" s="2" t="s">
        <v>381</v>
      </c>
    </row>
    <row r="49" spans="1:6" s="489" customFormat="1" ht="18.75" customHeight="1">
      <c r="A49" s="16" t="s">
        <v>794</v>
      </c>
      <c r="B49" s="2" t="s">
        <v>59</v>
      </c>
      <c r="C49" s="103"/>
      <c r="D49" s="2" t="s">
        <v>143</v>
      </c>
      <c r="E49" s="2" t="str">
        <f>IF(REA!AD3&gt;28,"4x/24 H",IF(REA!AD3&lt;8,"2x/24 H","3x/24 H"))</f>
        <v>4x/24 H</v>
      </c>
      <c r="F49" s="2" t="s">
        <v>381</v>
      </c>
    </row>
    <row r="50" spans="1:6" ht="18.75" customHeight="1">
      <c r="A50" s="16" t="s">
        <v>54</v>
      </c>
      <c r="B50" s="2" t="s">
        <v>55</v>
      </c>
      <c r="C50" s="103"/>
      <c r="D50" s="2" t="s">
        <v>143</v>
      </c>
      <c r="E50" s="2" t="s">
        <v>433</v>
      </c>
      <c r="F50" s="293" t="s">
        <v>795</v>
      </c>
    </row>
    <row r="51" spans="1:6" ht="18.75" customHeight="1">
      <c r="A51" s="19" t="s">
        <v>633</v>
      </c>
      <c r="B51" s="2" t="s">
        <v>604</v>
      </c>
      <c r="C51" s="103"/>
      <c r="D51" s="2" t="s">
        <v>143</v>
      </c>
      <c r="E51" s="2" t="str">
        <f>IF(REA!T3&lt;=29,IF(REA!AD3&gt;28,"1x/24 H",IF(REA!AD3&lt;8,"1x/48 H","1x/36H")),IF(AND(REA!T3&gt;29,REA!T3&lt;35),IF(REA!AD3&gt;7,"1x/24 H","1x/36 H"),IF(REA!T3&gt;34,"1x/24 H")))</f>
        <v>1x/24 H</v>
      </c>
      <c r="F51" s="2" t="s">
        <v>144</v>
      </c>
    </row>
    <row r="52" spans="1:6" ht="18.75" customHeight="1">
      <c r="A52" s="16" t="s">
        <v>56</v>
      </c>
      <c r="B52" s="2" t="s">
        <v>48</v>
      </c>
      <c r="C52" s="103"/>
      <c r="D52" s="2" t="s">
        <v>143</v>
      </c>
      <c r="E52" s="2" t="str">
        <f>IF(REA!T3&lt;=29,IF(REA!AD3&gt;28,"3x/24 H","2x/24 H"),IF(AND(REA!T3&gt;29,REA!T3&lt;37),IF(REA!AD3&gt;14,"3x/24 H","2x/24 H"),IF(AND(REA!T3&gt;36,REA!T3&lt;45),IF(REA!AD3&gt;7,"3x/24 H","2x/24 H"),IF(REA!T3&gt;=45,"4x/24 H"))))</f>
        <v>3x/24 H</v>
      </c>
      <c r="F52" s="2" t="s">
        <v>144</v>
      </c>
    </row>
    <row r="53" spans="1:6" ht="18.75" customHeight="1">
      <c r="A53" s="16" t="s">
        <v>60</v>
      </c>
      <c r="B53" s="2" t="s">
        <v>61</v>
      </c>
      <c r="C53" s="103"/>
      <c r="D53" s="2" t="s">
        <v>143</v>
      </c>
      <c r="E53" s="2" t="s">
        <v>485</v>
      </c>
      <c r="F53" s="2" t="s">
        <v>381</v>
      </c>
    </row>
    <row r="54" spans="1:6" ht="18.75" customHeight="1">
      <c r="A54" s="16" t="s">
        <v>111</v>
      </c>
      <c r="B54" s="2" t="s">
        <v>550</v>
      </c>
      <c r="C54" s="103"/>
      <c r="D54" s="2" t="s">
        <v>149</v>
      </c>
      <c r="E54" s="2" t="s">
        <v>485</v>
      </c>
      <c r="F54" s="2" t="s">
        <v>381</v>
      </c>
    </row>
    <row r="55" spans="1:6" ht="18.75" customHeight="1">
      <c r="A55" s="19" t="s">
        <v>62</v>
      </c>
      <c r="B55" s="2" t="s">
        <v>605</v>
      </c>
      <c r="C55" s="103"/>
      <c r="D55" s="2" t="s">
        <v>176</v>
      </c>
      <c r="E55" s="2" t="s">
        <v>485</v>
      </c>
      <c r="F55" s="2"/>
    </row>
    <row r="56" spans="1:6" ht="18.75" customHeight="1">
      <c r="A56" s="19" t="s">
        <v>63</v>
      </c>
      <c r="B56" s="2" t="s">
        <v>606</v>
      </c>
      <c r="C56" s="103"/>
      <c r="D56" s="2" t="s">
        <v>143</v>
      </c>
      <c r="E56" s="2" t="s">
        <v>485</v>
      </c>
      <c r="F56" s="2" t="s">
        <v>466</v>
      </c>
    </row>
    <row r="57" spans="1:6" ht="18.75" customHeight="1">
      <c r="A57" s="16" t="s">
        <v>264</v>
      </c>
      <c r="B57" s="2" t="s">
        <v>607</v>
      </c>
      <c r="C57" s="103"/>
      <c r="D57" s="2" t="s">
        <v>143</v>
      </c>
      <c r="E57" s="2" t="s">
        <v>433</v>
      </c>
      <c r="F57" s="2" t="s">
        <v>144</v>
      </c>
    </row>
    <row r="58" spans="1:6" ht="18.75" customHeight="1">
      <c r="A58" s="16" t="s">
        <v>265</v>
      </c>
      <c r="B58" s="2" t="s">
        <v>747</v>
      </c>
      <c r="C58" s="103"/>
      <c r="D58" s="2" t="s">
        <v>143</v>
      </c>
      <c r="E58" s="2" t="s">
        <v>433</v>
      </c>
      <c r="F58" s="2" t="s">
        <v>144</v>
      </c>
    </row>
    <row r="59" spans="1:6" ht="18.75" customHeight="1">
      <c r="A59" s="488" t="s">
        <v>641</v>
      </c>
      <c r="B59" s="490" t="s">
        <v>749</v>
      </c>
      <c r="C59" s="491"/>
      <c r="D59" s="490" t="s">
        <v>143</v>
      </c>
      <c r="E59" s="490" t="s">
        <v>485</v>
      </c>
      <c r="F59" s="490" t="s">
        <v>640</v>
      </c>
    </row>
    <row r="60" spans="1:6" ht="18.75" customHeight="1">
      <c r="A60" s="488" t="s">
        <v>642</v>
      </c>
      <c r="B60" s="490" t="s">
        <v>749</v>
      </c>
      <c r="C60" s="491"/>
      <c r="D60" s="490" t="s">
        <v>143</v>
      </c>
      <c r="E60" s="490" t="s">
        <v>432</v>
      </c>
      <c r="F60" s="490" t="s">
        <v>640</v>
      </c>
    </row>
    <row r="61" spans="1:6" ht="18.75" customHeight="1">
      <c r="A61" s="16" t="s">
        <v>798</v>
      </c>
      <c r="B61" s="2" t="s">
        <v>750</v>
      </c>
      <c r="C61" s="103"/>
      <c r="D61" s="2" t="s">
        <v>143</v>
      </c>
      <c r="E61" s="2" t="s">
        <v>433</v>
      </c>
      <c r="F61" s="2" t="s">
        <v>799</v>
      </c>
    </row>
    <row r="62" spans="1:6" ht="18.75" customHeight="1">
      <c r="A62" s="19" t="s">
        <v>64</v>
      </c>
      <c r="B62" s="2" t="s">
        <v>599</v>
      </c>
      <c r="C62" s="103"/>
      <c r="D62" s="2" t="s">
        <v>143</v>
      </c>
      <c r="E62" s="2" t="s">
        <v>485</v>
      </c>
      <c r="F62" s="2" t="s">
        <v>381</v>
      </c>
    </row>
    <row r="63" spans="1:6" ht="18.75" customHeight="1">
      <c r="A63" s="19" t="s">
        <v>66</v>
      </c>
      <c r="B63" s="2" t="s">
        <v>67</v>
      </c>
      <c r="C63" s="103"/>
      <c r="D63" s="293" t="s">
        <v>628</v>
      </c>
      <c r="E63" s="2" t="s">
        <v>433</v>
      </c>
      <c r="F63" s="293" t="s">
        <v>466</v>
      </c>
    </row>
    <row r="64" spans="1:6" s="479" customFormat="1" ht="18.75" customHeight="1">
      <c r="A64" s="19" t="s">
        <v>743</v>
      </c>
      <c r="B64" s="2" t="s">
        <v>290</v>
      </c>
      <c r="C64" s="103"/>
      <c r="D64" s="2" t="s">
        <v>149</v>
      </c>
      <c r="E64" s="2" t="s">
        <v>485</v>
      </c>
      <c r="F64" s="2" t="s">
        <v>830</v>
      </c>
    </row>
    <row r="65" spans="1:6" ht="18.75" customHeight="1">
      <c r="A65" s="488" t="s">
        <v>68</v>
      </c>
      <c r="B65" s="490" t="s">
        <v>751</v>
      </c>
      <c r="C65" s="491"/>
      <c r="D65" s="490" t="s">
        <v>143</v>
      </c>
      <c r="E65" s="490"/>
      <c r="F65" s="490" t="s">
        <v>466</v>
      </c>
    </row>
    <row r="66" spans="1:6" ht="18.75" customHeight="1">
      <c r="A66" s="488" t="s">
        <v>69</v>
      </c>
      <c r="B66" s="490" t="s">
        <v>752</v>
      </c>
      <c r="C66" s="491"/>
      <c r="D66" s="490" t="s">
        <v>143</v>
      </c>
      <c r="E66" s="490"/>
      <c r="F66" s="490" t="s">
        <v>381</v>
      </c>
    </row>
    <row r="67" spans="1:6" ht="18.75" customHeight="1">
      <c r="A67" s="488" t="s">
        <v>632</v>
      </c>
      <c r="B67" s="490" t="s">
        <v>755</v>
      </c>
      <c r="C67" s="491"/>
      <c r="D67" s="490" t="s">
        <v>143</v>
      </c>
      <c r="E67" s="490"/>
      <c r="F67" s="490"/>
    </row>
    <row r="68" spans="1:6" ht="18.75" customHeight="1">
      <c r="A68" s="19" t="s">
        <v>70</v>
      </c>
      <c r="B68" s="2" t="s">
        <v>608</v>
      </c>
      <c r="C68" s="103"/>
      <c r="D68" s="2" t="s">
        <v>149</v>
      </c>
      <c r="E68" s="2" t="s">
        <v>434</v>
      </c>
      <c r="F68" s="2" t="s">
        <v>799</v>
      </c>
    </row>
    <row r="69" spans="1:6" ht="18.75" customHeight="1">
      <c r="A69" s="19" t="s">
        <v>71</v>
      </c>
      <c r="B69" s="2" t="s">
        <v>42</v>
      </c>
      <c r="C69" s="103"/>
      <c r="D69" s="2" t="s">
        <v>143</v>
      </c>
      <c r="E69" s="2" t="s">
        <v>432</v>
      </c>
      <c r="F69" s="2" t="s">
        <v>144</v>
      </c>
    </row>
    <row r="70" spans="1:6" ht="18.75" customHeight="1">
      <c r="A70" s="16" t="s">
        <v>72</v>
      </c>
      <c r="B70" s="2" t="s">
        <v>746</v>
      </c>
      <c r="C70" s="103"/>
      <c r="D70" s="2" t="s">
        <v>628</v>
      </c>
      <c r="E70" s="2" t="s">
        <v>485</v>
      </c>
      <c r="F70" s="2" t="s">
        <v>381</v>
      </c>
    </row>
    <row r="71" spans="1:6" ht="18.75" customHeight="1">
      <c r="A71" s="16" t="s">
        <v>800</v>
      </c>
      <c r="B71" s="2" t="s">
        <v>292</v>
      </c>
      <c r="C71" s="103"/>
      <c r="D71" s="2" t="s">
        <v>628</v>
      </c>
      <c r="E71" s="2" t="s">
        <v>485</v>
      </c>
      <c r="F71" s="2" t="s">
        <v>144</v>
      </c>
    </row>
    <row r="72" spans="1:6" s="479" customFormat="1" ht="18.75" customHeight="1">
      <c r="A72" s="16" t="s">
        <v>725</v>
      </c>
      <c r="B72" s="2" t="s">
        <v>293</v>
      </c>
      <c r="C72" s="103"/>
      <c r="D72" s="2" t="s">
        <v>149</v>
      </c>
      <c r="E72" s="2" t="s">
        <v>485</v>
      </c>
      <c r="F72" s="2" t="s">
        <v>830</v>
      </c>
    </row>
    <row r="73" spans="1:6" ht="18.75" customHeight="1">
      <c r="A73" s="19" t="s">
        <v>73</v>
      </c>
      <c r="B73" s="2" t="s">
        <v>609</v>
      </c>
      <c r="C73" s="103"/>
      <c r="D73" s="2" t="s">
        <v>143</v>
      </c>
      <c r="E73" s="2" t="s">
        <v>274</v>
      </c>
      <c r="F73" s="2" t="s">
        <v>381</v>
      </c>
    </row>
    <row r="74" spans="1:6" s="489" customFormat="1" ht="18.75" customHeight="1">
      <c r="A74" s="19" t="s">
        <v>802</v>
      </c>
      <c r="B74" s="2" t="s">
        <v>42</v>
      </c>
      <c r="C74" s="103"/>
      <c r="D74" s="2" t="s">
        <v>143</v>
      </c>
      <c r="E74" s="2" t="s">
        <v>432</v>
      </c>
      <c r="F74" s="2" t="s">
        <v>144</v>
      </c>
    </row>
    <row r="75" spans="1:6" ht="18.75" customHeight="1">
      <c r="A75" s="19" t="s">
        <v>74</v>
      </c>
      <c r="B75" s="2" t="s">
        <v>75</v>
      </c>
      <c r="C75" s="103"/>
      <c r="D75" s="2" t="s">
        <v>143</v>
      </c>
      <c r="E75" s="2" t="s">
        <v>485</v>
      </c>
      <c r="F75" s="2" t="s">
        <v>144</v>
      </c>
    </row>
    <row r="76" spans="1:6" ht="18.75" customHeight="1">
      <c r="A76" s="19" t="s">
        <v>803</v>
      </c>
      <c r="B76" s="2" t="s">
        <v>754</v>
      </c>
      <c r="C76" s="103"/>
      <c r="D76" s="2" t="s">
        <v>143</v>
      </c>
      <c r="E76" s="2" t="s">
        <v>485</v>
      </c>
      <c r="F76" s="293" t="s">
        <v>466</v>
      </c>
    </row>
    <row r="77" spans="1:6" ht="18.75" customHeight="1">
      <c r="A77" s="19" t="s">
        <v>76</v>
      </c>
      <c r="B77" s="2" t="s">
        <v>77</v>
      </c>
      <c r="C77" s="103"/>
      <c r="D77" s="2" t="s">
        <v>143</v>
      </c>
      <c r="E77" s="2" t="s">
        <v>433</v>
      </c>
      <c r="F77" s="293" t="s">
        <v>466</v>
      </c>
    </row>
    <row r="78" spans="1:6" ht="18.75" customHeight="1">
      <c r="A78" s="16" t="s">
        <v>400</v>
      </c>
      <c r="B78" s="2" t="s">
        <v>610</v>
      </c>
      <c r="C78" s="103"/>
      <c r="D78" s="2" t="s">
        <v>143</v>
      </c>
      <c r="E78" s="2" t="s">
        <v>433</v>
      </c>
      <c r="F78" s="293" t="s">
        <v>466</v>
      </c>
    </row>
    <row r="79" spans="1:6" ht="18.75" customHeight="1">
      <c r="A79" s="16" t="s">
        <v>266</v>
      </c>
      <c r="B79" s="2" t="s">
        <v>610</v>
      </c>
      <c r="C79" s="103"/>
      <c r="D79" s="2" t="s">
        <v>143</v>
      </c>
      <c r="E79" s="2" t="s">
        <v>433</v>
      </c>
      <c r="F79" s="293" t="s">
        <v>466</v>
      </c>
    </row>
    <row r="80" spans="1:6" ht="18.75" customHeight="1">
      <c r="A80" s="488" t="s">
        <v>78</v>
      </c>
      <c r="B80" s="490" t="s">
        <v>753</v>
      </c>
      <c r="C80" s="491"/>
      <c r="D80" s="490" t="s">
        <v>14</v>
      </c>
      <c r="E80" s="490" t="str">
        <f>IF(REA!T3&lt;=29,IF(REA!AD3&gt;28,"3x/24 H","2x/24 H"),IF(AND(REA!T3&gt;29,REA!T3&lt;37),IF(REA!AD3&gt;14,"3x/24 H","2x/24 H"),IF(AND(REA!T3&gt;36,REA!T3&lt;45),IF(REA!AD3&gt;7,"3x/24 H","2x/24 H"),IF(REA!T3&gt;=45,"4x/24 H"))))</f>
        <v>3x/24 H</v>
      </c>
      <c r="F80" s="490" t="s">
        <v>172</v>
      </c>
    </row>
    <row r="81" spans="1:8" ht="18.75" customHeight="1">
      <c r="A81" s="19" t="s">
        <v>805</v>
      </c>
      <c r="B81" s="2" t="s">
        <v>48</v>
      </c>
      <c r="C81" s="103"/>
      <c r="D81" s="2" t="s">
        <v>143</v>
      </c>
      <c r="E81" s="2" t="s">
        <v>485</v>
      </c>
      <c r="F81" s="293" t="s">
        <v>466</v>
      </c>
    </row>
    <row r="82" spans="1:8" ht="18.75" customHeight="1">
      <c r="A82" s="16" t="s">
        <v>439</v>
      </c>
      <c r="B82" s="2" t="s">
        <v>79</v>
      </c>
      <c r="C82" s="103">
        <v>50</v>
      </c>
      <c r="D82" s="2" t="s">
        <v>143</v>
      </c>
      <c r="E82" s="2" t="s">
        <v>438</v>
      </c>
      <c r="F82" s="2" t="s">
        <v>381</v>
      </c>
    </row>
    <row r="83" spans="1:8" ht="18.75" customHeight="1">
      <c r="A83" s="16" t="s">
        <v>440</v>
      </c>
      <c r="B83" s="2" t="s">
        <v>79</v>
      </c>
      <c r="C83" s="103">
        <v>50</v>
      </c>
      <c r="D83" s="2" t="s">
        <v>143</v>
      </c>
      <c r="E83" s="2" t="s">
        <v>434</v>
      </c>
      <c r="F83" s="2" t="s">
        <v>381</v>
      </c>
    </row>
    <row r="84" spans="1:8" ht="18.75" customHeight="1">
      <c r="A84" s="16" t="s">
        <v>441</v>
      </c>
      <c r="B84" s="2" t="s">
        <v>79</v>
      </c>
      <c r="C84" s="103">
        <v>50</v>
      </c>
      <c r="D84" s="2" t="s">
        <v>143</v>
      </c>
      <c r="E84" s="2" t="s">
        <v>432</v>
      </c>
      <c r="F84" s="2" t="s">
        <v>381</v>
      </c>
    </row>
    <row r="85" spans="1:8" ht="18.75" customHeight="1">
      <c r="A85" s="16" t="s">
        <v>80</v>
      </c>
      <c r="B85" s="2" t="s">
        <v>611</v>
      </c>
      <c r="C85" s="103"/>
      <c r="D85" s="2" t="s">
        <v>143</v>
      </c>
      <c r="E85" s="2" t="s">
        <v>438</v>
      </c>
      <c r="F85" s="2" t="s">
        <v>806</v>
      </c>
    </row>
    <row r="86" spans="1:8" ht="18.75" customHeight="1">
      <c r="A86" s="19" t="s">
        <v>807</v>
      </c>
      <c r="B86" s="2" t="s">
        <v>612</v>
      </c>
      <c r="C86" s="103"/>
      <c r="D86" s="2" t="s">
        <v>143</v>
      </c>
      <c r="E86" s="2" t="s">
        <v>485</v>
      </c>
      <c r="F86" s="2" t="s">
        <v>164</v>
      </c>
    </row>
    <row r="87" spans="1:8" ht="18.75" customHeight="1">
      <c r="A87" s="19" t="s">
        <v>634</v>
      </c>
      <c r="B87" s="2" t="s">
        <v>612</v>
      </c>
      <c r="C87" s="103"/>
      <c r="D87" s="2" t="s">
        <v>143</v>
      </c>
      <c r="E87" s="2" t="s">
        <v>433</v>
      </c>
      <c r="F87" s="2" t="s">
        <v>466</v>
      </c>
    </row>
    <row r="88" spans="1:8" ht="18.75" customHeight="1">
      <c r="A88" s="16" t="s">
        <v>81</v>
      </c>
      <c r="B88" s="2" t="s">
        <v>613</v>
      </c>
      <c r="C88" s="103"/>
      <c r="D88" s="2" t="s">
        <v>14</v>
      </c>
      <c r="E88" s="2" t="s">
        <v>485</v>
      </c>
      <c r="F88" s="2"/>
    </row>
    <row r="89" spans="1:8" ht="18.75" customHeight="1">
      <c r="A89" s="488" t="s">
        <v>82</v>
      </c>
      <c r="B89" s="490" t="s">
        <v>614</v>
      </c>
      <c r="C89" s="491"/>
      <c r="D89" s="490" t="s">
        <v>143</v>
      </c>
      <c r="E89" s="490"/>
      <c r="F89" s="490" t="s">
        <v>449</v>
      </c>
    </row>
    <row r="90" spans="1:8" ht="18.75" customHeight="1">
      <c r="A90" s="488" t="s">
        <v>83</v>
      </c>
      <c r="B90" s="490" t="s">
        <v>297</v>
      </c>
      <c r="C90" s="491"/>
      <c r="D90" s="490" t="s">
        <v>143</v>
      </c>
      <c r="E90" s="490"/>
      <c r="F90" s="490"/>
    </row>
    <row r="91" spans="1:8" ht="18.75" customHeight="1">
      <c r="A91" s="16" t="s">
        <v>84</v>
      </c>
      <c r="B91" s="2" t="s">
        <v>85</v>
      </c>
      <c r="C91" s="103"/>
      <c r="D91" s="2" t="s">
        <v>143</v>
      </c>
      <c r="E91" s="2" t="s">
        <v>432</v>
      </c>
      <c r="F91" s="2" t="s">
        <v>144</v>
      </c>
      <c r="H91" s="2" t="s">
        <v>179</v>
      </c>
    </row>
    <row r="92" spans="1:8" ht="18.75" customHeight="1">
      <c r="A92" s="488" t="s">
        <v>630</v>
      </c>
      <c r="B92" s="490" t="s">
        <v>86</v>
      </c>
      <c r="C92" s="491"/>
      <c r="D92" s="490" t="s">
        <v>143</v>
      </c>
      <c r="E92" s="490"/>
      <c r="F92" s="490" t="s">
        <v>466</v>
      </c>
      <c r="H92" s="2" t="s">
        <v>151</v>
      </c>
    </row>
    <row r="93" spans="1:8" ht="18.75" customHeight="1">
      <c r="A93" s="488" t="s">
        <v>631</v>
      </c>
      <c r="B93" s="490" t="s">
        <v>87</v>
      </c>
      <c r="C93" s="491"/>
      <c r="D93" s="490" t="s">
        <v>143</v>
      </c>
      <c r="E93" s="490"/>
      <c r="F93" s="490" t="s">
        <v>144</v>
      </c>
      <c r="H93" s="2" t="s">
        <v>153</v>
      </c>
    </row>
    <row r="94" spans="1:8" ht="18.75" customHeight="1">
      <c r="A94" s="19" t="s">
        <v>467</v>
      </c>
      <c r="B94" s="293" t="s">
        <v>468</v>
      </c>
      <c r="C94" s="379"/>
      <c r="D94" s="293" t="s">
        <v>149</v>
      </c>
      <c r="E94" s="293" t="s">
        <v>433</v>
      </c>
      <c r="F94" s="293" t="s">
        <v>466</v>
      </c>
      <c r="H94" s="2" t="s">
        <v>150</v>
      </c>
    </row>
    <row r="95" spans="1:8" ht="18.75" customHeight="1">
      <c r="A95" s="19" t="s">
        <v>30</v>
      </c>
      <c r="B95" s="293" t="s">
        <v>298</v>
      </c>
      <c r="C95" s="379"/>
      <c r="D95" s="293" t="s">
        <v>628</v>
      </c>
      <c r="E95" s="293" t="s">
        <v>485</v>
      </c>
      <c r="F95" s="293" t="s">
        <v>469</v>
      </c>
      <c r="H95" s="2" t="s">
        <v>152</v>
      </c>
    </row>
    <row r="96" spans="1:8" ht="18.75" customHeight="1">
      <c r="A96" s="19" t="s">
        <v>470</v>
      </c>
      <c r="B96" s="293" t="s">
        <v>756</v>
      </c>
      <c r="C96" s="379"/>
      <c r="D96" s="293" t="s">
        <v>149</v>
      </c>
      <c r="E96" s="293" t="s">
        <v>485</v>
      </c>
      <c r="F96" s="293" t="s">
        <v>767</v>
      </c>
      <c r="H96" s="2" t="s">
        <v>154</v>
      </c>
    </row>
    <row r="97" spans="1:8" ht="18.75" customHeight="1">
      <c r="A97" s="19" t="s">
        <v>808</v>
      </c>
      <c r="B97" s="2" t="s">
        <v>89</v>
      </c>
      <c r="C97" s="103"/>
      <c r="D97" s="2" t="s">
        <v>143</v>
      </c>
      <c r="E97" s="492" t="s">
        <v>432</v>
      </c>
      <c r="F97" s="2" t="s">
        <v>381</v>
      </c>
      <c r="H97" s="2" t="s">
        <v>155</v>
      </c>
    </row>
    <row r="98" spans="1:8" s="489" customFormat="1" ht="18.75" customHeight="1">
      <c r="A98" s="19" t="s">
        <v>378</v>
      </c>
      <c r="B98" s="2" t="s">
        <v>89</v>
      </c>
      <c r="C98" s="103"/>
      <c r="D98" s="2" t="s">
        <v>143</v>
      </c>
      <c r="E98" s="2" t="s">
        <v>433</v>
      </c>
      <c r="F98" s="2" t="s">
        <v>381</v>
      </c>
      <c r="H98" s="2" t="s">
        <v>156</v>
      </c>
    </row>
    <row r="99" spans="1:8" ht="18.75" customHeight="1">
      <c r="A99" s="19" t="s">
        <v>90</v>
      </c>
      <c r="B99" s="2" t="s">
        <v>615</v>
      </c>
      <c r="C99" s="103"/>
      <c r="D99" s="2" t="s">
        <v>143</v>
      </c>
      <c r="E99" s="2" t="s">
        <v>432</v>
      </c>
      <c r="F99" s="2" t="s">
        <v>144</v>
      </c>
      <c r="H99" s="2" t="s">
        <v>157</v>
      </c>
    </row>
    <row r="100" spans="1:8" ht="18.75" customHeight="1">
      <c r="A100" s="16" t="s">
        <v>91</v>
      </c>
      <c r="B100" s="2" t="s">
        <v>757</v>
      </c>
      <c r="C100" s="103"/>
      <c r="D100" s="2" t="s">
        <v>143</v>
      </c>
      <c r="E100" s="2" t="s">
        <v>485</v>
      </c>
      <c r="F100" s="2" t="s">
        <v>466</v>
      </c>
      <c r="H100" s="2" t="s">
        <v>158</v>
      </c>
    </row>
    <row r="101" spans="1:8" ht="18.75" customHeight="1">
      <c r="A101" s="19" t="s">
        <v>92</v>
      </c>
      <c r="B101" s="2" t="s">
        <v>758</v>
      </c>
      <c r="C101" s="103"/>
      <c r="D101" s="2" t="s">
        <v>149</v>
      </c>
      <c r="E101" s="2" t="s">
        <v>485</v>
      </c>
      <c r="F101" s="2" t="s">
        <v>767</v>
      </c>
      <c r="H101" s="2" t="s">
        <v>159</v>
      </c>
    </row>
    <row r="102" spans="1:8" ht="18.75" customHeight="1">
      <c r="A102" s="19" t="s">
        <v>93</v>
      </c>
      <c r="B102" s="2" t="s">
        <v>616</v>
      </c>
      <c r="C102" s="103"/>
      <c r="D102" s="2" t="s">
        <v>143</v>
      </c>
      <c r="E102" s="2" t="s">
        <v>433</v>
      </c>
      <c r="F102" s="2" t="s">
        <v>144</v>
      </c>
      <c r="H102" s="2" t="s">
        <v>194</v>
      </c>
    </row>
    <row r="103" spans="1:8" ht="18.75" customHeight="1">
      <c r="A103" s="19" t="s">
        <v>777</v>
      </c>
      <c r="B103" s="2" t="s">
        <v>32</v>
      </c>
      <c r="C103" s="103"/>
      <c r="D103" s="2" t="s">
        <v>14</v>
      </c>
      <c r="E103" s="2" t="s">
        <v>485</v>
      </c>
      <c r="F103" s="2" t="s">
        <v>469</v>
      </c>
    </row>
    <row r="104" spans="1:8" ht="18.75" customHeight="1">
      <c r="A104" s="488" t="s">
        <v>94</v>
      </c>
      <c r="B104" s="490" t="s">
        <v>498</v>
      </c>
      <c r="C104" s="491"/>
      <c r="D104" s="490" t="s">
        <v>143</v>
      </c>
      <c r="E104" s="490"/>
      <c r="F104" s="490" t="s">
        <v>385</v>
      </c>
      <c r="H104" s="484"/>
    </row>
    <row r="105" spans="1:8" s="484" customFormat="1" ht="18.75" customHeight="1">
      <c r="A105" s="16" t="s">
        <v>95</v>
      </c>
      <c r="B105" s="2" t="s">
        <v>96</v>
      </c>
      <c r="C105" s="103"/>
      <c r="D105" s="2" t="s">
        <v>143</v>
      </c>
      <c r="E105" s="2" t="str">
        <f>IF(REA!T3&lt;=29,IF(REA!AD3&gt;14,"2x/24 H","1x/18 H"),IF(AND(REA!T3&gt;29,REA!T3&lt;37),IF(REA!AD3&gt;14,"3x/24 H","2x/24 H"),IF(AND(REA!T3&gt;36,REA!T3&lt;45),IF(REA!AD3&gt;7,"3x/24 H","2x/24 H"),IF(REA!T3&gt;=45,"4x/24 H"))))</f>
        <v>2x/24 H</v>
      </c>
      <c r="F105" s="2" t="s">
        <v>334</v>
      </c>
      <c r="H105"/>
    </row>
    <row r="106" spans="1:8" ht="18.75" customHeight="1">
      <c r="A106" s="19" t="s">
        <v>97</v>
      </c>
      <c r="B106" s="2" t="s">
        <v>617</v>
      </c>
      <c r="C106" s="103"/>
      <c r="D106" s="2" t="s">
        <v>143</v>
      </c>
      <c r="E106" s="2" t="s">
        <v>809</v>
      </c>
      <c r="F106" s="2" t="s">
        <v>449</v>
      </c>
    </row>
    <row r="107" spans="1:8" ht="18.75" customHeight="1">
      <c r="A107" s="16" t="s">
        <v>98</v>
      </c>
      <c r="B107" s="2" t="s">
        <v>618</v>
      </c>
      <c r="C107" s="103"/>
      <c r="D107" s="2" t="s">
        <v>149</v>
      </c>
      <c r="E107" s="2" t="s">
        <v>433</v>
      </c>
      <c r="F107" s="2" t="s">
        <v>471</v>
      </c>
    </row>
    <row r="108" spans="1:8" ht="18.75" customHeight="1">
      <c r="A108" s="19" t="s">
        <v>99</v>
      </c>
      <c r="B108" s="2" t="s">
        <v>619</v>
      </c>
      <c r="C108" s="103"/>
      <c r="D108" s="2" t="s">
        <v>143</v>
      </c>
      <c r="E108" s="2" t="str">
        <f>IF(REA!T3&lt;37,"2x/24 H","3x/24H")</f>
        <v>2x/24 H</v>
      </c>
      <c r="F108" s="2" t="s">
        <v>471</v>
      </c>
    </row>
    <row r="109" spans="1:8" ht="18.75" customHeight="1">
      <c r="A109" s="19" t="s">
        <v>100</v>
      </c>
      <c r="B109" s="2" t="s">
        <v>101</v>
      </c>
      <c r="C109" s="103"/>
      <c r="D109" s="2" t="s">
        <v>143</v>
      </c>
      <c r="E109" s="2" t="s">
        <v>432</v>
      </c>
      <c r="F109" s="2" t="s">
        <v>144</v>
      </c>
    </row>
    <row r="110" spans="1:8" ht="18.75" customHeight="1">
      <c r="A110" s="19" t="s">
        <v>163</v>
      </c>
      <c r="B110" s="2" t="s">
        <v>102</v>
      </c>
      <c r="C110" s="103"/>
      <c r="D110" s="2" t="s">
        <v>143</v>
      </c>
      <c r="E110" s="2" t="s">
        <v>434</v>
      </c>
      <c r="F110" s="2" t="s">
        <v>449</v>
      </c>
    </row>
    <row r="111" spans="1:8" ht="18.75" customHeight="1">
      <c r="A111" s="16"/>
      <c r="B111" s="2"/>
      <c r="C111" s="103"/>
      <c r="D111" s="2"/>
      <c r="E111" s="2"/>
      <c r="F111" s="2"/>
    </row>
    <row r="112" spans="1:8" ht="18.75" customHeight="1">
      <c r="A112" s="16"/>
      <c r="B112" s="2"/>
      <c r="C112" s="103"/>
      <c r="D112" s="2"/>
      <c r="E112" s="2"/>
      <c r="F112" s="2"/>
    </row>
    <row r="113" spans="1:6" ht="18.75" customHeight="1">
      <c r="A113" s="16"/>
      <c r="B113" s="2"/>
      <c r="C113" s="103"/>
      <c r="D113" s="2"/>
      <c r="E113" s="2"/>
      <c r="F113" s="2"/>
    </row>
    <row r="114" spans="1:6" ht="18.75" customHeight="1">
      <c r="A114" s="16"/>
      <c r="B114" s="2"/>
      <c r="C114" s="103"/>
      <c r="D114" s="2"/>
      <c r="E114" s="2"/>
      <c r="F114" s="2"/>
    </row>
    <row r="115" spans="1:6" ht="18.75" customHeight="1">
      <c r="A115" s="16"/>
      <c r="B115" s="2"/>
      <c r="C115" s="103"/>
      <c r="D115" s="2"/>
      <c r="E115" s="2"/>
      <c r="F115" s="2"/>
    </row>
    <row r="116" spans="1:6" ht="18.75" customHeight="1">
      <c r="A116" s="16"/>
      <c r="B116" s="2"/>
      <c r="C116" s="103"/>
      <c r="D116" s="2"/>
      <c r="E116" s="2"/>
      <c r="F116" s="2"/>
    </row>
    <row r="117" spans="1:6" ht="18.75" customHeight="1">
      <c r="A117" s="16"/>
      <c r="B117" s="2"/>
      <c r="C117" s="103"/>
      <c r="D117" s="2"/>
      <c r="E117" s="2"/>
      <c r="F117" s="2"/>
    </row>
    <row r="118" spans="1:6" ht="18.75" customHeight="1">
      <c r="A118" s="16"/>
      <c r="B118" s="2"/>
      <c r="C118" s="103"/>
      <c r="D118" s="2"/>
      <c r="E118" s="2"/>
      <c r="F118" s="2"/>
    </row>
    <row r="119" spans="1:6" ht="18.75" customHeight="1">
      <c r="A119" s="16"/>
      <c r="B119" s="2"/>
      <c r="C119" s="103"/>
      <c r="D119" s="2"/>
      <c r="E119" s="2"/>
      <c r="F119" s="2"/>
    </row>
    <row r="120" spans="1:6" ht="18.75" customHeight="1">
      <c r="A120" s="16"/>
      <c r="B120" s="2"/>
      <c r="C120" s="103"/>
      <c r="D120" s="2"/>
      <c r="E120" s="2"/>
      <c r="F120" s="2"/>
    </row>
    <row r="121" spans="1:6" ht="18.75" customHeight="1">
      <c r="A121" s="16"/>
      <c r="B121" s="2"/>
      <c r="C121" s="103"/>
      <c r="D121" s="2"/>
      <c r="E121" s="2"/>
      <c r="F121" s="2"/>
    </row>
    <row r="122" spans="1:6" ht="18.75" customHeight="1">
      <c r="A122" s="16"/>
      <c r="B122" s="2"/>
      <c r="C122" s="103"/>
      <c r="D122" s="2"/>
      <c r="E122" s="2"/>
      <c r="F122" s="2"/>
    </row>
    <row r="123" spans="1:6" ht="18.75" customHeight="1">
      <c r="A123" s="16"/>
      <c r="B123" s="2"/>
      <c r="C123" s="103"/>
      <c r="D123" s="2"/>
      <c r="E123" s="2"/>
      <c r="F123" s="2"/>
    </row>
    <row r="124" spans="1:6" ht="18.75" customHeight="1">
      <c r="A124" s="16"/>
      <c r="B124" s="2"/>
      <c r="C124" s="103"/>
      <c r="D124" s="2"/>
      <c r="E124" s="2"/>
      <c r="F124" s="2"/>
    </row>
    <row r="125" spans="1:6" ht="18.75" customHeight="1">
      <c r="A125" s="16"/>
      <c r="B125" s="2"/>
      <c r="C125" s="103"/>
      <c r="D125" s="2"/>
      <c r="E125" s="2"/>
      <c r="F125" s="2"/>
    </row>
    <row r="126" spans="1:6" ht="18.75" customHeight="1">
      <c r="A126" s="16"/>
      <c r="B126" s="2"/>
      <c r="C126" s="103"/>
      <c r="D126" s="2"/>
      <c r="E126" s="2"/>
      <c r="F126" s="2"/>
    </row>
    <row r="127" spans="1:6" ht="18.75" customHeight="1" thickBot="1">
      <c r="A127" s="20"/>
      <c r="B127" s="21"/>
      <c r="C127" s="123"/>
      <c r="D127" s="21"/>
      <c r="E127" s="21"/>
      <c r="F127" s="21"/>
    </row>
    <row r="128" spans="1:6" ht="18.75" customHeight="1" thickTop="1">
      <c r="A128" s="13"/>
      <c r="B128" s="13"/>
      <c r="C128" s="124"/>
      <c r="D128" s="13"/>
      <c r="E128" s="13"/>
      <c r="F128" s="13"/>
    </row>
    <row r="129" spans="1:6" ht="18.75" customHeight="1">
      <c r="A129" s="2"/>
      <c r="B129" s="2"/>
      <c r="C129" s="103"/>
      <c r="D129" s="2"/>
      <c r="E129" s="2"/>
      <c r="F129" s="2"/>
    </row>
    <row r="130" spans="1:6" ht="18.75" customHeight="1">
      <c r="A130" s="2"/>
      <c r="B130" s="2"/>
      <c r="C130" s="103"/>
      <c r="D130" s="2"/>
      <c r="E130" s="2"/>
      <c r="F130" s="2"/>
    </row>
    <row r="131" spans="1:6" ht="18.75" customHeight="1">
      <c r="A131" s="2"/>
      <c r="B131" s="2"/>
      <c r="C131" s="103"/>
      <c r="D131" s="2"/>
      <c r="E131" s="2"/>
      <c r="F131" s="2"/>
    </row>
    <row r="132" spans="1:6" ht="18.75" customHeight="1">
      <c r="A132" s="2"/>
      <c r="B132" s="2"/>
      <c r="C132" s="103"/>
      <c r="D132" s="2"/>
      <c r="E132" s="2"/>
      <c r="F132" s="2"/>
    </row>
    <row r="133" spans="1:6" ht="18.75" customHeight="1">
      <c r="A133" s="2"/>
      <c r="B133" s="2"/>
      <c r="C133" s="103"/>
      <c r="D133" s="2"/>
      <c r="E133" s="2"/>
      <c r="F133" s="2"/>
    </row>
    <row r="134" spans="1:6" ht="18.75" customHeight="1">
      <c r="A134" s="2"/>
      <c r="B134" s="2"/>
      <c r="C134" s="103"/>
      <c r="D134" s="2"/>
      <c r="E134" s="2"/>
      <c r="F134" s="2"/>
    </row>
    <row r="135" spans="1:6" ht="18.75" customHeight="1">
      <c r="A135" s="2"/>
      <c r="B135" s="2"/>
      <c r="C135" s="103"/>
      <c r="D135" s="2"/>
      <c r="E135" s="2"/>
      <c r="F135" s="2"/>
    </row>
    <row r="136" spans="1:6" ht="18.75" customHeight="1">
      <c r="A136" s="2"/>
      <c r="B136" s="2"/>
      <c r="C136" s="103"/>
      <c r="D136" s="2"/>
      <c r="E136" s="2"/>
      <c r="F136" s="2"/>
    </row>
    <row r="137" spans="1:6" ht="18.75" customHeight="1">
      <c r="A137" s="2"/>
      <c r="B137" s="2"/>
      <c r="C137" s="103"/>
      <c r="D137" s="2"/>
      <c r="E137" s="2"/>
      <c r="F137" s="2"/>
    </row>
    <row r="138" spans="1:6" ht="18.75" customHeight="1">
      <c r="A138" s="2"/>
      <c r="B138" s="2"/>
      <c r="C138" s="103"/>
      <c r="D138" s="2"/>
      <c r="E138" s="2"/>
      <c r="F138" s="2"/>
    </row>
    <row r="139" spans="1:6" ht="18.75" customHeight="1">
      <c r="A139" s="2"/>
      <c r="B139" s="2"/>
      <c r="C139" s="103"/>
      <c r="D139" s="2"/>
      <c r="E139" s="2"/>
      <c r="F139" s="2"/>
    </row>
    <row r="140" spans="1:6" ht="18.75" customHeight="1">
      <c r="A140" s="2"/>
      <c r="B140" s="2"/>
      <c r="C140" s="103"/>
      <c r="D140" s="2"/>
      <c r="E140" s="2"/>
      <c r="F140" s="2"/>
    </row>
    <row r="141" spans="1:6" ht="18.75" customHeight="1">
      <c r="A141" s="2"/>
      <c r="B141" s="2"/>
      <c r="C141" s="103"/>
      <c r="D141" s="2"/>
      <c r="E141" s="2"/>
      <c r="F141" s="2"/>
    </row>
    <row r="142" spans="1:6" ht="18.75" customHeight="1">
      <c r="A142" s="2"/>
      <c r="B142" s="2"/>
      <c r="C142" s="103"/>
      <c r="D142" s="2"/>
      <c r="E142" s="2"/>
      <c r="F142" s="2"/>
    </row>
    <row r="143" spans="1:6" ht="18.75" customHeight="1">
      <c r="A143" s="2"/>
      <c r="B143" s="2"/>
      <c r="C143" s="103"/>
      <c r="D143" s="2"/>
      <c r="E143" s="2"/>
      <c r="F143" s="2"/>
    </row>
    <row r="144" spans="1:6" ht="18.75" customHeight="1">
      <c r="A144" s="2"/>
      <c r="B144" s="2"/>
      <c r="C144" s="103"/>
      <c r="D144" s="2"/>
      <c r="E144" s="2"/>
      <c r="F144" s="2"/>
    </row>
    <row r="145" spans="1:6" ht="18.75" customHeight="1">
      <c r="A145" s="2"/>
      <c r="B145" s="2"/>
      <c r="C145" s="103"/>
      <c r="D145" s="2"/>
      <c r="E145" s="2"/>
      <c r="F145" s="2"/>
    </row>
    <row r="146" spans="1:6" ht="18.75" customHeight="1">
      <c r="A146" s="2"/>
      <c r="B146" s="2"/>
      <c r="C146" s="103"/>
      <c r="D146" s="2"/>
      <c r="E146" s="2"/>
      <c r="F146" s="2"/>
    </row>
    <row r="147" spans="1:6" ht="18.75" customHeight="1">
      <c r="A147" s="2"/>
      <c r="B147" s="2"/>
      <c r="C147" s="103"/>
      <c r="D147" s="2"/>
      <c r="E147" s="2"/>
      <c r="F147" s="2"/>
    </row>
    <row r="148" spans="1:6" ht="18.75" customHeight="1">
      <c r="A148" s="2"/>
      <c r="B148" s="2"/>
      <c r="C148" s="103"/>
      <c r="D148" s="2"/>
      <c r="E148" s="2"/>
      <c r="F148" s="2"/>
    </row>
    <row r="149" spans="1:6" ht="18.75" customHeight="1">
      <c r="A149" s="2"/>
      <c r="B149" s="2"/>
      <c r="C149" s="103"/>
      <c r="D149" s="2"/>
      <c r="E149" s="2"/>
      <c r="F149" s="2"/>
    </row>
    <row r="150" spans="1:6" ht="18.75" customHeight="1">
      <c r="A150" s="2"/>
      <c r="B150" s="2"/>
      <c r="C150" s="103"/>
      <c r="D150" s="2"/>
      <c r="E150" s="2"/>
      <c r="F150" s="2"/>
    </row>
    <row r="151" spans="1:6" ht="18.75" customHeight="1">
      <c r="A151" s="2"/>
      <c r="B151" s="2"/>
      <c r="C151" s="103"/>
      <c r="D151" s="2"/>
      <c r="E151" s="2"/>
      <c r="F151" s="2"/>
    </row>
    <row r="152" spans="1:6" ht="18.75" customHeight="1">
      <c r="A152" s="2"/>
      <c r="B152" s="2"/>
      <c r="C152" s="103"/>
      <c r="D152" s="2"/>
      <c r="E152" s="2"/>
      <c r="F152" s="2"/>
    </row>
    <row r="153" spans="1:6" ht="18.75" customHeight="1">
      <c r="A153" s="2"/>
      <c r="B153" s="2"/>
      <c r="C153" s="103"/>
      <c r="D153" s="2"/>
      <c r="E153" s="2"/>
      <c r="F153" s="2"/>
    </row>
    <row r="154" spans="1:6" ht="18.75" customHeight="1">
      <c r="A154" s="2"/>
      <c r="B154" s="2"/>
      <c r="C154" s="103"/>
      <c r="D154" s="2"/>
      <c r="E154" s="2"/>
      <c r="F154" s="2"/>
    </row>
    <row r="155" spans="1:6" ht="18.75" customHeight="1">
      <c r="A155" s="2"/>
      <c r="B155" s="2"/>
      <c r="C155" s="103"/>
      <c r="D155" s="2"/>
      <c r="E155" s="2"/>
      <c r="F155" s="2"/>
    </row>
    <row r="156" spans="1:6" ht="18.75" customHeight="1">
      <c r="A156" s="2"/>
      <c r="B156" s="2"/>
      <c r="C156" s="103"/>
      <c r="D156" s="2"/>
      <c r="E156" s="2"/>
      <c r="F156" s="2"/>
    </row>
    <row r="157" spans="1:6" ht="18.75" customHeight="1">
      <c r="A157" s="2"/>
      <c r="B157" s="2"/>
      <c r="C157" s="103"/>
      <c r="D157" s="2"/>
      <c r="E157" s="2"/>
      <c r="F157" s="2"/>
    </row>
    <row r="158" spans="1:6" ht="18.75" customHeight="1">
      <c r="A158" s="2"/>
      <c r="B158" s="2"/>
      <c r="C158" s="103"/>
      <c r="D158" s="2"/>
      <c r="E158" s="2"/>
      <c r="F158" s="2"/>
    </row>
    <row r="159" spans="1:6" ht="18.75" customHeight="1">
      <c r="A159" s="2"/>
      <c r="B159" s="2"/>
      <c r="C159" s="103"/>
      <c r="D159" s="2"/>
      <c r="E159" s="2"/>
      <c r="F159" s="2"/>
    </row>
    <row r="160" spans="1:6" ht="18.75" customHeight="1">
      <c r="A160" s="2"/>
      <c r="B160" s="2"/>
      <c r="C160" s="103"/>
      <c r="D160" s="2"/>
      <c r="E160" s="2"/>
      <c r="F160" s="2"/>
    </row>
    <row r="161" spans="1:6" ht="18.75" customHeight="1">
      <c r="A161" s="2"/>
      <c r="B161" s="2"/>
      <c r="C161" s="103"/>
      <c r="D161" s="2"/>
      <c r="E161" s="2"/>
      <c r="F161" s="2"/>
    </row>
    <row r="162" spans="1:6" ht="18.75" customHeight="1">
      <c r="A162" s="2"/>
      <c r="B162" s="2"/>
      <c r="C162" s="103"/>
      <c r="D162" s="2"/>
      <c r="E162" s="2"/>
      <c r="F162" s="2"/>
    </row>
    <row r="163" spans="1:6" ht="18.75" customHeight="1">
      <c r="A163" s="2"/>
      <c r="B163" s="2"/>
      <c r="C163" s="103"/>
      <c r="D163" s="2"/>
      <c r="E163" s="2"/>
      <c r="F163" s="2"/>
    </row>
    <row r="164" spans="1:6" ht="18.75" customHeight="1">
      <c r="A164" s="2"/>
      <c r="B164" s="2"/>
      <c r="C164" s="103"/>
      <c r="D164" s="2"/>
      <c r="E164" s="2"/>
      <c r="F164" s="2"/>
    </row>
    <row r="165" spans="1:6" ht="18.75" customHeight="1">
      <c r="A165" s="2"/>
      <c r="B165" s="2"/>
      <c r="C165" s="103"/>
      <c r="D165" s="2"/>
      <c r="E165" s="2"/>
      <c r="F165" s="2"/>
    </row>
    <row r="166" spans="1:6" ht="18.75" customHeight="1">
      <c r="A166" s="2"/>
      <c r="B166" s="2"/>
      <c r="C166" s="103"/>
      <c r="D166" s="2"/>
      <c r="E166" s="2"/>
      <c r="F166" s="2"/>
    </row>
    <row r="167" spans="1:6" ht="18.75" customHeight="1">
      <c r="A167" s="2"/>
      <c r="B167" s="2"/>
      <c r="C167" s="103"/>
      <c r="D167" s="2"/>
      <c r="E167" s="2"/>
      <c r="F167" s="2"/>
    </row>
    <row r="168" spans="1:6" ht="18.75" customHeight="1">
      <c r="A168" s="2"/>
      <c r="B168" s="2"/>
      <c r="C168" s="103"/>
      <c r="D168" s="2"/>
      <c r="E168" s="2"/>
      <c r="F168" s="2"/>
    </row>
    <row r="169" spans="1:6" ht="18.75" customHeight="1">
      <c r="A169" s="2"/>
      <c r="B169" s="2"/>
      <c r="C169" s="103"/>
      <c r="D169" s="2"/>
      <c r="E169" s="2"/>
      <c r="F169" s="2"/>
    </row>
    <row r="170" spans="1:6" ht="18.75" customHeight="1">
      <c r="A170" s="2"/>
      <c r="B170" s="2"/>
      <c r="C170" s="103"/>
      <c r="D170" s="2"/>
      <c r="E170" s="2"/>
      <c r="F170" s="2"/>
    </row>
    <row r="171" spans="1:6" ht="18.75" customHeight="1">
      <c r="A171" s="2"/>
      <c r="B171" s="2"/>
      <c r="C171" s="103"/>
      <c r="D171" s="2"/>
      <c r="E171" s="2"/>
      <c r="F171" s="2"/>
    </row>
    <row r="172" spans="1:6" ht="18.75" customHeight="1">
      <c r="A172" s="2"/>
      <c r="B172" s="2"/>
      <c r="C172" s="103"/>
      <c r="D172" s="2"/>
      <c r="E172" s="2"/>
      <c r="F172" s="2"/>
    </row>
    <row r="173" spans="1:6" ht="18.75" customHeight="1">
      <c r="A173" s="2"/>
      <c r="B173" s="2"/>
      <c r="C173" s="103"/>
      <c r="D173" s="2"/>
      <c r="E173" s="2"/>
      <c r="F173" s="2"/>
    </row>
    <row r="174" spans="1:6" ht="18.75" customHeight="1">
      <c r="A174" s="2"/>
      <c r="B174" s="2"/>
      <c r="C174" s="103"/>
      <c r="D174" s="2"/>
      <c r="E174" s="2"/>
      <c r="F174" s="2"/>
    </row>
    <row r="175" spans="1:6" ht="18.75" customHeight="1">
      <c r="A175" s="2"/>
      <c r="B175" s="2"/>
      <c r="C175" s="103"/>
      <c r="D175" s="2"/>
      <c r="E175" s="2"/>
      <c r="F175" s="2"/>
    </row>
    <row r="176" spans="1:6" ht="18.75" customHeight="1">
      <c r="A176" s="2"/>
      <c r="B176" s="2"/>
      <c r="C176" s="103"/>
      <c r="D176" s="2"/>
      <c r="E176" s="2"/>
      <c r="F176" s="2"/>
    </row>
    <row r="177" spans="1:6" ht="18.75" customHeight="1">
      <c r="A177" s="2"/>
      <c r="B177" s="2"/>
      <c r="C177" s="103"/>
      <c r="D177" s="2"/>
      <c r="E177" s="2"/>
      <c r="F177" s="2"/>
    </row>
    <row r="178" spans="1:6" ht="18.75" customHeight="1">
      <c r="A178" s="2"/>
      <c r="B178" s="2"/>
      <c r="C178" s="103"/>
      <c r="D178" s="2"/>
      <c r="E178" s="2"/>
      <c r="F178" s="2"/>
    </row>
    <row r="179" spans="1:6" ht="18.75" customHeight="1">
      <c r="A179" s="2"/>
      <c r="B179" s="2"/>
      <c r="C179" s="103"/>
      <c r="D179" s="2"/>
      <c r="E179" s="2"/>
      <c r="F179" s="2"/>
    </row>
    <row r="180" spans="1:6" ht="18.75" customHeight="1">
      <c r="A180" s="2"/>
      <c r="B180" s="2"/>
      <c r="C180" s="103"/>
      <c r="D180" s="2"/>
      <c r="E180" s="2"/>
      <c r="F180" s="2"/>
    </row>
    <row r="181" spans="1:6" ht="18.75" customHeight="1">
      <c r="A181" s="2"/>
      <c r="B181" s="2"/>
      <c r="C181" s="103"/>
      <c r="D181" s="2"/>
      <c r="E181" s="2"/>
      <c r="F181" s="2"/>
    </row>
    <row r="182" spans="1:6" ht="18.75" customHeight="1">
      <c r="A182" s="2"/>
      <c r="B182" s="2"/>
      <c r="C182" s="103"/>
      <c r="D182" s="2"/>
      <c r="E182" s="2"/>
      <c r="F182" s="2"/>
    </row>
    <row r="183" spans="1:6" ht="18.75" customHeight="1">
      <c r="A183" s="2"/>
      <c r="B183" s="2"/>
      <c r="C183" s="103"/>
      <c r="D183" s="2"/>
      <c r="E183" s="2"/>
      <c r="F183" s="2"/>
    </row>
    <row r="184" spans="1:6" ht="18.75" customHeight="1">
      <c r="A184" s="2"/>
      <c r="B184" s="2"/>
      <c r="C184" s="103"/>
      <c r="D184" s="2"/>
      <c r="E184" s="2"/>
      <c r="F184" s="2"/>
    </row>
    <row r="185" spans="1:6" ht="18.75" customHeight="1">
      <c r="A185" s="2"/>
      <c r="B185" s="2"/>
      <c r="C185" s="103"/>
      <c r="D185" s="2"/>
      <c r="E185" s="2"/>
      <c r="F185" s="2"/>
    </row>
    <row r="186" spans="1:6" ht="18.75" customHeight="1">
      <c r="A186" s="2"/>
      <c r="B186" s="2"/>
      <c r="C186" s="103"/>
      <c r="D186" s="2"/>
      <c r="E186" s="2"/>
      <c r="F186" s="2"/>
    </row>
    <row r="187" spans="1:6">
      <c r="A187" s="2"/>
      <c r="B187" s="2"/>
      <c r="C187" s="103"/>
      <c r="D187" s="2"/>
      <c r="E187" s="2"/>
      <c r="F187" s="2"/>
    </row>
    <row r="188" spans="1:6">
      <c r="A188" s="2"/>
      <c r="B188" s="2"/>
      <c r="C188" s="103"/>
      <c r="D188" s="2"/>
      <c r="E188" s="2"/>
      <c r="F188" s="2"/>
    </row>
    <row r="189" spans="1:6">
      <c r="A189" s="2"/>
      <c r="B189" s="2"/>
      <c r="C189" s="103"/>
      <c r="D189" s="2"/>
      <c r="E189" s="2"/>
      <c r="F189" s="2"/>
    </row>
    <row r="190" spans="1:6">
      <c r="A190" s="2"/>
      <c r="B190" s="2"/>
      <c r="C190" s="103"/>
      <c r="D190" s="2"/>
      <c r="E190" s="2"/>
      <c r="F190" s="2"/>
    </row>
  </sheetData>
  <sheetProtection selectLockedCells="1"/>
  <sortState ref="A3:F93">
    <sortCondition ref="A3:A93"/>
  </sortState>
  <dataValidations count="1">
    <dataValidation allowBlank="1" showDropDown="1" showInputMessage="1" showErrorMessage="1" sqref="E66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G40"/>
  <sheetViews>
    <sheetView workbookViewId="0">
      <selection activeCell="E24" sqref="E24"/>
    </sheetView>
  </sheetViews>
  <sheetFormatPr baseColWidth="10" defaultRowHeight="15"/>
  <cols>
    <col min="1" max="1" width="25.42578125" customWidth="1"/>
    <col min="2" max="2" width="21.85546875" customWidth="1"/>
    <col min="5" max="5" width="12.42578125" style="37" customWidth="1"/>
    <col min="6" max="6" width="14.7109375" customWidth="1"/>
  </cols>
  <sheetData>
    <row r="1" spans="1:7" s="7" customFormat="1" ht="18.75" customHeight="1">
      <c r="A1" s="14" t="s">
        <v>11</v>
      </c>
      <c r="B1" s="6" t="s">
        <v>12</v>
      </c>
      <c r="C1" s="6" t="s">
        <v>13</v>
      </c>
      <c r="D1" s="6" t="s">
        <v>14</v>
      </c>
      <c r="E1" s="121" t="s">
        <v>15</v>
      </c>
      <c r="F1" s="6" t="s">
        <v>9</v>
      </c>
    </row>
    <row r="2" spans="1:7" s="26" customFormat="1" ht="18.75" customHeight="1">
      <c r="A2" s="23"/>
      <c r="B2" s="24"/>
      <c r="C2" s="24"/>
      <c r="D2" s="24"/>
      <c r="E2" s="122"/>
      <c r="F2" s="24"/>
    </row>
    <row r="3" spans="1:7" ht="24" customHeight="1">
      <c r="A3" s="2" t="s">
        <v>116</v>
      </c>
      <c r="B3" s="2" t="s">
        <v>473</v>
      </c>
      <c r="C3" s="2"/>
      <c r="D3" s="2" t="s">
        <v>143</v>
      </c>
      <c r="E3" s="103" t="s">
        <v>433</v>
      </c>
      <c r="F3" s="2"/>
      <c r="G3" s="2" t="s">
        <v>151</v>
      </c>
    </row>
    <row r="4" spans="1:7" ht="24" customHeight="1">
      <c r="A4" s="2" t="s">
        <v>39</v>
      </c>
      <c r="B4" s="2" t="s">
        <v>341</v>
      </c>
      <c r="C4" s="2"/>
      <c r="D4" s="2" t="s">
        <v>143</v>
      </c>
      <c r="E4" s="103" t="s">
        <v>434</v>
      </c>
      <c r="F4" s="2"/>
      <c r="G4" s="2" t="s">
        <v>153</v>
      </c>
    </row>
    <row r="5" spans="1:7" ht="24" customHeight="1">
      <c r="A5" s="2" t="s">
        <v>47</v>
      </c>
      <c r="B5" s="2" t="s">
        <v>342</v>
      </c>
      <c r="C5" s="2"/>
      <c r="D5" s="2" t="s">
        <v>143</v>
      </c>
      <c r="E5" s="103" t="s">
        <v>432</v>
      </c>
      <c r="F5" s="2"/>
      <c r="G5" s="2" t="s">
        <v>150</v>
      </c>
    </row>
    <row r="6" spans="1:7" ht="24" customHeight="1">
      <c r="A6" s="2" t="s">
        <v>119</v>
      </c>
      <c r="B6" s="2" t="s">
        <v>338</v>
      </c>
      <c r="C6" s="2"/>
      <c r="D6" s="2" t="s">
        <v>143</v>
      </c>
      <c r="E6" s="103" t="s">
        <v>433</v>
      </c>
      <c r="F6" s="2"/>
      <c r="G6" s="2" t="s">
        <v>152</v>
      </c>
    </row>
    <row r="7" spans="1:7" ht="24" customHeight="1">
      <c r="A7" s="2" t="s">
        <v>165</v>
      </c>
      <c r="B7" s="2" t="s">
        <v>473</v>
      </c>
      <c r="C7" s="2"/>
      <c r="D7" s="2" t="s">
        <v>143</v>
      </c>
      <c r="E7" s="103"/>
      <c r="F7" s="2"/>
      <c r="G7" s="2"/>
    </row>
    <row r="8" spans="1:7" ht="24" customHeight="1">
      <c r="A8" s="2" t="s">
        <v>110</v>
      </c>
      <c r="B8" s="2" t="s">
        <v>341</v>
      </c>
      <c r="C8" s="2"/>
      <c r="D8" s="2" t="s">
        <v>143</v>
      </c>
      <c r="E8" s="103" t="s">
        <v>434</v>
      </c>
      <c r="F8" s="2"/>
      <c r="G8" s="2" t="s">
        <v>154</v>
      </c>
    </row>
    <row r="9" spans="1:7" ht="24" customHeight="1">
      <c r="A9" s="2" t="s">
        <v>451</v>
      </c>
      <c r="B9" s="2" t="s">
        <v>473</v>
      </c>
      <c r="C9" s="2"/>
      <c r="D9" s="2" t="s">
        <v>143</v>
      </c>
      <c r="E9" s="103"/>
      <c r="F9" s="2"/>
      <c r="G9" s="2" t="s">
        <v>155</v>
      </c>
    </row>
    <row r="10" spans="1:7" ht="24" customHeight="1">
      <c r="A10" s="2" t="s">
        <v>518</v>
      </c>
      <c r="B10" s="2" t="s">
        <v>519</v>
      </c>
      <c r="C10" s="2"/>
      <c r="D10" s="2" t="s">
        <v>143</v>
      </c>
      <c r="E10" s="103" t="s">
        <v>433</v>
      </c>
      <c r="F10" s="2"/>
      <c r="G10" s="2"/>
    </row>
    <row r="11" spans="1:7" ht="24" customHeight="1">
      <c r="A11" s="2" t="s">
        <v>117</v>
      </c>
      <c r="B11" s="2" t="s">
        <v>337</v>
      </c>
      <c r="C11" s="2"/>
      <c r="D11" s="2" t="s">
        <v>148</v>
      </c>
      <c r="E11" s="103" t="s">
        <v>433</v>
      </c>
      <c r="F11" s="2"/>
      <c r="G11" s="2" t="s">
        <v>156</v>
      </c>
    </row>
    <row r="12" spans="1:7" ht="24" customHeight="1">
      <c r="A12" s="2" t="s">
        <v>118</v>
      </c>
      <c r="B12" s="2" t="s">
        <v>343</v>
      </c>
      <c r="C12" s="2"/>
      <c r="D12" s="2" t="s">
        <v>148</v>
      </c>
      <c r="E12" s="103" t="s">
        <v>433</v>
      </c>
      <c r="F12" s="2"/>
      <c r="G12" s="2" t="s">
        <v>157</v>
      </c>
    </row>
    <row r="13" spans="1:7" ht="24" customHeight="1">
      <c r="A13" s="2" t="s">
        <v>166</v>
      </c>
      <c r="B13" s="2"/>
      <c r="C13" s="2"/>
      <c r="D13" s="2" t="s">
        <v>143</v>
      </c>
      <c r="E13" s="103" t="s">
        <v>433</v>
      </c>
      <c r="F13" s="2"/>
      <c r="G13" s="2" t="s">
        <v>158</v>
      </c>
    </row>
    <row r="14" spans="1:7" ht="24" customHeight="1">
      <c r="A14" s="293" t="s">
        <v>167</v>
      </c>
      <c r="B14" s="2"/>
      <c r="C14" s="2"/>
      <c r="D14" s="293" t="s">
        <v>143</v>
      </c>
      <c r="E14" s="103" t="s">
        <v>432</v>
      </c>
      <c r="F14" s="2"/>
      <c r="G14" s="2" t="s">
        <v>159</v>
      </c>
    </row>
    <row r="15" spans="1:7" ht="24" customHeight="1">
      <c r="A15" s="2" t="s">
        <v>452</v>
      </c>
      <c r="B15" s="2"/>
      <c r="C15" s="2"/>
      <c r="D15" s="2" t="s">
        <v>335</v>
      </c>
      <c r="E15" s="103"/>
      <c r="F15" s="2"/>
      <c r="G15" s="2" t="s">
        <v>160</v>
      </c>
    </row>
    <row r="16" spans="1:7" ht="18.75" customHeight="1">
      <c r="A16" s="2" t="s">
        <v>453</v>
      </c>
      <c r="B16" s="2" t="s">
        <v>473</v>
      </c>
      <c r="C16" s="2"/>
      <c r="D16" s="2" t="s">
        <v>143</v>
      </c>
      <c r="E16" s="103"/>
      <c r="F16" s="2"/>
    </row>
    <row r="17" spans="1:6" ht="24" customHeight="1">
      <c r="A17" s="2" t="s">
        <v>454</v>
      </c>
      <c r="B17" s="2" t="s">
        <v>473</v>
      </c>
      <c r="C17" s="2"/>
      <c r="D17" s="2" t="s">
        <v>143</v>
      </c>
      <c r="E17" s="103"/>
      <c r="F17" s="2"/>
    </row>
    <row r="18" spans="1:6" ht="24" customHeight="1">
      <c r="A18" s="2" t="s">
        <v>627</v>
      </c>
      <c r="B18" s="2" t="s">
        <v>473</v>
      </c>
      <c r="C18" s="2"/>
      <c r="D18" s="2" t="s">
        <v>143</v>
      </c>
      <c r="E18" s="103"/>
      <c r="F18" s="2"/>
    </row>
    <row r="19" spans="1:6" ht="24" customHeight="1">
      <c r="A19" s="2" t="s">
        <v>120</v>
      </c>
      <c r="B19" s="2" t="s">
        <v>339</v>
      </c>
      <c r="C19" s="2"/>
      <c r="D19" s="2" t="s">
        <v>149</v>
      </c>
      <c r="E19" s="103" t="s">
        <v>434</v>
      </c>
      <c r="F19" s="2"/>
    </row>
    <row r="20" spans="1:6" ht="24" customHeight="1">
      <c r="A20" s="2" t="s">
        <v>455</v>
      </c>
      <c r="B20" s="2"/>
      <c r="C20" s="2"/>
      <c r="D20" s="2" t="s">
        <v>143</v>
      </c>
      <c r="E20" s="103"/>
      <c r="F20" s="2"/>
    </row>
    <row r="21" spans="1:6" ht="24" customHeight="1">
      <c r="A21" s="2" t="s">
        <v>456</v>
      </c>
      <c r="B21" s="2" t="s">
        <v>473</v>
      </c>
      <c r="C21" s="2"/>
      <c r="D21" s="2" t="s">
        <v>143</v>
      </c>
      <c r="E21" s="103"/>
      <c r="F21" s="2"/>
    </row>
    <row r="22" spans="1:6" ht="24" customHeight="1">
      <c r="A22" s="2" t="s">
        <v>472</v>
      </c>
      <c r="B22" s="2" t="s">
        <v>729</v>
      </c>
      <c r="C22" s="2"/>
      <c r="D22" s="2" t="s">
        <v>149</v>
      </c>
      <c r="E22" s="103"/>
      <c r="F22" s="2"/>
    </row>
    <row r="23" spans="1:6" ht="18.75" customHeight="1">
      <c r="A23" s="293" t="s">
        <v>206</v>
      </c>
      <c r="B23" s="2" t="s">
        <v>517</v>
      </c>
      <c r="C23" s="2"/>
      <c r="D23" s="2" t="s">
        <v>173</v>
      </c>
      <c r="E23" s="2"/>
      <c r="F23" s="2"/>
    </row>
    <row r="24" spans="1:6" ht="18.75" customHeight="1">
      <c r="A24" s="293" t="s">
        <v>64</v>
      </c>
      <c r="B24" s="2" t="s">
        <v>65</v>
      </c>
      <c r="C24" s="2"/>
      <c r="D24" s="2" t="s">
        <v>143</v>
      </c>
      <c r="E24" s="103" t="s">
        <v>433</v>
      </c>
      <c r="F24" s="2"/>
    </row>
    <row r="25" spans="1:6" ht="24" customHeight="1">
      <c r="A25" s="2" t="s">
        <v>457</v>
      </c>
      <c r="B25" s="2" t="s">
        <v>473</v>
      </c>
      <c r="C25" s="2"/>
      <c r="D25" s="2" t="s">
        <v>335</v>
      </c>
      <c r="E25" s="103"/>
      <c r="F25" s="2"/>
    </row>
    <row r="26" spans="1:6" ht="24" customHeight="1">
      <c r="A26" s="2" t="s">
        <v>732</v>
      </c>
      <c r="B26" s="300" t="s">
        <v>728</v>
      </c>
      <c r="C26" s="2"/>
      <c r="D26" s="2" t="s">
        <v>149</v>
      </c>
      <c r="E26" s="103" t="s">
        <v>438</v>
      </c>
      <c r="F26" s="2"/>
    </row>
    <row r="27" spans="1:6" ht="24" customHeight="1">
      <c r="A27" s="2" t="s">
        <v>731</v>
      </c>
      <c r="B27" s="300" t="s">
        <v>728</v>
      </c>
      <c r="C27" s="2"/>
      <c r="D27" s="2"/>
      <c r="E27" s="103"/>
      <c r="F27" s="2"/>
    </row>
    <row r="28" spans="1:6" ht="24" customHeight="1">
      <c r="A28" s="2" t="s">
        <v>727</v>
      </c>
      <c r="B28" s="300" t="s">
        <v>728</v>
      </c>
      <c r="C28" s="2"/>
      <c r="D28" s="2" t="s">
        <v>149</v>
      </c>
      <c r="E28" s="103" t="s">
        <v>537</v>
      </c>
      <c r="F28" s="2"/>
    </row>
    <row r="29" spans="1:6" ht="24" customHeight="1">
      <c r="A29" s="13" t="s">
        <v>477</v>
      </c>
      <c r="B29" t="s">
        <v>478</v>
      </c>
      <c r="C29" s="2"/>
      <c r="D29" s="2" t="s">
        <v>149</v>
      </c>
      <c r="E29" s="103" t="s">
        <v>639</v>
      </c>
      <c r="F29" s="2"/>
    </row>
    <row r="30" spans="1:6" ht="24" customHeight="1">
      <c r="A30" s="16" t="s">
        <v>170</v>
      </c>
      <c r="B30" s="2" t="s">
        <v>394</v>
      </c>
      <c r="C30" s="2"/>
      <c r="D30" s="293" t="s">
        <v>143</v>
      </c>
      <c r="E30" s="103" t="s">
        <v>433</v>
      </c>
      <c r="F30" s="2"/>
    </row>
    <row r="31" spans="1:6" ht="24" customHeight="1">
      <c r="A31" s="16" t="s">
        <v>171</v>
      </c>
      <c r="B31" s="2" t="s">
        <v>473</v>
      </c>
      <c r="C31" s="2"/>
      <c r="D31" s="293" t="s">
        <v>143</v>
      </c>
      <c r="E31" s="103" t="s">
        <v>433</v>
      </c>
      <c r="F31" s="2"/>
    </row>
    <row r="32" spans="1:6" ht="24" customHeight="1">
      <c r="A32" s="16" t="s">
        <v>476</v>
      </c>
      <c r="B32" s="2" t="s">
        <v>730</v>
      </c>
      <c r="C32" s="2"/>
      <c r="D32" s="293" t="s">
        <v>143</v>
      </c>
      <c r="E32" s="103" t="s">
        <v>433</v>
      </c>
      <c r="F32" s="2"/>
    </row>
    <row r="33" spans="1:6" ht="24" customHeight="1">
      <c r="A33" s="16" t="s">
        <v>458</v>
      </c>
      <c r="B33" s="2" t="s">
        <v>473</v>
      </c>
      <c r="C33" s="2"/>
      <c r="D33" s="2" t="s">
        <v>143</v>
      </c>
      <c r="E33" s="103"/>
      <c r="F33" s="2"/>
    </row>
    <row r="34" spans="1:6" ht="24" customHeight="1">
      <c r="A34" s="16" t="s">
        <v>459</v>
      </c>
      <c r="B34" s="2" t="s">
        <v>473</v>
      </c>
      <c r="C34" s="2"/>
      <c r="D34" s="2" t="s">
        <v>143</v>
      </c>
      <c r="E34" s="103"/>
      <c r="F34" s="2"/>
    </row>
    <row r="35" spans="1:6" ht="24" customHeight="1">
      <c r="A35" s="16" t="s">
        <v>460</v>
      </c>
      <c r="B35" s="2" t="s">
        <v>473</v>
      </c>
      <c r="C35" s="2"/>
      <c r="D35" s="2" t="s">
        <v>143</v>
      </c>
      <c r="E35" s="103"/>
      <c r="F35" s="2"/>
    </row>
    <row r="36" spans="1:6" ht="24" customHeight="1">
      <c r="A36" s="16" t="s">
        <v>461</v>
      </c>
      <c r="B36" s="2" t="s">
        <v>473</v>
      </c>
      <c r="C36" s="2"/>
      <c r="D36" s="2" t="s">
        <v>143</v>
      </c>
      <c r="E36" s="103" t="s">
        <v>432</v>
      </c>
      <c r="F36" s="2"/>
    </row>
    <row r="37" spans="1:6" ht="24" customHeight="1">
      <c r="A37" s="16" t="s">
        <v>516</v>
      </c>
      <c r="B37" s="2" t="s">
        <v>474</v>
      </c>
      <c r="C37" s="2"/>
      <c r="D37" s="2" t="s">
        <v>143</v>
      </c>
      <c r="E37" s="103" t="s">
        <v>433</v>
      </c>
      <c r="F37" s="2"/>
    </row>
    <row r="38" spans="1:6" ht="24" customHeight="1">
      <c r="A38" s="16" t="s">
        <v>99</v>
      </c>
      <c r="B38" s="2" t="s">
        <v>340</v>
      </c>
      <c r="C38" s="2"/>
      <c r="D38" s="2" t="s">
        <v>149</v>
      </c>
      <c r="E38" s="103" t="s">
        <v>434</v>
      </c>
      <c r="F38" s="2"/>
    </row>
    <row r="39" spans="1:6" ht="24" customHeight="1" thickBot="1">
      <c r="A39" s="294" t="s">
        <v>163</v>
      </c>
      <c r="B39" s="21"/>
      <c r="C39" s="21"/>
      <c r="D39" s="21" t="s">
        <v>143</v>
      </c>
      <c r="E39" s="123" t="s">
        <v>434</v>
      </c>
      <c r="F39" s="21"/>
    </row>
    <row r="40" spans="1:6" ht="15.75" thickTop="1">
      <c r="A40" s="13"/>
      <c r="B40" s="13"/>
      <c r="C40" s="13"/>
      <c r="D40" s="13"/>
      <c r="E40" s="124"/>
      <c r="F40" s="13"/>
    </row>
  </sheetData>
  <sortState ref="A3:F29">
    <sortCondition ref="A3:A29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2"/>
  <dimension ref="A1:Z1048557"/>
  <sheetViews>
    <sheetView workbookViewId="0">
      <selection activeCell="O16" sqref="O16"/>
    </sheetView>
  </sheetViews>
  <sheetFormatPr baseColWidth="10" defaultRowHeight="15"/>
  <cols>
    <col min="1" max="1" width="4.5703125" style="37" customWidth="1"/>
    <col min="2" max="14" width="6.7109375" style="37" customWidth="1"/>
    <col min="16" max="16" width="4.85546875" customWidth="1"/>
    <col min="17" max="19" width="6.140625" customWidth="1"/>
    <col min="20" max="21" width="6.140625" style="37" customWidth="1"/>
    <col min="22" max="24" width="6.140625" customWidth="1"/>
    <col min="25" max="29" width="5.7109375" customWidth="1"/>
  </cols>
  <sheetData>
    <row r="1" spans="1:26" ht="21.75" thickBot="1">
      <c r="A1" s="59"/>
      <c r="B1" s="60" t="s">
        <v>241</v>
      </c>
      <c r="C1" s="61"/>
      <c r="Q1" s="62" t="s">
        <v>242</v>
      </c>
    </row>
    <row r="2" spans="1:26" ht="15.75" thickBot="1">
      <c r="B2" s="1339" t="s">
        <v>243</v>
      </c>
      <c r="C2" s="1339"/>
      <c r="D2" s="1339" t="s">
        <v>244</v>
      </c>
      <c r="E2" s="1339"/>
      <c r="F2" s="1339" t="s">
        <v>245</v>
      </c>
      <c r="G2" s="1339"/>
      <c r="H2" s="1339" t="s">
        <v>246</v>
      </c>
      <c r="I2" s="1339"/>
      <c r="J2" s="1339" t="s">
        <v>1</v>
      </c>
      <c r="K2" s="1339"/>
      <c r="L2" s="138"/>
      <c r="M2" s="138"/>
      <c r="N2" s="138"/>
      <c r="P2" s="37"/>
      <c r="Q2" s="1339" t="s">
        <v>243</v>
      </c>
      <c r="R2" s="1339"/>
      <c r="S2" s="1339" t="s">
        <v>244</v>
      </c>
      <c r="T2" s="1339"/>
      <c r="U2" s="1339" t="s">
        <v>245</v>
      </c>
      <c r="V2" s="1339"/>
      <c r="W2" s="1339" t="s">
        <v>246</v>
      </c>
      <c r="X2" s="1339"/>
      <c r="Y2" s="1339" t="s">
        <v>1</v>
      </c>
      <c r="Z2" s="1339"/>
    </row>
    <row r="3" spans="1:26">
      <c r="A3" s="63" t="s">
        <v>247</v>
      </c>
      <c r="B3" s="64">
        <v>50</v>
      </c>
      <c r="C3" s="65" t="s">
        <v>149</v>
      </c>
      <c r="D3" s="64">
        <v>10</v>
      </c>
      <c r="E3" s="65" t="s">
        <v>149</v>
      </c>
      <c r="F3" s="64">
        <v>1</v>
      </c>
      <c r="G3" s="65" t="s">
        <v>149</v>
      </c>
      <c r="H3" s="66">
        <v>0</v>
      </c>
      <c r="I3" s="65" t="s">
        <v>149</v>
      </c>
      <c r="J3" s="66"/>
      <c r="K3" s="65" t="s">
        <v>232</v>
      </c>
      <c r="L3" s="139"/>
      <c r="M3" s="139"/>
      <c r="N3" s="139"/>
      <c r="P3" s="63" t="s">
        <v>247</v>
      </c>
      <c r="Q3" s="64">
        <v>37.5</v>
      </c>
      <c r="R3" s="65" t="s">
        <v>149</v>
      </c>
      <c r="S3" s="64">
        <v>10</v>
      </c>
      <c r="T3" s="65" t="s">
        <v>149</v>
      </c>
      <c r="U3" s="64">
        <v>1</v>
      </c>
      <c r="V3" s="65" t="s">
        <v>149</v>
      </c>
      <c r="W3" s="64">
        <v>12.5</v>
      </c>
      <c r="X3" s="65" t="s">
        <v>149</v>
      </c>
      <c r="Y3" s="66"/>
      <c r="Z3" s="65" t="s">
        <v>232</v>
      </c>
    </row>
    <row r="4" spans="1:26">
      <c r="A4" s="63" t="s">
        <v>248</v>
      </c>
      <c r="B4" s="67">
        <v>70</v>
      </c>
      <c r="C4" s="68" t="s">
        <v>149</v>
      </c>
      <c r="D4" s="67">
        <v>5</v>
      </c>
      <c r="E4" s="68" t="s">
        <v>149</v>
      </c>
      <c r="F4" s="67">
        <v>1</v>
      </c>
      <c r="G4" s="68" t="s">
        <v>149</v>
      </c>
      <c r="H4" s="69">
        <v>0</v>
      </c>
      <c r="I4" s="68" t="s">
        <v>149</v>
      </c>
      <c r="J4" s="69"/>
      <c r="K4" s="68" t="s">
        <v>232</v>
      </c>
      <c r="L4" s="139"/>
      <c r="M4" s="139"/>
      <c r="N4" s="139"/>
      <c r="P4" s="63" t="s">
        <v>248</v>
      </c>
      <c r="Q4" s="67">
        <v>52.5</v>
      </c>
      <c r="R4" s="68" t="s">
        <v>149</v>
      </c>
      <c r="S4" s="67">
        <v>5</v>
      </c>
      <c r="T4" s="68" t="s">
        <v>149</v>
      </c>
      <c r="U4" s="67">
        <v>1</v>
      </c>
      <c r="V4" s="68" t="s">
        <v>149</v>
      </c>
      <c r="W4" s="67">
        <v>17.5</v>
      </c>
      <c r="X4" s="68" t="s">
        <v>149</v>
      </c>
      <c r="Y4" s="69"/>
      <c r="Z4" s="68" t="s">
        <v>232</v>
      </c>
    </row>
    <row r="5" spans="1:26">
      <c r="A5" s="63" t="s">
        <v>249</v>
      </c>
      <c r="B5" s="67">
        <v>90</v>
      </c>
      <c r="C5" s="68" t="s">
        <v>149</v>
      </c>
      <c r="D5" s="69">
        <v>0</v>
      </c>
      <c r="E5" s="68" t="s">
        <v>149</v>
      </c>
      <c r="F5" s="67">
        <v>1</v>
      </c>
      <c r="G5" s="68" t="s">
        <v>149</v>
      </c>
      <c r="H5" s="69">
        <v>0</v>
      </c>
      <c r="I5" s="68" t="s">
        <v>149</v>
      </c>
      <c r="J5" s="69"/>
      <c r="K5" s="68" t="s">
        <v>232</v>
      </c>
      <c r="L5" s="139"/>
      <c r="M5" s="139"/>
      <c r="N5" s="139"/>
      <c r="P5" s="63" t="s">
        <v>249</v>
      </c>
      <c r="Q5" s="67">
        <v>67.5</v>
      </c>
      <c r="R5" s="68" t="s">
        <v>149</v>
      </c>
      <c r="S5" s="69">
        <v>0</v>
      </c>
      <c r="T5" s="68" t="s">
        <v>149</v>
      </c>
      <c r="U5" s="67">
        <v>1</v>
      </c>
      <c r="V5" s="68" t="s">
        <v>149</v>
      </c>
      <c r="W5" s="67">
        <v>22.5</v>
      </c>
      <c r="X5" s="68" t="s">
        <v>149</v>
      </c>
      <c r="Y5" s="69"/>
      <c r="Z5" s="68" t="s">
        <v>232</v>
      </c>
    </row>
    <row r="6" spans="1:26">
      <c r="A6" s="63" t="s">
        <v>250</v>
      </c>
      <c r="B6" s="67">
        <v>100</v>
      </c>
      <c r="C6" s="68" t="s">
        <v>149</v>
      </c>
      <c r="D6" s="69">
        <v>0</v>
      </c>
      <c r="E6" s="68" t="s">
        <v>149</v>
      </c>
      <c r="F6" s="67">
        <v>1</v>
      </c>
      <c r="G6" s="68" t="s">
        <v>149</v>
      </c>
      <c r="H6" s="69">
        <v>0</v>
      </c>
      <c r="I6" s="68" t="s">
        <v>149</v>
      </c>
      <c r="J6" s="69"/>
      <c r="K6" s="68" t="s">
        <v>232</v>
      </c>
      <c r="L6" s="139"/>
      <c r="M6" s="139"/>
      <c r="N6" s="139"/>
      <c r="P6" s="63" t="s">
        <v>250</v>
      </c>
      <c r="Q6" s="67">
        <v>75</v>
      </c>
      <c r="R6" s="68" t="s">
        <v>149</v>
      </c>
      <c r="S6" s="69">
        <v>0</v>
      </c>
      <c r="T6" s="68" t="s">
        <v>149</v>
      </c>
      <c r="U6" s="67">
        <v>1</v>
      </c>
      <c r="V6" s="68" t="s">
        <v>149</v>
      </c>
      <c r="W6" s="67">
        <v>25</v>
      </c>
      <c r="X6" s="68" t="s">
        <v>149</v>
      </c>
      <c r="Y6" s="69"/>
      <c r="Z6" s="68" t="s">
        <v>232</v>
      </c>
    </row>
    <row r="7" spans="1:26">
      <c r="A7" s="63" t="s">
        <v>251</v>
      </c>
      <c r="B7" s="67">
        <v>110</v>
      </c>
      <c r="C7" s="68" t="s">
        <v>149</v>
      </c>
      <c r="D7" s="69">
        <v>0</v>
      </c>
      <c r="E7" s="68" t="s">
        <v>149</v>
      </c>
      <c r="F7" s="67">
        <v>1</v>
      </c>
      <c r="G7" s="68" t="s">
        <v>149</v>
      </c>
      <c r="H7" s="69">
        <v>0</v>
      </c>
      <c r="I7" s="68" t="s">
        <v>149</v>
      </c>
      <c r="J7" s="69"/>
      <c r="K7" s="68" t="s">
        <v>232</v>
      </c>
      <c r="L7" s="139"/>
      <c r="M7" s="139"/>
      <c r="N7" s="139"/>
      <c r="P7" s="63" t="s">
        <v>251</v>
      </c>
      <c r="Q7" s="67">
        <v>82.5</v>
      </c>
      <c r="R7" s="68" t="s">
        <v>149</v>
      </c>
      <c r="S7" s="69">
        <v>0</v>
      </c>
      <c r="T7" s="68" t="s">
        <v>149</v>
      </c>
      <c r="U7" s="67">
        <v>1</v>
      </c>
      <c r="V7" s="68" t="s">
        <v>149</v>
      </c>
      <c r="W7" s="67">
        <v>27.5</v>
      </c>
      <c r="X7" s="68" t="s">
        <v>149</v>
      </c>
      <c r="Y7" s="69"/>
      <c r="Z7" s="68" t="s">
        <v>232</v>
      </c>
    </row>
    <row r="8" spans="1:26" ht="15.75" thickBot="1">
      <c r="A8" s="70" t="s">
        <v>252</v>
      </c>
      <c r="B8" s="71">
        <v>110</v>
      </c>
      <c r="C8" s="72" t="s">
        <v>149</v>
      </c>
      <c r="D8" s="73">
        <v>0</v>
      </c>
      <c r="E8" s="72" t="s">
        <v>149</v>
      </c>
      <c r="F8" s="71">
        <v>1</v>
      </c>
      <c r="G8" s="72" t="s">
        <v>149</v>
      </c>
      <c r="H8" s="73">
        <v>0</v>
      </c>
      <c r="I8" s="72" t="s">
        <v>149</v>
      </c>
      <c r="J8" s="73"/>
      <c r="K8" s="72" t="s">
        <v>232</v>
      </c>
      <c r="L8" s="139"/>
      <c r="M8" s="139"/>
      <c r="N8" s="139"/>
      <c r="P8" s="70" t="s">
        <v>252</v>
      </c>
      <c r="Q8" s="71">
        <v>82.5</v>
      </c>
      <c r="R8" s="72" t="s">
        <v>149</v>
      </c>
      <c r="S8" s="73">
        <v>0</v>
      </c>
      <c r="T8" s="72" t="s">
        <v>149</v>
      </c>
      <c r="U8" s="71">
        <v>1</v>
      </c>
      <c r="V8" s="72" t="s">
        <v>149</v>
      </c>
      <c r="W8" s="71">
        <v>27.5</v>
      </c>
      <c r="X8" s="72" t="s">
        <v>149</v>
      </c>
      <c r="Y8" s="73"/>
      <c r="Z8" s="72" t="s">
        <v>232</v>
      </c>
    </row>
    <row r="9" spans="1:26" ht="15.75" thickBot="1">
      <c r="C9" s="7"/>
      <c r="O9" t="s">
        <v>554</v>
      </c>
      <c r="T9"/>
      <c r="U9"/>
    </row>
    <row r="10" spans="1:26" ht="16.5" thickBot="1">
      <c r="B10" s="1336" t="s">
        <v>253</v>
      </c>
      <c r="C10" s="1337"/>
      <c r="D10" s="74" t="s">
        <v>254</v>
      </c>
      <c r="E10" s="1337" t="s">
        <v>255</v>
      </c>
      <c r="F10" s="1338"/>
      <c r="G10" s="1336" t="s">
        <v>1</v>
      </c>
      <c r="H10" s="1338"/>
      <c r="I10" s="75"/>
      <c r="J10" s="75"/>
      <c r="K10" s="75"/>
      <c r="L10" s="75"/>
      <c r="M10" s="75"/>
      <c r="N10" s="75"/>
      <c r="O10" t="s">
        <v>555</v>
      </c>
      <c r="R10" s="91"/>
      <c r="S10" s="91"/>
      <c r="T10"/>
      <c r="U10"/>
    </row>
    <row r="11" spans="1:26">
      <c r="A11" s="63" t="s">
        <v>247</v>
      </c>
      <c r="B11" s="76">
        <v>5</v>
      </c>
      <c r="C11" s="77" t="s">
        <v>149</v>
      </c>
      <c r="D11" s="78" t="s">
        <v>254</v>
      </c>
      <c r="E11" s="79">
        <v>4</v>
      </c>
      <c r="F11" s="80" t="s">
        <v>149</v>
      </c>
      <c r="G11" s="76"/>
      <c r="H11" s="80" t="s">
        <v>232</v>
      </c>
      <c r="I11" s="81"/>
      <c r="J11" s="81"/>
      <c r="K11" s="81"/>
      <c r="L11" s="81"/>
      <c r="M11" s="81"/>
      <c r="N11" s="81"/>
      <c r="O11" t="s">
        <v>556</v>
      </c>
      <c r="Q11" s="91"/>
      <c r="R11" s="91"/>
      <c r="S11" s="91"/>
      <c r="W11" s="82"/>
    </row>
    <row r="12" spans="1:26">
      <c r="A12" s="63" t="s">
        <v>248</v>
      </c>
      <c r="B12" s="67">
        <v>7.5</v>
      </c>
      <c r="C12" s="83" t="s">
        <v>149</v>
      </c>
      <c r="D12" s="84" t="s">
        <v>254</v>
      </c>
      <c r="E12" s="85">
        <v>4</v>
      </c>
      <c r="F12" s="68" t="s">
        <v>149</v>
      </c>
      <c r="G12" s="67"/>
      <c r="H12" s="68" t="s">
        <v>232</v>
      </c>
      <c r="I12" s="81"/>
      <c r="J12" s="81"/>
      <c r="K12" s="81"/>
      <c r="L12" s="81"/>
      <c r="M12" s="81"/>
      <c r="N12" s="81"/>
      <c r="O12" t="s">
        <v>557</v>
      </c>
      <c r="Q12" s="91"/>
      <c r="R12" s="91"/>
      <c r="S12" s="91"/>
      <c r="T12"/>
      <c r="U12"/>
      <c r="W12" s="82"/>
    </row>
    <row r="13" spans="1:26">
      <c r="A13" s="63" t="s">
        <v>249</v>
      </c>
      <c r="B13" s="67">
        <v>10</v>
      </c>
      <c r="C13" s="83" t="s">
        <v>149</v>
      </c>
      <c r="D13" s="84" t="s">
        <v>254</v>
      </c>
      <c r="E13" s="85">
        <v>4</v>
      </c>
      <c r="F13" s="68" t="s">
        <v>149</v>
      </c>
      <c r="G13" s="67"/>
      <c r="H13" s="68" t="s">
        <v>232</v>
      </c>
      <c r="I13" s="81"/>
      <c r="J13" s="81"/>
      <c r="K13" s="81"/>
      <c r="L13" s="81"/>
      <c r="M13" s="81"/>
      <c r="N13" s="81"/>
      <c r="O13" t="s">
        <v>643</v>
      </c>
      <c r="Q13" s="91"/>
      <c r="T13"/>
      <c r="U13"/>
      <c r="W13" s="82"/>
    </row>
    <row r="14" spans="1:26">
      <c r="A14" s="63" t="s">
        <v>250</v>
      </c>
      <c r="B14" s="67">
        <v>12.5</v>
      </c>
      <c r="C14" s="83" t="s">
        <v>149</v>
      </c>
      <c r="D14" s="84" t="s">
        <v>254</v>
      </c>
      <c r="E14" s="85">
        <v>4</v>
      </c>
      <c r="F14" s="68" t="s">
        <v>149</v>
      </c>
      <c r="G14" s="67"/>
      <c r="H14" s="68" t="s">
        <v>232</v>
      </c>
      <c r="I14" s="81"/>
      <c r="J14" s="81"/>
      <c r="K14" s="81"/>
      <c r="L14" s="81"/>
      <c r="M14" s="81"/>
      <c r="N14" s="81"/>
      <c r="O14" t="s">
        <v>644</v>
      </c>
      <c r="W14" s="82"/>
    </row>
    <row r="15" spans="1:26">
      <c r="A15" s="63" t="s">
        <v>251</v>
      </c>
      <c r="B15" s="67">
        <v>15</v>
      </c>
      <c r="C15" s="83" t="s">
        <v>149</v>
      </c>
      <c r="D15" s="84" t="s">
        <v>254</v>
      </c>
      <c r="E15" s="85">
        <v>4</v>
      </c>
      <c r="F15" s="68" t="s">
        <v>149</v>
      </c>
      <c r="G15" s="67"/>
      <c r="H15" s="68" t="s">
        <v>232</v>
      </c>
      <c r="I15" s="81"/>
      <c r="J15" s="81"/>
      <c r="K15" s="81"/>
      <c r="L15" s="81"/>
      <c r="M15" s="81"/>
      <c r="N15" s="81"/>
      <c r="O15" t="s">
        <v>648</v>
      </c>
      <c r="T15"/>
      <c r="U15"/>
      <c r="W15" s="82"/>
    </row>
    <row r="16" spans="1:26" ht="15.75" thickBot="1">
      <c r="A16" s="70" t="s">
        <v>252</v>
      </c>
      <c r="B16" s="71">
        <v>15</v>
      </c>
      <c r="C16" s="86" t="s">
        <v>149</v>
      </c>
      <c r="D16" s="87" t="s">
        <v>254</v>
      </c>
      <c r="E16" s="88">
        <v>4</v>
      </c>
      <c r="F16" s="72" t="s">
        <v>149</v>
      </c>
      <c r="G16" s="71"/>
      <c r="H16" s="72" t="s">
        <v>232</v>
      </c>
      <c r="I16" s="81"/>
      <c r="J16" s="81"/>
      <c r="K16" s="81"/>
      <c r="L16" s="81"/>
      <c r="M16" s="81"/>
      <c r="N16" s="81"/>
      <c r="O16" t="s">
        <v>645</v>
      </c>
      <c r="Q16" s="91"/>
      <c r="T16"/>
      <c r="U16"/>
      <c r="W16" s="82"/>
    </row>
    <row r="17" spans="1:21">
      <c r="O17" t="s">
        <v>646</v>
      </c>
      <c r="Q17" s="82"/>
      <c r="T17"/>
      <c r="U17"/>
    </row>
    <row r="18" spans="1:21" ht="15.75" thickBot="1">
      <c r="O18" t="s">
        <v>647</v>
      </c>
      <c r="Q18" s="82"/>
      <c r="T18"/>
      <c r="U18"/>
    </row>
    <row r="19" spans="1:21" ht="15.75" thickBot="1">
      <c r="A19" s="1329" t="s">
        <v>256</v>
      </c>
      <c r="B19" s="1329"/>
      <c r="C19" s="1329"/>
      <c r="D19" s="1333" t="s">
        <v>12</v>
      </c>
      <c r="E19" s="1334"/>
      <c r="F19" s="1335"/>
      <c r="G19" s="96" t="s">
        <v>192</v>
      </c>
      <c r="H19" s="98"/>
      <c r="I19" s="1329" t="s">
        <v>9</v>
      </c>
      <c r="J19" s="1329"/>
      <c r="K19" s="1329"/>
      <c r="L19" s="1329"/>
      <c r="M19" s="1329"/>
      <c r="N19" s="1329"/>
      <c r="T19"/>
      <c r="U19"/>
    </row>
    <row r="20" spans="1:21" ht="15.75" thickBot="1">
      <c r="A20" s="144"/>
      <c r="B20" s="144"/>
      <c r="C20" s="144"/>
      <c r="D20" s="145"/>
      <c r="E20" s="145"/>
      <c r="F20" s="145"/>
      <c r="G20" s="146"/>
      <c r="H20" s="146"/>
      <c r="I20" s="144"/>
      <c r="J20" s="144"/>
      <c r="K20" s="144"/>
      <c r="L20" s="144"/>
      <c r="M20" s="144"/>
      <c r="N20" s="144"/>
      <c r="T20"/>
      <c r="U20"/>
    </row>
    <row r="21" spans="1:21" s="10" customFormat="1">
      <c r="A21" s="147" t="s">
        <v>620</v>
      </c>
      <c r="B21" s="95"/>
      <c r="C21" s="95"/>
      <c r="D21" s="1326" t="s">
        <v>293</v>
      </c>
      <c r="E21" s="1327"/>
      <c r="F21" s="1328"/>
      <c r="G21" s="75"/>
      <c r="H21" s="142" t="s">
        <v>149</v>
      </c>
      <c r="I21" s="1330" t="s">
        <v>576</v>
      </c>
      <c r="J21" s="1331"/>
      <c r="K21" s="1331"/>
      <c r="L21" s="1331"/>
      <c r="M21" s="1331"/>
      <c r="N21" s="1332"/>
      <c r="Q21" s="82"/>
    </row>
    <row r="22" spans="1:21">
      <c r="A22" s="92" t="s">
        <v>257</v>
      </c>
      <c r="B22" s="93"/>
      <c r="C22" s="94"/>
      <c r="D22" s="1326" t="s">
        <v>579</v>
      </c>
      <c r="E22" s="1327"/>
      <c r="F22" s="1328"/>
      <c r="G22" s="89"/>
      <c r="H22" s="90" t="s">
        <v>149</v>
      </c>
      <c r="I22" s="1330" t="s">
        <v>576</v>
      </c>
      <c r="J22" s="1331"/>
      <c r="K22" s="1331"/>
      <c r="L22" s="1331"/>
      <c r="M22" s="1331"/>
      <c r="N22" s="1332"/>
      <c r="Q22" s="82"/>
      <c r="T22"/>
      <c r="U22"/>
    </row>
    <row r="23" spans="1:21">
      <c r="A23" s="92" t="s">
        <v>258</v>
      </c>
      <c r="B23" s="93"/>
      <c r="C23" s="94"/>
      <c r="D23" s="1326" t="s">
        <v>580</v>
      </c>
      <c r="E23" s="1327"/>
      <c r="F23" s="1328"/>
      <c r="G23" s="89"/>
      <c r="H23" s="90" t="s">
        <v>149</v>
      </c>
      <c r="I23" s="1330" t="s">
        <v>576</v>
      </c>
      <c r="J23" s="1331"/>
      <c r="K23" s="1331"/>
      <c r="L23" s="1331"/>
      <c r="M23" s="1331"/>
      <c r="N23" s="1332"/>
      <c r="Q23" s="82"/>
    </row>
    <row r="24" spans="1:21">
      <c r="A24" s="92" t="s">
        <v>259</v>
      </c>
      <c r="B24" s="93"/>
      <c r="C24" s="94"/>
      <c r="D24" s="1326" t="s">
        <v>580</v>
      </c>
      <c r="E24" s="1327"/>
      <c r="F24" s="1328"/>
      <c r="G24" s="89"/>
      <c r="H24" s="90" t="s">
        <v>149</v>
      </c>
      <c r="I24" s="1330" t="s">
        <v>576</v>
      </c>
      <c r="J24" s="1331"/>
      <c r="K24" s="1331"/>
      <c r="L24" s="1331"/>
      <c r="M24" s="1331"/>
      <c r="N24" s="1332"/>
    </row>
    <row r="25" spans="1:21" ht="15.75" thickBot="1">
      <c r="A25" s="7"/>
    </row>
    <row r="26" spans="1:21" ht="15.75" thickBot="1">
      <c r="A26" s="96" t="s">
        <v>260</v>
      </c>
      <c r="B26" s="97"/>
      <c r="C26" s="98"/>
      <c r="D26" s="1333"/>
      <c r="E26" s="1334"/>
      <c r="F26" s="1335"/>
      <c r="G26" s="137" t="s">
        <v>13</v>
      </c>
      <c r="H26" s="98"/>
      <c r="I26" s="96" t="s">
        <v>9</v>
      </c>
      <c r="J26" s="97"/>
      <c r="K26" s="97"/>
      <c r="L26" s="97"/>
      <c r="M26" s="97"/>
      <c r="N26" s="98"/>
      <c r="T26"/>
      <c r="U26"/>
    </row>
    <row r="27" spans="1:21" s="102" customFormat="1">
      <c r="A27" s="99"/>
      <c r="B27" s="95"/>
      <c r="C27" s="95"/>
      <c r="D27" s="1350"/>
      <c r="E27" s="1350"/>
      <c r="F27" s="1350"/>
      <c r="G27" s="95"/>
      <c r="H27" s="95"/>
      <c r="I27" s="95"/>
      <c r="J27" s="95"/>
      <c r="K27" s="95"/>
      <c r="L27" s="95"/>
      <c r="M27" s="95"/>
      <c r="N27" s="95"/>
    </row>
    <row r="28" spans="1:21">
      <c r="A28" s="100" t="s">
        <v>261</v>
      </c>
      <c r="B28" s="101"/>
      <c r="C28" s="101"/>
      <c r="D28" s="1347" t="s">
        <v>581</v>
      </c>
      <c r="E28" s="1348"/>
      <c r="F28" s="1349"/>
      <c r="G28" s="153">
        <v>1</v>
      </c>
      <c r="H28" s="149" t="s">
        <v>149</v>
      </c>
      <c r="I28" s="1341" t="s">
        <v>541</v>
      </c>
      <c r="J28" s="1342"/>
      <c r="K28" s="1342"/>
      <c r="L28" s="1342"/>
      <c r="M28" s="1342"/>
      <c r="N28" s="1343"/>
    </row>
    <row r="29" spans="1:21">
      <c r="A29" s="150" t="s">
        <v>262</v>
      </c>
      <c r="B29" s="93"/>
      <c r="C29" s="93"/>
      <c r="D29" s="1345" t="s">
        <v>582</v>
      </c>
      <c r="E29" s="1327"/>
      <c r="F29" s="1346"/>
      <c r="G29" s="154">
        <v>25</v>
      </c>
      <c r="H29" s="151" t="s">
        <v>143</v>
      </c>
      <c r="I29" s="1340" t="s">
        <v>542</v>
      </c>
      <c r="J29" s="1331"/>
      <c r="K29" s="1331"/>
      <c r="L29" s="1331"/>
      <c r="M29" s="1331"/>
      <c r="N29" s="1344"/>
    </row>
    <row r="30" spans="1:21">
      <c r="A30" s="148" t="s">
        <v>405</v>
      </c>
      <c r="B30" s="152"/>
      <c r="C30" s="152"/>
      <c r="D30" s="1345" t="s">
        <v>583</v>
      </c>
      <c r="E30" s="1327"/>
      <c r="F30" s="1346"/>
      <c r="G30" s="154">
        <v>1</v>
      </c>
      <c r="H30" s="151" t="s">
        <v>149</v>
      </c>
      <c r="I30" s="1340" t="s">
        <v>407</v>
      </c>
      <c r="J30" s="1331"/>
      <c r="K30" s="1331"/>
      <c r="L30" s="1331"/>
      <c r="M30" s="1331"/>
      <c r="N30" s="1331"/>
      <c r="Q30" s="2"/>
      <c r="R30" s="2"/>
    </row>
    <row r="31" spans="1:21">
      <c r="Q31" s="2"/>
      <c r="R31" s="2"/>
    </row>
    <row r="32" spans="1:21">
      <c r="Q32" s="2"/>
      <c r="R32" s="2"/>
    </row>
    <row r="33" spans="17:18">
      <c r="Q33" s="2"/>
      <c r="R33" s="2"/>
    </row>
    <row r="34" spans="17:18">
      <c r="Q34" s="2"/>
      <c r="R34" s="2"/>
    </row>
    <row r="35" spans="17:18">
      <c r="Q35" s="2"/>
      <c r="R35" s="2"/>
    </row>
    <row r="36" spans="17:18">
      <c r="Q36" s="2"/>
      <c r="R36" s="2"/>
    </row>
    <row r="37" spans="17:18">
      <c r="Q37" s="2"/>
      <c r="R37" s="2"/>
    </row>
    <row r="38" spans="17:18">
      <c r="Q38" s="2"/>
      <c r="R38" s="2"/>
    </row>
    <row r="39" spans="17:18">
      <c r="Q39" s="2"/>
      <c r="R39" s="2"/>
    </row>
    <row r="40" spans="17:18">
      <c r="Q40" s="2"/>
      <c r="R40" s="2"/>
    </row>
    <row r="41" spans="17:18">
      <c r="Q41" s="2"/>
      <c r="R41" s="2"/>
    </row>
    <row r="42" spans="17:18">
      <c r="Q42" s="2"/>
      <c r="R42" s="2"/>
    </row>
    <row r="43" spans="17:18">
      <c r="Q43" s="2"/>
      <c r="R43" s="2"/>
    </row>
    <row r="44" spans="17:18">
      <c r="Q44" s="2"/>
      <c r="R44" s="2"/>
    </row>
    <row r="1048557" spans="1:1">
      <c r="A1048557" s="37" t="s">
        <v>263</v>
      </c>
    </row>
  </sheetData>
  <mergeCells count="32">
    <mergeCell ref="I30:N30"/>
    <mergeCell ref="I28:N28"/>
    <mergeCell ref="I29:N29"/>
    <mergeCell ref="D30:F30"/>
    <mergeCell ref="Y2:Z2"/>
    <mergeCell ref="J2:K2"/>
    <mergeCell ref="Q2:R2"/>
    <mergeCell ref="W2:X2"/>
    <mergeCell ref="I24:N24"/>
    <mergeCell ref="I22:N22"/>
    <mergeCell ref="S2:T2"/>
    <mergeCell ref="U2:V2"/>
    <mergeCell ref="D29:F29"/>
    <mergeCell ref="D28:F28"/>
    <mergeCell ref="D27:F27"/>
    <mergeCell ref="D26:F26"/>
    <mergeCell ref="B10:C10"/>
    <mergeCell ref="E10:F10"/>
    <mergeCell ref="G10:H10"/>
    <mergeCell ref="B2:C2"/>
    <mergeCell ref="D2:E2"/>
    <mergeCell ref="F2:G2"/>
    <mergeCell ref="H2:I2"/>
    <mergeCell ref="D24:F24"/>
    <mergeCell ref="A19:C19"/>
    <mergeCell ref="I19:N19"/>
    <mergeCell ref="I23:N23"/>
    <mergeCell ref="D19:F19"/>
    <mergeCell ref="D22:F22"/>
    <mergeCell ref="D23:F23"/>
    <mergeCell ref="D21:F21"/>
    <mergeCell ref="I21:N2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/>
  <dimension ref="A1:D23"/>
  <sheetViews>
    <sheetView workbookViewId="0">
      <selection activeCell="A17" sqref="A17:A19"/>
    </sheetView>
  </sheetViews>
  <sheetFormatPr baseColWidth="10" defaultRowHeight="15"/>
  <cols>
    <col min="1" max="1" width="48.140625" customWidth="1"/>
    <col min="2" max="2" width="24.5703125" customWidth="1"/>
    <col min="3" max="3" width="10.7109375" customWidth="1"/>
    <col min="4" max="4" width="33.5703125" customWidth="1"/>
  </cols>
  <sheetData>
    <row r="1" spans="1:4" s="4" customFormat="1" ht="19.5" customHeight="1">
      <c r="A1" s="27" t="s">
        <v>146</v>
      </c>
      <c r="B1" s="5" t="s">
        <v>114</v>
      </c>
      <c r="C1" s="5" t="s">
        <v>1</v>
      </c>
      <c r="D1" s="28" t="s">
        <v>192</v>
      </c>
    </row>
    <row r="2" spans="1:4" s="12" customFormat="1" ht="19.5" customHeight="1">
      <c r="A2" s="29"/>
      <c r="B2" s="11"/>
      <c r="C2" s="11"/>
      <c r="D2" s="30"/>
    </row>
    <row r="3" spans="1:4" ht="20.25" customHeight="1">
      <c r="A3" s="16" t="s">
        <v>195</v>
      </c>
      <c r="B3" s="2" t="s">
        <v>200</v>
      </c>
      <c r="C3" s="2" t="s">
        <v>193</v>
      </c>
      <c r="D3" s="17" t="s">
        <v>149</v>
      </c>
    </row>
    <row r="4" spans="1:4" ht="20.25" customHeight="1">
      <c r="A4" s="16" t="s">
        <v>217</v>
      </c>
      <c r="B4" s="2" t="s">
        <v>197</v>
      </c>
      <c r="C4" s="2"/>
      <c r="D4" s="17" t="s">
        <v>149</v>
      </c>
    </row>
    <row r="5" spans="1:4" ht="20.25" customHeight="1">
      <c r="A5" s="16" t="s">
        <v>115</v>
      </c>
      <c r="B5" s="2" t="s">
        <v>198</v>
      </c>
      <c r="C5" s="2" t="s">
        <v>193</v>
      </c>
      <c r="D5" s="17" t="s">
        <v>149</v>
      </c>
    </row>
    <row r="6" spans="1:4" ht="20.25" customHeight="1">
      <c r="A6" s="16" t="s">
        <v>199</v>
      </c>
      <c r="B6" s="2" t="s">
        <v>201</v>
      </c>
      <c r="C6" s="2" t="s">
        <v>193</v>
      </c>
      <c r="D6" s="17" t="s">
        <v>149</v>
      </c>
    </row>
    <row r="7" spans="1:4" ht="20.25" customHeight="1">
      <c r="A7" s="16" t="s">
        <v>111</v>
      </c>
      <c r="B7" s="2" t="s">
        <v>203</v>
      </c>
      <c r="C7" s="2" t="s">
        <v>193</v>
      </c>
      <c r="D7" s="17" t="s">
        <v>149</v>
      </c>
    </row>
    <row r="8" spans="1:4" ht="20.25" customHeight="1">
      <c r="A8" s="16" t="s">
        <v>210</v>
      </c>
      <c r="B8" s="2" t="s">
        <v>213</v>
      </c>
      <c r="C8" s="2" t="s">
        <v>193</v>
      </c>
      <c r="D8" s="17" t="s">
        <v>149</v>
      </c>
    </row>
    <row r="9" spans="1:4" ht="20.25" customHeight="1">
      <c r="A9" s="16" t="s">
        <v>112</v>
      </c>
      <c r="B9" s="2" t="s">
        <v>202</v>
      </c>
      <c r="C9" s="2" t="s">
        <v>193</v>
      </c>
      <c r="D9" s="17" t="s">
        <v>149</v>
      </c>
    </row>
    <row r="10" spans="1:4" ht="20.25" customHeight="1">
      <c r="A10" s="16" t="s">
        <v>211</v>
      </c>
      <c r="B10" s="2" t="s">
        <v>212</v>
      </c>
      <c r="C10" s="2"/>
      <c r="D10" s="17" t="s">
        <v>149</v>
      </c>
    </row>
    <row r="11" spans="1:4" ht="20.25" customHeight="1">
      <c r="A11" s="16" t="s">
        <v>221</v>
      </c>
      <c r="B11" s="2" t="s">
        <v>224</v>
      </c>
      <c r="C11" s="2"/>
      <c r="D11" s="17" t="s">
        <v>149</v>
      </c>
    </row>
    <row r="12" spans="1:4" ht="20.25" customHeight="1">
      <c r="A12" s="16" t="s">
        <v>222</v>
      </c>
      <c r="B12" s="2" t="s">
        <v>224</v>
      </c>
      <c r="C12" s="2"/>
      <c r="D12" s="17" t="s">
        <v>149</v>
      </c>
    </row>
    <row r="13" spans="1:4" ht="20.25" customHeight="1">
      <c r="A13" s="16" t="s">
        <v>206</v>
      </c>
      <c r="B13" s="2" t="s">
        <v>225</v>
      </c>
      <c r="C13" s="2"/>
      <c r="D13" s="17" t="s">
        <v>149</v>
      </c>
    </row>
    <row r="14" spans="1:4" ht="20.25" customHeight="1">
      <c r="A14" s="16" t="s">
        <v>218</v>
      </c>
      <c r="B14" s="2" t="s">
        <v>219</v>
      </c>
      <c r="C14" s="2"/>
      <c r="D14" s="17" t="s">
        <v>149</v>
      </c>
    </row>
    <row r="15" spans="1:4" ht="20.25" customHeight="1">
      <c r="A15" s="16" t="s">
        <v>238</v>
      </c>
      <c r="B15" s="2" t="s">
        <v>202</v>
      </c>
      <c r="C15" s="2" t="s">
        <v>193</v>
      </c>
      <c r="D15" s="17" t="s">
        <v>149</v>
      </c>
    </row>
    <row r="16" spans="1:4" ht="20.25" customHeight="1">
      <c r="A16" s="16" t="s">
        <v>207</v>
      </c>
      <c r="B16" s="2" t="s">
        <v>208</v>
      </c>
      <c r="C16" s="2"/>
      <c r="D16" s="17" t="s">
        <v>149</v>
      </c>
    </row>
    <row r="17" spans="1:4" ht="20.25" customHeight="1">
      <c r="A17" s="16" t="s">
        <v>228</v>
      </c>
      <c r="B17" s="2" t="s">
        <v>227</v>
      </c>
      <c r="C17" s="2" t="s">
        <v>193</v>
      </c>
      <c r="D17" s="17" t="s">
        <v>149</v>
      </c>
    </row>
    <row r="18" spans="1:4" ht="20.25" customHeight="1">
      <c r="A18" s="16" t="s">
        <v>230</v>
      </c>
      <c r="B18" s="2" t="s">
        <v>229</v>
      </c>
      <c r="C18" s="2" t="s">
        <v>193</v>
      </c>
      <c r="D18" s="17" t="s">
        <v>149</v>
      </c>
    </row>
    <row r="19" spans="1:4" ht="20.25" customHeight="1">
      <c r="A19" s="16" t="s">
        <v>205</v>
      </c>
      <c r="B19" s="2" t="s">
        <v>197</v>
      </c>
      <c r="C19" s="2" t="s">
        <v>193</v>
      </c>
      <c r="D19" s="17" t="s">
        <v>149</v>
      </c>
    </row>
    <row r="20" spans="1:4" ht="20.25" customHeight="1">
      <c r="A20" s="16" t="s">
        <v>196</v>
      </c>
      <c r="B20" s="2" t="s">
        <v>197</v>
      </c>
      <c r="C20" s="2" t="s">
        <v>193</v>
      </c>
      <c r="D20" s="17" t="s">
        <v>149</v>
      </c>
    </row>
    <row r="21" spans="1:4" ht="20.25" customHeight="1">
      <c r="A21" s="16" t="s">
        <v>214</v>
      </c>
      <c r="B21" s="2" t="s">
        <v>208</v>
      </c>
      <c r="C21" s="2" t="s">
        <v>193</v>
      </c>
      <c r="D21" s="17" t="s">
        <v>149</v>
      </c>
    </row>
    <row r="22" spans="1:4" ht="20.25" customHeight="1" thickBot="1">
      <c r="A22" s="20"/>
      <c r="B22" s="21"/>
      <c r="C22" s="21"/>
      <c r="D22" s="17" t="s">
        <v>149</v>
      </c>
    </row>
    <row r="23" spans="1:4" ht="15.75" thickTop="1"/>
  </sheetData>
  <sortState ref="A3:C26">
    <sortCondition ref="A3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3"/>
  <dimension ref="A1:C58"/>
  <sheetViews>
    <sheetView workbookViewId="0">
      <selection activeCell="A11" sqref="A11"/>
    </sheetView>
  </sheetViews>
  <sheetFormatPr baseColWidth="10" defaultRowHeight="15"/>
  <cols>
    <col min="1" max="1" width="27.5703125" customWidth="1"/>
    <col min="2" max="2" width="16.140625" customWidth="1"/>
    <col min="3" max="3" width="23.7109375" customWidth="1"/>
  </cols>
  <sheetData>
    <row r="1" spans="1:3" ht="18.75">
      <c r="A1" s="6" t="s">
        <v>3</v>
      </c>
      <c r="B1" s="6" t="s">
        <v>12</v>
      </c>
      <c r="C1" s="6" t="s">
        <v>9</v>
      </c>
    </row>
    <row r="2" spans="1:3" ht="18.75">
      <c r="A2" s="24"/>
      <c r="B2" s="24"/>
      <c r="C2" s="2"/>
    </row>
    <row r="3" spans="1:3">
      <c r="A3" s="2" t="s">
        <v>246</v>
      </c>
      <c r="B3" s="2" t="s">
        <v>584</v>
      </c>
      <c r="C3" s="2"/>
    </row>
    <row r="4" spans="1:3">
      <c r="A4" s="2" t="s">
        <v>235</v>
      </c>
      <c r="B4" s="2" t="s">
        <v>278</v>
      </c>
      <c r="C4" s="2"/>
    </row>
    <row r="5" spans="1:3" s="489" customFormat="1">
      <c r="A5" s="2" t="s">
        <v>783</v>
      </c>
      <c r="B5" s="2" t="s">
        <v>595</v>
      </c>
      <c r="C5" s="2"/>
    </row>
    <row r="6" spans="1:3">
      <c r="A6" s="2" t="s">
        <v>112</v>
      </c>
      <c r="B6" s="2" t="s">
        <v>585</v>
      </c>
      <c r="C6" s="2"/>
    </row>
    <row r="7" spans="1:3">
      <c r="A7" s="2" t="s">
        <v>111</v>
      </c>
      <c r="B7" s="2" t="s">
        <v>586</v>
      </c>
      <c r="C7" s="2"/>
    </row>
    <row r="8" spans="1:3">
      <c r="A8" s="2" t="s">
        <v>210</v>
      </c>
      <c r="B8" s="2" t="s">
        <v>587</v>
      </c>
      <c r="C8" s="2"/>
    </row>
    <row r="9" spans="1:3">
      <c r="A9" s="2" t="s">
        <v>211</v>
      </c>
      <c r="B9" s="2" t="s">
        <v>588</v>
      </c>
      <c r="C9" s="2"/>
    </row>
    <row r="10" spans="1:3">
      <c r="A10" s="2" t="s">
        <v>743</v>
      </c>
      <c r="B10" s="2" t="s">
        <v>290</v>
      </c>
      <c r="C10" s="2"/>
    </row>
    <row r="11" spans="1:3">
      <c r="A11" s="2" t="s">
        <v>724</v>
      </c>
      <c r="B11" s="2" t="s">
        <v>585</v>
      </c>
      <c r="C11" s="2"/>
    </row>
    <row r="12" spans="1:3">
      <c r="A12" s="2" t="s">
        <v>725</v>
      </c>
      <c r="B12" s="2" t="s">
        <v>293</v>
      </c>
      <c r="C12" s="2"/>
    </row>
    <row r="13" spans="1:3">
      <c r="A13" s="2" t="s">
        <v>636</v>
      </c>
      <c r="B13" s="2" t="s">
        <v>635</v>
      </c>
      <c r="C13" s="2"/>
    </row>
    <row r="14" spans="1:3">
      <c r="C14" s="2"/>
    </row>
    <row r="15" spans="1:3">
      <c r="A15" s="2"/>
      <c r="B15" s="2"/>
      <c r="C15" s="2"/>
    </row>
    <row r="16" spans="1:3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13"/>
      <c r="B26" s="13"/>
    </row>
    <row r="27" spans="1:3">
      <c r="A27" s="2"/>
      <c r="B27" s="2"/>
    </row>
    <row r="28" spans="1:3">
      <c r="A28" s="2"/>
      <c r="B28" s="2"/>
    </row>
    <row r="29" spans="1:3">
      <c r="A29" s="2"/>
      <c r="B29" s="2"/>
    </row>
    <row r="30" spans="1:3">
      <c r="A30" s="2"/>
      <c r="B30" s="2"/>
    </row>
    <row r="31" spans="1:3">
      <c r="A31" s="2"/>
      <c r="B31" s="2"/>
    </row>
    <row r="32" spans="1:3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  <row r="53" spans="1:2">
      <c r="A53" s="2"/>
      <c r="B53" s="2"/>
    </row>
    <row r="54" spans="1:2">
      <c r="A54" s="2"/>
      <c r="B54" s="2"/>
    </row>
    <row r="55" spans="1:2">
      <c r="A55" s="2"/>
      <c r="B55" s="2"/>
    </row>
    <row r="56" spans="1:2">
      <c r="A56" s="2"/>
      <c r="B56" s="2"/>
    </row>
    <row r="57" spans="1:2">
      <c r="A57" s="2"/>
      <c r="B57" s="2"/>
    </row>
    <row r="58" spans="1:2">
      <c r="A58" s="2"/>
      <c r="B58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4"/>
  <dimension ref="A1:C30"/>
  <sheetViews>
    <sheetView workbookViewId="0">
      <selection activeCell="A13" sqref="A13"/>
    </sheetView>
  </sheetViews>
  <sheetFormatPr baseColWidth="10" defaultRowHeight="15"/>
  <cols>
    <col min="1" max="1" width="42.85546875" customWidth="1"/>
    <col min="2" max="2" width="24.28515625" customWidth="1"/>
  </cols>
  <sheetData>
    <row r="1" spans="1:3" ht="18.75">
      <c r="A1" s="5" t="s">
        <v>237</v>
      </c>
      <c r="B1" s="5" t="s">
        <v>114</v>
      </c>
      <c r="C1" s="28" t="s">
        <v>192</v>
      </c>
    </row>
    <row r="2" spans="1:3" ht="18.75">
      <c r="A2" s="11"/>
      <c r="B2" s="11"/>
      <c r="C2" s="30"/>
    </row>
    <row r="3" spans="1:3">
      <c r="A3" s="2" t="s">
        <v>199</v>
      </c>
      <c r="B3" s="2" t="s">
        <v>201</v>
      </c>
      <c r="C3" s="17" t="s">
        <v>149</v>
      </c>
    </row>
    <row r="4" spans="1:3">
      <c r="A4" s="2" t="s">
        <v>220</v>
      </c>
      <c r="B4" s="2" t="s">
        <v>223</v>
      </c>
      <c r="C4" s="17" t="s">
        <v>149</v>
      </c>
    </row>
    <row r="5" spans="1:3">
      <c r="A5" s="2" t="s">
        <v>111</v>
      </c>
      <c r="B5" s="2" t="s">
        <v>203</v>
      </c>
      <c r="C5" s="17" t="s">
        <v>149</v>
      </c>
    </row>
    <row r="6" spans="1:3">
      <c r="A6" s="2" t="s">
        <v>210</v>
      </c>
      <c r="B6" s="2" t="s">
        <v>213</v>
      </c>
      <c r="C6" s="17" t="s">
        <v>149</v>
      </c>
    </row>
    <row r="7" spans="1:3">
      <c r="A7" s="2" t="s">
        <v>112</v>
      </c>
      <c r="B7" s="2" t="s">
        <v>202</v>
      </c>
      <c r="C7" s="17" t="s">
        <v>149</v>
      </c>
    </row>
    <row r="8" spans="1:3">
      <c r="A8" s="2" t="s">
        <v>211</v>
      </c>
      <c r="B8" s="2" t="s">
        <v>212</v>
      </c>
      <c r="C8" s="17" t="s">
        <v>149</v>
      </c>
    </row>
    <row r="9" spans="1:3">
      <c r="A9" s="2" t="s">
        <v>221</v>
      </c>
      <c r="B9" s="2" t="s">
        <v>224</v>
      </c>
      <c r="C9" s="17" t="s">
        <v>149</v>
      </c>
    </row>
    <row r="10" spans="1:3">
      <c r="A10" s="2" t="s">
        <v>222</v>
      </c>
      <c r="B10" s="2" t="s">
        <v>224</v>
      </c>
      <c r="C10" s="17" t="s">
        <v>149</v>
      </c>
    </row>
    <row r="11" spans="1:3">
      <c r="A11" s="2" t="s">
        <v>206</v>
      </c>
      <c r="B11" s="2" t="s">
        <v>225</v>
      </c>
      <c r="C11" s="17" t="s">
        <v>149</v>
      </c>
    </row>
    <row r="12" spans="1:3">
      <c r="A12" s="2" t="s">
        <v>204</v>
      </c>
      <c r="B12" s="2" t="s">
        <v>202</v>
      </c>
      <c r="C12" s="17" t="s">
        <v>149</v>
      </c>
    </row>
    <row r="13" spans="1:3">
      <c r="A13" s="2" t="s">
        <v>207</v>
      </c>
      <c r="B13" s="2" t="s">
        <v>208</v>
      </c>
      <c r="C13" s="17" t="s">
        <v>149</v>
      </c>
    </row>
    <row r="14" spans="1:3">
      <c r="A14" s="2" t="s">
        <v>113</v>
      </c>
      <c r="B14" s="2" t="s">
        <v>223</v>
      </c>
      <c r="C14" s="17" t="s">
        <v>149</v>
      </c>
    </row>
    <row r="15" spans="1:3">
      <c r="A15" s="2" t="s">
        <v>215</v>
      </c>
      <c r="B15" s="2" t="s">
        <v>216</v>
      </c>
      <c r="C15" s="17" t="s">
        <v>149</v>
      </c>
    </row>
    <row r="16" spans="1:3">
      <c r="A16" s="2" t="s">
        <v>226</v>
      </c>
      <c r="B16" s="2" t="s">
        <v>209</v>
      </c>
      <c r="C16" s="17" t="s">
        <v>149</v>
      </c>
    </row>
    <row r="17" spans="1:3">
      <c r="A17" s="2"/>
      <c r="B17" s="2"/>
      <c r="C17" s="17" t="s">
        <v>149</v>
      </c>
    </row>
    <row r="18" spans="1:3">
      <c r="A18" s="2"/>
      <c r="B18" s="2"/>
      <c r="C18" s="17"/>
    </row>
    <row r="19" spans="1:3">
      <c r="A19" s="2"/>
      <c r="B19" s="2"/>
      <c r="C19" s="17"/>
    </row>
    <row r="20" spans="1:3">
      <c r="A20" s="2"/>
      <c r="B20" s="2"/>
      <c r="C20" s="17"/>
    </row>
    <row r="21" spans="1:3">
      <c r="A21" s="2"/>
      <c r="B21" s="2"/>
      <c r="C21" s="17"/>
    </row>
    <row r="22" spans="1:3">
      <c r="A22" s="2"/>
      <c r="B22" s="2"/>
      <c r="C22" s="17"/>
    </row>
    <row r="23" spans="1:3">
      <c r="A23" s="2"/>
      <c r="B23" s="2"/>
      <c r="C23" s="17"/>
    </row>
    <row r="24" spans="1:3">
      <c r="A24" s="2"/>
      <c r="B24" s="2"/>
      <c r="C24" s="17"/>
    </row>
    <row r="25" spans="1:3">
      <c r="A25" s="2"/>
      <c r="B25" s="2"/>
      <c r="C25" s="17"/>
    </row>
    <row r="26" spans="1:3">
      <c r="A26" s="2"/>
      <c r="B26" s="2"/>
      <c r="C26" s="17"/>
    </row>
    <row r="27" spans="1:3">
      <c r="A27" s="2"/>
      <c r="B27" s="2"/>
      <c r="C27" s="17"/>
    </row>
    <row r="28" spans="1:3">
      <c r="A28" s="2"/>
      <c r="B28" s="2"/>
      <c r="C28" s="17"/>
    </row>
    <row r="29" spans="1:3" ht="15.75" thickBot="1">
      <c r="A29" s="21"/>
      <c r="B29" s="21"/>
      <c r="C29" s="22"/>
    </row>
    <row r="30" spans="1:3" ht="15.75" thickTop="1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7"/>
  <dimension ref="A1:G45"/>
  <sheetViews>
    <sheetView topLeftCell="A7" workbookViewId="0">
      <selection activeCell="A28" sqref="A28"/>
    </sheetView>
  </sheetViews>
  <sheetFormatPr baseColWidth="10" defaultRowHeight="15"/>
  <cols>
    <col min="1" max="1" width="26.5703125" customWidth="1"/>
    <col min="2" max="2" width="10.85546875" customWidth="1"/>
    <col min="3" max="3" width="11.85546875" customWidth="1"/>
    <col min="4" max="4" width="28.5703125" customWidth="1"/>
    <col min="5" max="5" width="26.7109375" style="7" customWidth="1"/>
  </cols>
  <sheetData>
    <row r="1" spans="1:7" s="3" customFormat="1" ht="20.25" customHeight="1">
      <c r="A1" s="31" t="s">
        <v>147</v>
      </c>
      <c r="B1" s="8" t="s">
        <v>131</v>
      </c>
      <c r="C1" s="8" t="s">
        <v>15</v>
      </c>
      <c r="D1" s="8" t="s">
        <v>2</v>
      </c>
      <c r="E1" s="43" t="s">
        <v>15</v>
      </c>
      <c r="F1" s="3" t="s">
        <v>10</v>
      </c>
    </row>
    <row r="2" spans="1:7" s="35" customFormat="1" ht="20.25" customHeight="1">
      <c r="A2" s="31"/>
      <c r="B2" s="9"/>
      <c r="C2" s="9"/>
      <c r="D2" s="9"/>
      <c r="E2" s="48"/>
    </row>
    <row r="3" spans="1:7" ht="20.25" customHeight="1">
      <c r="A3" s="33" t="s">
        <v>316</v>
      </c>
      <c r="B3" s="2" t="s">
        <v>149</v>
      </c>
      <c r="C3" s="2" t="s">
        <v>231</v>
      </c>
      <c r="D3" s="42" t="s">
        <v>305</v>
      </c>
      <c r="E3" s="49">
        <v>1</v>
      </c>
      <c r="F3" s="102" t="s">
        <v>302</v>
      </c>
    </row>
    <row r="4" spans="1:7" ht="20.25" customHeight="1">
      <c r="A4" s="16" t="s">
        <v>121</v>
      </c>
      <c r="B4" s="2" t="s">
        <v>149</v>
      </c>
      <c r="C4" s="2" t="s">
        <v>231</v>
      </c>
      <c r="D4" s="42" t="s">
        <v>306</v>
      </c>
      <c r="E4" s="49">
        <v>2</v>
      </c>
      <c r="F4" s="102" t="s">
        <v>311</v>
      </c>
    </row>
    <row r="5" spans="1:7" ht="20.25" customHeight="1">
      <c r="A5" s="16" t="s">
        <v>122</v>
      </c>
      <c r="B5" s="2" t="s">
        <v>149</v>
      </c>
      <c r="C5" s="2" t="s">
        <v>231</v>
      </c>
      <c r="D5" s="42" t="s">
        <v>307</v>
      </c>
      <c r="E5" s="49">
        <v>4</v>
      </c>
      <c r="F5" s="102" t="s">
        <v>303</v>
      </c>
    </row>
    <row r="6" spans="1:7" ht="20.25" customHeight="1">
      <c r="A6" s="16" t="s">
        <v>123</v>
      </c>
      <c r="B6" s="2" t="s">
        <v>149</v>
      </c>
      <c r="C6" s="2" t="s">
        <v>231</v>
      </c>
      <c r="D6" s="42" t="s">
        <v>308</v>
      </c>
      <c r="E6" s="49">
        <v>6</v>
      </c>
      <c r="F6" s="102" t="s">
        <v>312</v>
      </c>
    </row>
    <row r="7" spans="1:7" ht="20.25" customHeight="1">
      <c r="A7" s="16" t="s">
        <v>124</v>
      </c>
      <c r="B7" s="2" t="s">
        <v>149</v>
      </c>
      <c r="C7" s="2" t="s">
        <v>231</v>
      </c>
      <c r="D7" s="42" t="s">
        <v>309</v>
      </c>
      <c r="F7" s="120" t="s">
        <v>313</v>
      </c>
    </row>
    <row r="8" spans="1:7" ht="20.25" customHeight="1">
      <c r="A8" s="16" t="s">
        <v>125</v>
      </c>
      <c r="B8" s="2" t="s">
        <v>149</v>
      </c>
      <c r="C8" s="2" t="s">
        <v>231</v>
      </c>
      <c r="D8" s="42" t="s">
        <v>6</v>
      </c>
      <c r="E8" s="49"/>
      <c r="F8" s="102" t="s">
        <v>314</v>
      </c>
    </row>
    <row r="9" spans="1:7" ht="20.25" customHeight="1">
      <c r="A9" s="16" t="s">
        <v>126</v>
      </c>
      <c r="B9" s="2" t="s">
        <v>149</v>
      </c>
      <c r="C9" s="2" t="s">
        <v>231</v>
      </c>
      <c r="D9" s="42" t="s">
        <v>7</v>
      </c>
      <c r="E9" s="49"/>
      <c r="F9" s="102" t="s">
        <v>315</v>
      </c>
    </row>
    <row r="10" spans="1:7" ht="20.25" customHeight="1">
      <c r="A10" s="16" t="s">
        <v>532</v>
      </c>
      <c r="B10" s="2"/>
      <c r="C10" s="2"/>
      <c r="D10" s="42"/>
      <c r="E10" s="49"/>
      <c r="F10" s="102"/>
    </row>
    <row r="11" spans="1:7" ht="20.25" customHeight="1">
      <c r="A11" s="16" t="s">
        <v>544</v>
      </c>
      <c r="B11" s="2"/>
      <c r="C11" s="2"/>
      <c r="D11" s="42"/>
      <c r="E11" s="49"/>
      <c r="F11" s="102"/>
    </row>
    <row r="12" spans="1:7" ht="20.25" customHeight="1">
      <c r="A12" s="16" t="s">
        <v>545</v>
      </c>
      <c r="B12" s="2"/>
      <c r="C12" s="2"/>
      <c r="D12" s="42"/>
      <c r="E12" s="49"/>
      <c r="F12" s="102"/>
    </row>
    <row r="13" spans="1:7" ht="20.25" customHeight="1">
      <c r="A13" s="16" t="s">
        <v>546</v>
      </c>
      <c r="B13" s="2"/>
      <c r="C13" s="2"/>
      <c r="D13" s="42"/>
      <c r="E13" s="49"/>
      <c r="F13" s="102"/>
    </row>
    <row r="14" spans="1:7" ht="20.25" customHeight="1">
      <c r="A14" s="16" t="s">
        <v>547</v>
      </c>
      <c r="B14" s="2"/>
      <c r="C14" s="2"/>
      <c r="D14" s="42"/>
      <c r="E14" s="49"/>
      <c r="F14" s="102"/>
    </row>
    <row r="15" spans="1:7" ht="20.25" customHeight="1">
      <c r="A15" s="16" t="s">
        <v>392</v>
      </c>
      <c r="B15" s="2"/>
      <c r="C15" s="2"/>
      <c r="D15" s="42"/>
      <c r="E15" s="49"/>
      <c r="F15" s="102"/>
    </row>
    <row r="16" spans="1:7" ht="20.25" customHeight="1">
      <c r="A16" s="16" t="s">
        <v>393</v>
      </c>
      <c r="B16" s="2" t="s">
        <v>149</v>
      </c>
      <c r="C16" s="2" t="s">
        <v>231</v>
      </c>
      <c r="D16" s="42" t="s">
        <v>310</v>
      </c>
      <c r="E16" s="49"/>
      <c r="F16" s="102"/>
      <c r="G16" s="36"/>
    </row>
    <row r="17" spans="1:6" ht="20.25" customHeight="1">
      <c r="A17" s="299" t="s">
        <v>423</v>
      </c>
      <c r="B17" s="2" t="s">
        <v>149</v>
      </c>
      <c r="C17" s="2" t="s">
        <v>231</v>
      </c>
      <c r="D17" s="42" t="s">
        <v>139</v>
      </c>
      <c r="E17" s="49"/>
      <c r="F17" s="102"/>
    </row>
    <row r="18" spans="1:6" ht="20.25" customHeight="1">
      <c r="A18" s="16" t="s">
        <v>129</v>
      </c>
      <c r="B18" s="2" t="s">
        <v>149</v>
      </c>
      <c r="C18" s="2" t="s">
        <v>231</v>
      </c>
      <c r="D18" s="2"/>
      <c r="E18" s="49"/>
    </row>
    <row r="19" spans="1:6" ht="20.25" customHeight="1">
      <c r="A19" s="16" t="s">
        <v>127</v>
      </c>
      <c r="B19" s="2" t="s">
        <v>149</v>
      </c>
      <c r="C19" s="2" t="s">
        <v>231</v>
      </c>
      <c r="D19" s="2"/>
      <c r="E19" s="49"/>
    </row>
    <row r="20" spans="1:6" ht="20.25" customHeight="1">
      <c r="A20" s="299" t="s">
        <v>533</v>
      </c>
      <c r="B20" s="2" t="s">
        <v>149</v>
      </c>
      <c r="C20" s="2" t="s">
        <v>231</v>
      </c>
      <c r="D20" s="2"/>
      <c r="E20" s="44"/>
    </row>
    <row r="21" spans="1:6" ht="20.25" customHeight="1">
      <c r="A21" s="299" t="s">
        <v>5</v>
      </c>
      <c r="B21" s="2" t="s">
        <v>149</v>
      </c>
      <c r="C21" s="2" t="s">
        <v>231</v>
      </c>
      <c r="D21" s="2"/>
      <c r="E21" s="44"/>
    </row>
    <row r="22" spans="1:6" ht="20.25" customHeight="1">
      <c r="A22" s="16" t="s">
        <v>128</v>
      </c>
      <c r="B22" s="2" t="s">
        <v>149</v>
      </c>
      <c r="C22" s="2" t="s">
        <v>231</v>
      </c>
      <c r="D22" s="2"/>
      <c r="E22" s="44"/>
    </row>
    <row r="23" spans="1:6" ht="20.25" customHeight="1">
      <c r="A23" s="16" t="s">
        <v>130</v>
      </c>
      <c r="B23" s="2"/>
      <c r="C23" s="2"/>
      <c r="D23" s="2"/>
      <c r="E23" s="44"/>
    </row>
    <row r="24" spans="1:6" ht="20.25" customHeight="1">
      <c r="A24" s="299" t="s">
        <v>534</v>
      </c>
      <c r="B24" s="2"/>
      <c r="C24" s="2"/>
      <c r="D24" s="2"/>
      <c r="E24" s="44"/>
    </row>
    <row r="25" spans="1:6" ht="20.25" customHeight="1">
      <c r="A25" s="16" t="s">
        <v>679</v>
      </c>
      <c r="B25" s="2"/>
      <c r="C25" s="2"/>
      <c r="D25" s="2"/>
      <c r="E25" s="44"/>
    </row>
    <row r="26" spans="1:6" ht="20.25" customHeight="1">
      <c r="A26" s="398" t="s">
        <v>536</v>
      </c>
      <c r="B26" s="2"/>
      <c r="C26" s="2"/>
      <c r="D26" s="2"/>
      <c r="E26" s="44"/>
    </row>
    <row r="27" spans="1:6" ht="20.25" customHeight="1">
      <c r="A27" s="398" t="s">
        <v>535</v>
      </c>
      <c r="B27" s="2"/>
      <c r="C27" s="2"/>
      <c r="D27" s="2"/>
      <c r="E27" s="44"/>
    </row>
    <row r="28" spans="1:6" ht="20.25" customHeight="1">
      <c r="A28" s="299" t="s">
        <v>425</v>
      </c>
      <c r="B28" s="2"/>
      <c r="C28" s="2"/>
      <c r="D28" s="2"/>
      <c r="E28" s="44"/>
    </row>
    <row r="29" spans="1:6" ht="20.25" customHeight="1">
      <c r="A29" s="299" t="s">
        <v>426</v>
      </c>
      <c r="B29" s="2"/>
      <c r="C29" s="2"/>
      <c r="D29" s="2"/>
      <c r="E29" s="44"/>
    </row>
    <row r="30" spans="1:6" ht="20.25" customHeight="1" thickBot="1">
      <c r="B30" s="21"/>
      <c r="C30" s="21"/>
      <c r="D30" s="21"/>
      <c r="E30" s="45"/>
    </row>
    <row r="31" spans="1:6" ht="20.25" customHeight="1" thickTop="1">
      <c r="B31" s="13"/>
      <c r="C31" s="13"/>
      <c r="D31" s="13"/>
      <c r="E31" s="46"/>
    </row>
    <row r="32" spans="1:6" ht="20.25" customHeight="1">
      <c r="A32" s="2"/>
      <c r="B32" s="2"/>
      <c r="C32" s="2"/>
      <c r="D32" s="2"/>
      <c r="E32" s="47"/>
    </row>
    <row r="33" spans="1:5" ht="20.25" customHeight="1">
      <c r="A33" s="2"/>
      <c r="B33" s="2"/>
      <c r="C33" s="2"/>
      <c r="D33" s="2"/>
      <c r="E33" s="47"/>
    </row>
    <row r="34" spans="1:5" ht="20.25" customHeight="1">
      <c r="A34" s="2"/>
      <c r="B34" s="2"/>
      <c r="C34" s="2"/>
      <c r="D34" s="2"/>
      <c r="E34" s="47"/>
    </row>
    <row r="35" spans="1:5" ht="20.25" customHeight="1">
      <c r="A35" s="2"/>
      <c r="B35" s="2"/>
      <c r="C35" s="2"/>
      <c r="D35" s="2"/>
      <c r="E35" s="47"/>
    </row>
    <row r="36" spans="1:5" ht="20.25" customHeight="1">
      <c r="A36" s="2"/>
      <c r="B36" s="2"/>
      <c r="C36" s="2"/>
      <c r="D36" s="2"/>
      <c r="E36" s="47"/>
    </row>
    <row r="37" spans="1:5" ht="20.25" customHeight="1">
      <c r="A37" s="2"/>
      <c r="B37" s="2"/>
      <c r="C37" s="2"/>
      <c r="D37" s="2"/>
      <c r="E37" s="47"/>
    </row>
    <row r="38" spans="1:5" ht="20.25" customHeight="1">
      <c r="A38" s="2"/>
      <c r="B38" s="2"/>
      <c r="C38" s="2"/>
      <c r="D38" s="2"/>
      <c r="E38" s="47"/>
    </row>
    <row r="39" spans="1:5" ht="20.25" customHeight="1">
      <c r="A39" s="2"/>
      <c r="B39" s="2"/>
      <c r="C39" s="2"/>
      <c r="D39" s="2"/>
      <c r="E39" s="47"/>
    </row>
    <row r="40" spans="1:5" ht="20.25" customHeight="1">
      <c r="A40" s="2"/>
      <c r="B40" s="2"/>
      <c r="C40" s="2"/>
      <c r="D40" s="2"/>
      <c r="E40" s="47"/>
    </row>
    <row r="41" spans="1:5" ht="20.25" customHeight="1">
      <c r="A41" s="2"/>
      <c r="B41" s="2"/>
      <c r="C41" s="2"/>
      <c r="D41" s="2"/>
      <c r="E41" s="47"/>
    </row>
    <row r="42" spans="1:5" ht="20.25" customHeight="1">
      <c r="A42" s="2"/>
      <c r="B42" s="2"/>
      <c r="C42" s="2"/>
      <c r="D42" s="2"/>
      <c r="E42" s="47"/>
    </row>
    <row r="43" spans="1:5" ht="20.25" customHeight="1">
      <c r="A43" s="2"/>
      <c r="B43" s="2"/>
      <c r="C43" s="2"/>
      <c r="D43" s="2"/>
      <c r="E43" s="47"/>
    </row>
    <row r="44" spans="1:5" ht="20.25" customHeight="1">
      <c r="A44" s="2"/>
      <c r="B44" s="2"/>
      <c r="C44" s="2"/>
      <c r="D44" s="2"/>
      <c r="E44" s="47"/>
    </row>
    <row r="45" spans="1:5">
      <c r="B45" s="2"/>
      <c r="C45" s="2"/>
      <c r="D45" s="2"/>
      <c r="E45" s="47"/>
    </row>
  </sheetData>
  <sortState ref="C3:C5">
    <sortCondition ref="C5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8"/>
  <dimension ref="A1:F107"/>
  <sheetViews>
    <sheetView workbookViewId="0">
      <pane ySplit="1" topLeftCell="A29" activePane="bottomLeft" state="frozen"/>
      <selection activeCell="B1" sqref="B1"/>
      <selection pane="bottomLeft" activeCell="F28" sqref="F28"/>
    </sheetView>
  </sheetViews>
  <sheetFormatPr baseColWidth="10" defaultRowHeight="15"/>
  <cols>
    <col min="1" max="1" width="38.28515625" customWidth="1"/>
    <col min="2" max="2" width="27" customWidth="1"/>
    <col min="5" max="5" width="11.42578125" style="37"/>
    <col min="6" max="6" width="16.28515625" customWidth="1"/>
  </cols>
  <sheetData>
    <row r="1" spans="1:6" ht="18.75">
      <c r="A1" s="31" t="s">
        <v>4</v>
      </c>
      <c r="B1" s="8" t="s">
        <v>114</v>
      </c>
      <c r="C1" s="8" t="s">
        <v>132</v>
      </c>
      <c r="D1" s="8" t="s">
        <v>14</v>
      </c>
      <c r="E1" s="125" t="s">
        <v>10</v>
      </c>
      <c r="F1" s="8" t="s">
        <v>236</v>
      </c>
    </row>
    <row r="2" spans="1:6" s="10" customFormat="1" ht="18.75">
      <c r="A2" s="33"/>
      <c r="B2" s="9"/>
      <c r="C2" s="9"/>
      <c r="D2" s="9"/>
      <c r="E2" s="126"/>
      <c r="F2" s="9"/>
    </row>
    <row r="3" spans="1:6" s="10" customFormat="1" ht="18.75">
      <c r="A3" s="16" t="s">
        <v>395</v>
      </c>
      <c r="B3" s="2" t="s">
        <v>44</v>
      </c>
      <c r="C3" s="9"/>
      <c r="D3" s="2" t="s">
        <v>143</v>
      </c>
      <c r="E3" s="2" t="s">
        <v>433</v>
      </c>
      <c r="F3" s="2" t="s">
        <v>144</v>
      </c>
    </row>
    <row r="4" spans="1:6" s="10" customFormat="1" ht="18.75">
      <c r="A4" s="16" t="s">
        <v>398</v>
      </c>
      <c r="B4" s="2" t="s">
        <v>44</v>
      </c>
      <c r="C4" s="9"/>
      <c r="D4" s="2" t="s">
        <v>143</v>
      </c>
      <c r="E4" s="2" t="s">
        <v>443</v>
      </c>
      <c r="F4" s="2" t="s">
        <v>144</v>
      </c>
    </row>
    <row r="5" spans="1:6" s="10" customFormat="1" ht="18.75">
      <c r="A5" s="16" t="s">
        <v>396</v>
      </c>
      <c r="B5" s="2" t="s">
        <v>44</v>
      </c>
      <c r="C5" s="9"/>
      <c r="D5" s="2" t="s">
        <v>143</v>
      </c>
      <c r="E5" s="2" t="s">
        <v>442</v>
      </c>
      <c r="F5" s="2" t="s">
        <v>144</v>
      </c>
    </row>
    <row r="6" spans="1:6" s="10" customFormat="1" ht="18.75">
      <c r="A6" s="16" t="s">
        <v>397</v>
      </c>
      <c r="B6" s="2" t="s">
        <v>44</v>
      </c>
      <c r="C6" s="9"/>
      <c r="D6" s="2" t="s">
        <v>143</v>
      </c>
      <c r="E6" s="2" t="s">
        <v>442</v>
      </c>
      <c r="F6" s="2" t="s">
        <v>144</v>
      </c>
    </row>
    <row r="7" spans="1:6" s="10" customFormat="1">
      <c r="A7" s="16" t="s">
        <v>39</v>
      </c>
      <c r="B7" s="2" t="s">
        <v>40</v>
      </c>
      <c r="C7" s="2"/>
      <c r="D7" s="2" t="s">
        <v>143</v>
      </c>
      <c r="E7" s="2" t="s">
        <v>434</v>
      </c>
      <c r="F7" s="2" t="s">
        <v>381</v>
      </c>
    </row>
    <row r="8" spans="1:6" s="10" customFormat="1">
      <c r="A8" s="16" t="s">
        <v>41</v>
      </c>
      <c r="B8" s="2" t="s">
        <v>42</v>
      </c>
      <c r="C8" s="2"/>
      <c r="D8" s="2" t="s">
        <v>143</v>
      </c>
      <c r="E8" s="2" t="s">
        <v>434</v>
      </c>
      <c r="F8" s="2" t="s">
        <v>381</v>
      </c>
    </row>
    <row r="9" spans="1:6" s="10" customFormat="1">
      <c r="A9" s="16" t="s">
        <v>133</v>
      </c>
      <c r="B9" s="2" t="s">
        <v>501</v>
      </c>
      <c r="C9" s="2"/>
      <c r="D9" s="2" t="s">
        <v>178</v>
      </c>
      <c r="E9" s="103" t="s">
        <v>432</v>
      </c>
      <c r="F9" s="2" t="s">
        <v>273</v>
      </c>
    </row>
    <row r="10" spans="1:6" s="10" customFormat="1">
      <c r="A10" s="16" t="s">
        <v>437</v>
      </c>
      <c r="B10" s="2" t="s">
        <v>48</v>
      </c>
      <c r="C10" s="2"/>
      <c r="D10" s="2" t="s">
        <v>143</v>
      </c>
      <c r="E10" s="2" t="s">
        <v>432</v>
      </c>
      <c r="F10" s="2" t="s">
        <v>144</v>
      </c>
    </row>
    <row r="11" spans="1:6" s="10" customFormat="1">
      <c r="A11" s="16" t="s">
        <v>435</v>
      </c>
      <c r="B11" s="2" t="s">
        <v>48</v>
      </c>
      <c r="C11" s="2"/>
      <c r="D11" s="2" t="s">
        <v>143</v>
      </c>
      <c r="E11" s="2" t="s">
        <v>434</v>
      </c>
      <c r="F11" s="2" t="s">
        <v>144</v>
      </c>
    </row>
    <row r="12" spans="1:6" ht="22.5" customHeight="1">
      <c r="A12" s="16" t="s">
        <v>436</v>
      </c>
      <c r="B12" s="2" t="s">
        <v>48</v>
      </c>
      <c r="C12" s="2"/>
      <c r="D12" s="2" t="s">
        <v>143</v>
      </c>
      <c r="E12" s="2" t="s">
        <v>438</v>
      </c>
      <c r="F12" s="2" t="s">
        <v>144</v>
      </c>
    </row>
    <row r="13" spans="1:6" ht="22.5" customHeight="1">
      <c r="A13" s="16" t="s">
        <v>376</v>
      </c>
      <c r="B13" s="2" t="s">
        <v>760</v>
      </c>
      <c r="C13" s="2"/>
      <c r="D13" s="2" t="s">
        <v>143</v>
      </c>
      <c r="E13" s="103" t="s">
        <v>433</v>
      </c>
      <c r="F13" s="2" t="s">
        <v>267</v>
      </c>
    </row>
    <row r="14" spans="1:6" ht="22.5" customHeight="1">
      <c r="A14" s="16" t="s">
        <v>492</v>
      </c>
      <c r="B14" s="2" t="s">
        <v>493</v>
      </c>
      <c r="C14" s="2"/>
      <c r="D14" s="2" t="s">
        <v>178</v>
      </c>
      <c r="E14" s="103" t="s">
        <v>432</v>
      </c>
      <c r="F14" s="2" t="s">
        <v>490</v>
      </c>
    </row>
    <row r="15" spans="1:6" ht="22.5" customHeight="1">
      <c r="A15" s="16" t="s">
        <v>375</v>
      </c>
      <c r="B15" s="2" t="s">
        <v>500</v>
      </c>
      <c r="C15" s="2"/>
      <c r="D15" s="2" t="s">
        <v>149</v>
      </c>
      <c r="E15" s="103" t="s">
        <v>274</v>
      </c>
      <c r="F15" s="2" t="s">
        <v>268</v>
      </c>
    </row>
    <row r="16" spans="1:6" ht="22.5" customHeight="1">
      <c r="A16" s="19" t="s">
        <v>106</v>
      </c>
      <c r="B16" s="2" t="s">
        <v>468</v>
      </c>
      <c r="C16" s="2"/>
      <c r="D16" s="2" t="s">
        <v>14</v>
      </c>
      <c r="E16" s="103"/>
      <c r="F16" s="2"/>
    </row>
    <row r="17" spans="1:6" ht="22.5" customHeight="1">
      <c r="A17" s="16" t="s">
        <v>108</v>
      </c>
      <c r="B17" s="2" t="s">
        <v>520</v>
      </c>
      <c r="C17" s="2"/>
      <c r="D17" s="2"/>
      <c r="E17" s="103"/>
      <c r="F17" s="2"/>
    </row>
    <row r="18" spans="1:6" ht="22.5" customHeight="1">
      <c r="A18" s="16" t="s">
        <v>60</v>
      </c>
      <c r="B18" s="2" t="s">
        <v>61</v>
      </c>
      <c r="C18" s="2"/>
      <c r="D18" s="2" t="s">
        <v>143</v>
      </c>
      <c r="E18" s="103"/>
      <c r="F18" s="2" t="s">
        <v>796</v>
      </c>
    </row>
    <row r="19" spans="1:6" ht="22.5" customHeight="1">
      <c r="A19" s="16" t="s">
        <v>475</v>
      </c>
      <c r="B19" s="2" t="s">
        <v>759</v>
      </c>
      <c r="C19" s="2"/>
      <c r="D19" s="2" t="s">
        <v>149</v>
      </c>
      <c r="E19" s="103" t="s">
        <v>433</v>
      </c>
      <c r="F19" s="2" t="s">
        <v>450</v>
      </c>
    </row>
    <row r="20" spans="1:6" ht="22.5" customHeight="1">
      <c r="A20" s="16" t="s">
        <v>380</v>
      </c>
      <c r="B20" s="2" t="s">
        <v>494</v>
      </c>
      <c r="C20" s="2"/>
      <c r="D20" s="2" t="s">
        <v>14</v>
      </c>
      <c r="E20" s="103" t="s">
        <v>274</v>
      </c>
      <c r="F20" s="2" t="s">
        <v>268</v>
      </c>
    </row>
    <row r="21" spans="1:6" ht="22.5" customHeight="1">
      <c r="A21" s="16" t="s">
        <v>377</v>
      </c>
      <c r="B21" s="2" t="s">
        <v>495</v>
      </c>
      <c r="C21" s="2"/>
      <c r="D21" s="2" t="s">
        <v>14</v>
      </c>
      <c r="E21" s="103" t="s">
        <v>274</v>
      </c>
      <c r="F21" s="2" t="s">
        <v>268</v>
      </c>
    </row>
    <row r="22" spans="1:6" ht="22.5" customHeight="1">
      <c r="A22" s="16" t="s">
        <v>427</v>
      </c>
      <c r="B22" s="354" t="s">
        <v>761</v>
      </c>
      <c r="C22" s="2"/>
      <c r="D22" s="2" t="s">
        <v>149</v>
      </c>
      <c r="E22" s="103" t="s">
        <v>274</v>
      </c>
      <c r="F22" s="2" t="s">
        <v>268</v>
      </c>
    </row>
    <row r="23" spans="1:6" ht="22.5" customHeight="1">
      <c r="A23" s="16" t="s">
        <v>502</v>
      </c>
      <c r="B23" s="2" t="s">
        <v>503</v>
      </c>
      <c r="C23" s="2"/>
      <c r="D23" s="2" t="s">
        <v>178</v>
      </c>
      <c r="E23" s="103" t="s">
        <v>434</v>
      </c>
      <c r="F23" s="2" t="s">
        <v>490</v>
      </c>
    </row>
    <row r="24" spans="1:6" ht="22.5" customHeight="1">
      <c r="A24" s="16" t="s">
        <v>486</v>
      </c>
      <c r="B24" s="2" t="s">
        <v>488</v>
      </c>
      <c r="C24" s="2"/>
      <c r="D24" s="293" t="s">
        <v>178</v>
      </c>
      <c r="E24" s="103" t="s">
        <v>491</v>
      </c>
      <c r="F24" s="2" t="s">
        <v>490</v>
      </c>
    </row>
    <row r="25" spans="1:6" ht="22.5" customHeight="1">
      <c r="A25" s="16" t="s">
        <v>487</v>
      </c>
      <c r="B25" s="2" t="s">
        <v>488</v>
      </c>
      <c r="C25" s="2"/>
      <c r="D25" s="296" t="s">
        <v>178</v>
      </c>
      <c r="E25" s="103" t="s">
        <v>274</v>
      </c>
      <c r="F25" s="2" t="s">
        <v>269</v>
      </c>
    </row>
    <row r="26" spans="1:6" ht="22.5" customHeight="1">
      <c r="A26" s="16" t="s">
        <v>374</v>
      </c>
      <c r="B26" s="2" t="s">
        <v>489</v>
      </c>
      <c r="C26" s="2"/>
      <c r="D26" s="298" t="s">
        <v>178</v>
      </c>
      <c r="E26" s="103" t="s">
        <v>274</v>
      </c>
      <c r="F26" s="2" t="s">
        <v>269</v>
      </c>
    </row>
    <row r="27" spans="1:6" s="489" customFormat="1" ht="22.5" customHeight="1">
      <c r="A27" s="16" t="s">
        <v>778</v>
      </c>
      <c r="B27" s="2"/>
      <c r="C27" s="2"/>
      <c r="D27" s="298" t="s">
        <v>148</v>
      </c>
      <c r="E27" s="103"/>
      <c r="F27" s="2" t="s">
        <v>797</v>
      </c>
    </row>
    <row r="28" spans="1:6" ht="22.5" customHeight="1">
      <c r="A28" s="19" t="s">
        <v>539</v>
      </c>
      <c r="B28" s="2" t="s">
        <v>65</v>
      </c>
      <c r="C28" s="2"/>
      <c r="D28" s="298" t="s">
        <v>143</v>
      </c>
      <c r="E28" s="103" t="s">
        <v>274</v>
      </c>
      <c r="F28" s="2" t="s">
        <v>538</v>
      </c>
    </row>
    <row r="29" spans="1:6" ht="22.5" customHeight="1">
      <c r="A29" s="19" t="s">
        <v>109</v>
      </c>
      <c r="B29" s="2" t="s">
        <v>762</v>
      </c>
      <c r="C29" s="2"/>
      <c r="D29" s="2" t="s">
        <v>143</v>
      </c>
      <c r="E29" s="103" t="s">
        <v>433</v>
      </c>
      <c r="F29" s="297" t="s">
        <v>521</v>
      </c>
    </row>
    <row r="30" spans="1:6" ht="22.5" customHeight="1">
      <c r="A30" s="16" t="s">
        <v>429</v>
      </c>
      <c r="B30" s="2" t="s">
        <v>508</v>
      </c>
      <c r="C30" s="2"/>
      <c r="D30" s="2" t="s">
        <v>148</v>
      </c>
      <c r="E30" s="103" t="s">
        <v>434</v>
      </c>
      <c r="F30" s="2" t="s">
        <v>270</v>
      </c>
    </row>
    <row r="31" spans="1:6" ht="22.5" customHeight="1">
      <c r="A31" s="16" t="s">
        <v>430</v>
      </c>
      <c r="B31" s="2" t="s">
        <v>507</v>
      </c>
      <c r="C31" s="2"/>
      <c r="D31" s="2" t="s">
        <v>148</v>
      </c>
      <c r="E31" s="103" t="s">
        <v>434</v>
      </c>
      <c r="F31" s="2" t="s">
        <v>431</v>
      </c>
    </row>
    <row r="32" spans="1:6" ht="22.5" customHeight="1">
      <c r="A32" s="16" t="s">
        <v>504</v>
      </c>
      <c r="B32" s="2" t="s">
        <v>506</v>
      </c>
      <c r="C32" s="2"/>
      <c r="D32" s="2" t="s">
        <v>178</v>
      </c>
      <c r="E32" s="103" t="s">
        <v>432</v>
      </c>
      <c r="F32" s="2" t="s">
        <v>505</v>
      </c>
    </row>
    <row r="33" spans="1:6" ht="22.5" customHeight="1">
      <c r="A33" s="19" t="s">
        <v>107</v>
      </c>
      <c r="B33" s="2" t="s">
        <v>496</v>
      </c>
      <c r="C33" s="2"/>
      <c r="D33" s="2" t="s">
        <v>14</v>
      </c>
      <c r="E33" s="103" t="s">
        <v>433</v>
      </c>
      <c r="F33" s="2" t="s">
        <v>450</v>
      </c>
    </row>
    <row r="34" spans="1:6" ht="22.5" customHeight="1">
      <c r="A34" s="19" t="s">
        <v>511</v>
      </c>
      <c r="B34" s="2" t="s">
        <v>512</v>
      </c>
      <c r="C34" s="2"/>
      <c r="D34" s="2" t="s">
        <v>148</v>
      </c>
      <c r="E34" s="103" t="s">
        <v>434</v>
      </c>
      <c r="F34" s="2" t="s">
        <v>270</v>
      </c>
    </row>
    <row r="35" spans="1:6" ht="22.5" customHeight="1">
      <c r="A35" s="19" t="s">
        <v>105</v>
      </c>
      <c r="B35" s="2" t="s">
        <v>497</v>
      </c>
      <c r="C35" s="2"/>
      <c r="D35" s="2" t="s">
        <v>143</v>
      </c>
      <c r="E35" s="103" t="s">
        <v>433</v>
      </c>
      <c r="F35" s="2" t="s">
        <v>450</v>
      </c>
    </row>
    <row r="36" spans="1:6" ht="22.5" customHeight="1">
      <c r="A36" s="19" t="s">
        <v>104</v>
      </c>
      <c r="B36" s="2" t="s">
        <v>765</v>
      </c>
      <c r="C36" s="2"/>
      <c r="D36" s="2" t="s">
        <v>149</v>
      </c>
      <c r="E36" s="103" t="s">
        <v>344</v>
      </c>
      <c r="F36" s="2"/>
    </row>
    <row r="37" spans="1:6" ht="22.5" customHeight="1">
      <c r="A37" s="19" t="s">
        <v>480</v>
      </c>
      <c r="B37" s="2" t="s">
        <v>482</v>
      </c>
      <c r="C37" s="2"/>
      <c r="D37" s="2" t="s">
        <v>143</v>
      </c>
      <c r="E37" s="103" t="s">
        <v>438</v>
      </c>
      <c r="F37" s="2" t="s">
        <v>450</v>
      </c>
    </row>
    <row r="38" spans="1:6" ht="22.5" customHeight="1">
      <c r="A38" s="19" t="s">
        <v>481</v>
      </c>
      <c r="B38" s="2" t="s">
        <v>483</v>
      </c>
      <c r="C38" s="2"/>
      <c r="D38" s="2" t="s">
        <v>143</v>
      </c>
      <c r="E38" s="103" t="s">
        <v>438</v>
      </c>
      <c r="F38" s="2" t="s">
        <v>450</v>
      </c>
    </row>
    <row r="39" spans="1:6" ht="22.5" customHeight="1">
      <c r="A39" s="16" t="s">
        <v>441</v>
      </c>
      <c r="B39" s="2" t="s">
        <v>79</v>
      </c>
      <c r="C39" s="2">
        <v>50</v>
      </c>
      <c r="D39" s="2" t="s">
        <v>143</v>
      </c>
      <c r="E39" s="2" t="s">
        <v>432</v>
      </c>
      <c r="F39" s="2" t="s">
        <v>381</v>
      </c>
    </row>
    <row r="40" spans="1:6" ht="22.5" customHeight="1">
      <c r="A40" s="16" t="s">
        <v>440</v>
      </c>
      <c r="B40" s="2" t="s">
        <v>79</v>
      </c>
      <c r="C40" s="2">
        <v>50</v>
      </c>
      <c r="D40" s="2" t="s">
        <v>143</v>
      </c>
      <c r="E40" s="2" t="s">
        <v>434</v>
      </c>
      <c r="F40" s="2" t="s">
        <v>381</v>
      </c>
    </row>
    <row r="41" spans="1:6" ht="22.5" customHeight="1">
      <c r="A41" s="16" t="s">
        <v>439</v>
      </c>
      <c r="B41" s="2" t="s">
        <v>79</v>
      </c>
      <c r="C41" s="2">
        <v>50</v>
      </c>
      <c r="D41" s="2" t="s">
        <v>143</v>
      </c>
      <c r="E41" s="2" t="s">
        <v>438</v>
      </c>
      <c r="F41" s="2" t="s">
        <v>381</v>
      </c>
    </row>
    <row r="42" spans="1:6" ht="22.5" customHeight="1">
      <c r="A42" s="19" t="s">
        <v>479</v>
      </c>
      <c r="B42" s="2" t="s">
        <v>484</v>
      </c>
      <c r="C42" s="2"/>
      <c r="D42" s="2" t="s">
        <v>143</v>
      </c>
      <c r="E42" s="103" t="s">
        <v>438</v>
      </c>
      <c r="F42" s="2" t="s">
        <v>450</v>
      </c>
    </row>
    <row r="43" spans="1:6" ht="22.5" customHeight="1">
      <c r="A43" s="16" t="s">
        <v>428</v>
      </c>
      <c r="B43" s="2" t="s">
        <v>499</v>
      </c>
      <c r="C43" s="2"/>
      <c r="D43" s="2" t="s">
        <v>149</v>
      </c>
      <c r="E43" s="103" t="s">
        <v>274</v>
      </c>
      <c r="F43" s="2" t="s">
        <v>268</v>
      </c>
    </row>
    <row r="44" spans="1:6" ht="22.5" customHeight="1">
      <c r="A44" s="16" t="s">
        <v>135</v>
      </c>
      <c r="B44" s="2" t="s">
        <v>763</v>
      </c>
      <c r="C44" s="2"/>
      <c r="D44" s="2" t="s">
        <v>149</v>
      </c>
      <c r="E44" s="103" t="s">
        <v>344</v>
      </c>
      <c r="F44" s="2"/>
    </row>
    <row r="45" spans="1:6" ht="22.5" customHeight="1">
      <c r="A45" s="16" t="s">
        <v>103</v>
      </c>
      <c r="B45" s="2" t="s">
        <v>16</v>
      </c>
      <c r="C45" s="2"/>
      <c r="D45" s="2" t="s">
        <v>143</v>
      </c>
      <c r="E45" s="103" t="s">
        <v>344</v>
      </c>
      <c r="F45" s="2" t="s">
        <v>268</v>
      </c>
    </row>
    <row r="46" spans="1:6" ht="22.5" customHeight="1">
      <c r="A46" s="19" t="s">
        <v>378</v>
      </c>
      <c r="B46" s="2" t="s">
        <v>89</v>
      </c>
      <c r="C46" s="2"/>
      <c r="D46" s="2" t="s">
        <v>143</v>
      </c>
      <c r="E46" s="103" t="s">
        <v>274</v>
      </c>
      <c r="F46" s="2" t="s">
        <v>268</v>
      </c>
    </row>
    <row r="47" spans="1:6" ht="22.5" customHeight="1">
      <c r="A47" s="19" t="s">
        <v>88</v>
      </c>
      <c r="B47" s="2" t="s">
        <v>89</v>
      </c>
      <c r="C47" s="2"/>
      <c r="D47" s="2" t="s">
        <v>143</v>
      </c>
      <c r="E47" s="2"/>
      <c r="F47" s="2"/>
    </row>
    <row r="48" spans="1:6" ht="22.5" customHeight="1">
      <c r="A48" s="19" t="s">
        <v>509</v>
      </c>
      <c r="B48" s="2" t="s">
        <v>510</v>
      </c>
      <c r="C48" s="2"/>
      <c r="D48" s="2" t="s">
        <v>178</v>
      </c>
      <c r="E48" s="103" t="s">
        <v>434</v>
      </c>
      <c r="F48" s="2" t="s">
        <v>271</v>
      </c>
    </row>
    <row r="49" spans="1:6" ht="22.5" customHeight="1">
      <c r="A49" s="16" t="s">
        <v>134</v>
      </c>
      <c r="B49" s="2" t="s">
        <v>764</v>
      </c>
      <c r="C49" s="2"/>
      <c r="D49" s="2" t="s">
        <v>148</v>
      </c>
      <c r="E49" s="103" t="s">
        <v>434</v>
      </c>
      <c r="F49" s="2" t="s">
        <v>271</v>
      </c>
    </row>
    <row r="50" spans="1:6" ht="22.5" customHeight="1">
      <c r="A50" s="19" t="s">
        <v>379</v>
      </c>
      <c r="B50" s="354" t="s">
        <v>498</v>
      </c>
      <c r="C50" s="2"/>
      <c r="D50" s="2" t="s">
        <v>143</v>
      </c>
      <c r="E50" s="103" t="s">
        <v>274</v>
      </c>
      <c r="F50" s="2" t="s">
        <v>272</v>
      </c>
    </row>
    <row r="51" spans="1:6" ht="22.5" customHeight="1">
      <c r="A51" s="16" t="s">
        <v>514</v>
      </c>
      <c r="B51" s="2" t="s">
        <v>513</v>
      </c>
      <c r="C51" s="2"/>
      <c r="D51" s="2" t="s">
        <v>148</v>
      </c>
      <c r="E51" s="103" t="s">
        <v>434</v>
      </c>
      <c r="F51" s="2" t="s">
        <v>515</v>
      </c>
    </row>
    <row r="52" spans="1:6" ht="22.5" customHeight="1">
      <c r="A52" s="16"/>
      <c r="B52" s="2"/>
      <c r="C52" s="2"/>
      <c r="D52" s="2"/>
      <c r="E52" s="103"/>
      <c r="F52" s="2"/>
    </row>
    <row r="53" spans="1:6" ht="22.5" customHeight="1">
      <c r="A53" s="16"/>
      <c r="B53" s="2"/>
      <c r="C53" s="2"/>
      <c r="D53" s="2"/>
      <c r="E53" s="103"/>
      <c r="F53" s="2"/>
    </row>
    <row r="54" spans="1:6" ht="22.5" customHeight="1">
      <c r="A54" s="16"/>
      <c r="B54" s="2"/>
      <c r="C54" s="2"/>
      <c r="D54" s="2"/>
      <c r="E54" s="103"/>
      <c r="F54" s="2"/>
    </row>
    <row r="55" spans="1:6" ht="22.5" customHeight="1">
      <c r="A55" s="16"/>
      <c r="B55" s="2"/>
      <c r="C55" s="2"/>
      <c r="D55" s="2"/>
      <c r="E55" s="103"/>
      <c r="F55" s="2"/>
    </row>
    <row r="56" spans="1:6" ht="22.5" customHeight="1">
      <c r="A56" s="16"/>
      <c r="B56" s="2"/>
      <c r="C56" s="2"/>
      <c r="D56" s="2"/>
      <c r="E56" s="103"/>
      <c r="F56" s="2"/>
    </row>
    <row r="57" spans="1:6" ht="22.5" customHeight="1">
      <c r="A57" s="16"/>
      <c r="B57" s="2"/>
      <c r="C57" s="2"/>
      <c r="D57" s="2"/>
      <c r="E57" s="103"/>
      <c r="F57" s="2"/>
    </row>
    <row r="58" spans="1:6" ht="22.5" customHeight="1">
      <c r="A58" s="16"/>
      <c r="B58" s="2"/>
      <c r="C58" s="2"/>
      <c r="D58" s="2"/>
      <c r="E58" s="103"/>
      <c r="F58" s="2"/>
    </row>
    <row r="59" spans="1:6" ht="22.5" customHeight="1">
      <c r="A59" s="16"/>
      <c r="B59" s="2"/>
      <c r="C59" s="2"/>
      <c r="D59" s="2"/>
      <c r="E59" s="103"/>
      <c r="F59" s="2"/>
    </row>
    <row r="60" spans="1:6" ht="22.5" customHeight="1">
      <c r="A60" s="16"/>
      <c r="B60" s="2"/>
      <c r="C60" s="2"/>
      <c r="D60" s="2"/>
      <c r="E60" s="103"/>
      <c r="F60" s="2"/>
    </row>
    <row r="61" spans="1:6" ht="22.5" customHeight="1">
      <c r="A61" s="16"/>
      <c r="B61" s="2"/>
      <c r="C61" s="2"/>
      <c r="D61" s="2"/>
      <c r="E61" s="103"/>
      <c r="F61" s="2"/>
    </row>
    <row r="62" spans="1:6" ht="22.5" customHeight="1">
      <c r="A62" s="16"/>
      <c r="B62" s="2"/>
      <c r="C62" s="2"/>
      <c r="D62" s="2"/>
      <c r="E62" s="103"/>
      <c r="F62" s="2"/>
    </row>
    <row r="63" spans="1:6" ht="22.5" customHeight="1">
      <c r="A63" s="16"/>
      <c r="B63" s="2"/>
      <c r="C63" s="2"/>
      <c r="D63" s="2"/>
      <c r="E63" s="103"/>
      <c r="F63" s="2"/>
    </row>
    <row r="64" spans="1:6" ht="22.5" customHeight="1">
      <c r="A64" s="16"/>
      <c r="B64" s="2"/>
      <c r="C64" s="2"/>
      <c r="D64" s="2"/>
      <c r="E64" s="103"/>
      <c r="F64" s="2"/>
    </row>
    <row r="65" spans="1:6" ht="22.5" customHeight="1">
      <c r="A65" s="16"/>
      <c r="B65" s="2"/>
      <c r="C65" s="2"/>
      <c r="D65" s="2"/>
      <c r="E65" s="103"/>
      <c r="F65" s="2"/>
    </row>
    <row r="66" spans="1:6" ht="22.5" customHeight="1">
      <c r="A66" s="16"/>
      <c r="B66" s="2"/>
      <c r="C66" s="2"/>
      <c r="D66" s="2"/>
      <c r="E66" s="103"/>
      <c r="F66" s="2"/>
    </row>
    <row r="67" spans="1:6" ht="22.5" customHeight="1">
      <c r="A67" s="16"/>
      <c r="B67" s="2"/>
      <c r="C67" s="2"/>
      <c r="D67" s="2"/>
      <c r="E67" s="103"/>
      <c r="F67" s="2"/>
    </row>
    <row r="68" spans="1:6" ht="22.5" customHeight="1">
      <c r="A68" s="16"/>
      <c r="B68" s="2"/>
      <c r="C68" s="2"/>
      <c r="D68" s="2"/>
      <c r="E68" s="103"/>
      <c r="F68" s="2"/>
    </row>
    <row r="69" spans="1:6" ht="22.5" customHeight="1">
      <c r="A69" s="16"/>
      <c r="B69" s="2"/>
      <c r="C69" s="2"/>
      <c r="D69" s="2"/>
      <c r="E69" s="103"/>
      <c r="F69" s="2"/>
    </row>
    <row r="70" spans="1:6" ht="22.5" customHeight="1">
      <c r="A70" s="16"/>
      <c r="B70" s="2"/>
      <c r="C70" s="2"/>
      <c r="D70" s="2"/>
      <c r="E70" s="103"/>
      <c r="F70" s="2"/>
    </row>
    <row r="71" spans="1:6" ht="22.5" customHeight="1">
      <c r="A71" s="16"/>
      <c r="B71" s="2"/>
      <c r="C71" s="2"/>
      <c r="D71" s="2"/>
      <c r="E71" s="103"/>
      <c r="F71" s="2"/>
    </row>
    <row r="72" spans="1:6" ht="22.5" customHeight="1">
      <c r="A72" s="16"/>
      <c r="B72" s="2"/>
      <c r="C72" s="2"/>
      <c r="D72" s="2"/>
      <c r="E72" s="103"/>
      <c r="F72" s="2"/>
    </row>
    <row r="73" spans="1:6" ht="22.5" customHeight="1">
      <c r="A73" s="16"/>
      <c r="B73" s="2"/>
      <c r="C73" s="2"/>
      <c r="D73" s="2"/>
      <c r="E73" s="103"/>
      <c r="F73" s="2"/>
    </row>
    <row r="74" spans="1:6" ht="22.5" customHeight="1">
      <c r="A74" s="16"/>
      <c r="B74" s="2"/>
      <c r="C74" s="2"/>
      <c r="D74" s="2"/>
      <c r="E74" s="103"/>
      <c r="F74" s="2"/>
    </row>
    <row r="75" spans="1:6" ht="22.5" customHeight="1">
      <c r="A75" s="16"/>
      <c r="B75" s="2"/>
      <c r="C75" s="2"/>
      <c r="D75" s="2"/>
      <c r="E75" s="103"/>
      <c r="F75" s="2"/>
    </row>
    <row r="76" spans="1:6" ht="22.5" customHeight="1">
      <c r="A76" s="16"/>
      <c r="B76" s="2"/>
      <c r="C76" s="2"/>
      <c r="D76" s="2"/>
      <c r="E76" s="103"/>
      <c r="F76" s="2"/>
    </row>
    <row r="77" spans="1:6" ht="22.5" customHeight="1" thickBot="1">
      <c r="A77" s="20"/>
      <c r="B77" s="21"/>
      <c r="C77" s="21"/>
      <c r="D77" s="21"/>
      <c r="E77" s="123"/>
      <c r="F77" s="21"/>
    </row>
    <row r="78" spans="1:6" ht="22.5" customHeight="1" thickTop="1">
      <c r="A78" s="13"/>
      <c r="B78" s="13"/>
      <c r="C78" s="13"/>
      <c r="D78" s="13"/>
      <c r="E78" s="124"/>
      <c r="F78" s="13"/>
    </row>
    <row r="79" spans="1:6" ht="22.5" customHeight="1">
      <c r="A79" s="2"/>
      <c r="B79" s="2"/>
      <c r="C79" s="2"/>
      <c r="D79" s="2"/>
      <c r="E79" s="103"/>
      <c r="F79" s="2"/>
    </row>
    <row r="80" spans="1:6" ht="22.5" customHeight="1">
      <c r="A80" s="2"/>
      <c r="B80" s="2"/>
      <c r="C80" s="2"/>
      <c r="D80" s="2"/>
      <c r="E80" s="103"/>
      <c r="F80" s="2"/>
    </row>
    <row r="81" spans="1:6" ht="22.5" customHeight="1">
      <c r="A81" s="2"/>
      <c r="B81" s="2"/>
      <c r="C81" s="2"/>
      <c r="D81" s="2"/>
      <c r="E81" s="103"/>
      <c r="F81" s="2"/>
    </row>
    <row r="82" spans="1:6" ht="22.5" customHeight="1">
      <c r="A82" s="2"/>
      <c r="B82" s="2"/>
      <c r="C82" s="2"/>
      <c r="D82" s="2"/>
      <c r="E82" s="103"/>
      <c r="F82" s="2"/>
    </row>
    <row r="83" spans="1:6" ht="22.5" customHeight="1">
      <c r="A83" s="2"/>
      <c r="B83" s="2"/>
      <c r="C83" s="2"/>
      <c r="D83" s="2"/>
      <c r="E83" s="103"/>
      <c r="F83" s="2"/>
    </row>
    <row r="84" spans="1:6" ht="22.5" customHeight="1">
      <c r="A84" s="2"/>
      <c r="B84" s="2"/>
      <c r="C84" s="2"/>
      <c r="D84" s="2"/>
      <c r="E84" s="103"/>
      <c r="F84" s="2"/>
    </row>
    <row r="85" spans="1:6" ht="22.5" customHeight="1">
      <c r="A85" s="2"/>
      <c r="B85" s="2"/>
      <c r="C85" s="2"/>
      <c r="D85" s="2"/>
      <c r="E85" s="103"/>
      <c r="F85" s="2"/>
    </row>
    <row r="86" spans="1:6" ht="22.5" customHeight="1">
      <c r="A86" s="2"/>
      <c r="B86" s="2"/>
      <c r="C86" s="2"/>
      <c r="D86" s="2"/>
      <c r="E86" s="103"/>
      <c r="F86" s="2"/>
    </row>
    <row r="87" spans="1:6" ht="22.5" customHeight="1">
      <c r="A87" s="2"/>
      <c r="B87" s="2"/>
      <c r="C87" s="2"/>
      <c r="D87" s="2"/>
      <c r="E87" s="103"/>
      <c r="F87" s="2"/>
    </row>
    <row r="88" spans="1:6" ht="22.5" customHeight="1">
      <c r="A88" s="2"/>
      <c r="B88" s="2"/>
      <c r="C88" s="2"/>
      <c r="D88" s="2"/>
      <c r="E88" s="103"/>
      <c r="F88" s="2"/>
    </row>
    <row r="89" spans="1:6" ht="22.5" customHeight="1">
      <c r="A89" s="2"/>
      <c r="B89" s="2"/>
      <c r="C89" s="2"/>
      <c r="D89" s="2"/>
      <c r="E89" s="103"/>
      <c r="F89" s="2"/>
    </row>
    <row r="90" spans="1:6" ht="22.5" customHeight="1">
      <c r="A90" s="2"/>
      <c r="B90" s="2"/>
      <c r="C90" s="2"/>
      <c r="D90" s="2"/>
      <c r="E90" s="103"/>
      <c r="F90" s="2"/>
    </row>
    <row r="91" spans="1:6" ht="22.5" customHeight="1">
      <c r="A91" s="2"/>
      <c r="B91" s="2"/>
      <c r="C91" s="2"/>
      <c r="D91" s="2"/>
      <c r="E91" s="103"/>
      <c r="F91" s="2"/>
    </row>
    <row r="92" spans="1:6" ht="22.5" customHeight="1">
      <c r="A92" s="2"/>
      <c r="B92" s="2"/>
      <c r="C92" s="2"/>
      <c r="D92" s="2"/>
      <c r="E92" s="103"/>
      <c r="F92" s="2"/>
    </row>
    <row r="93" spans="1:6" ht="22.5" customHeight="1">
      <c r="A93" s="2"/>
      <c r="B93" s="2"/>
      <c r="C93" s="2"/>
      <c r="D93" s="2"/>
      <c r="E93" s="103"/>
      <c r="F93" s="2"/>
    </row>
    <row r="94" spans="1:6" ht="22.5" customHeight="1">
      <c r="A94" s="2"/>
      <c r="B94" s="2"/>
      <c r="C94" s="2"/>
      <c r="D94" s="2"/>
      <c r="E94" s="103"/>
      <c r="F94" s="2"/>
    </row>
    <row r="95" spans="1:6" ht="22.5" customHeight="1">
      <c r="A95" s="2"/>
      <c r="B95" s="2"/>
      <c r="C95" s="2"/>
      <c r="D95" s="2"/>
      <c r="E95" s="103"/>
      <c r="F95" s="2"/>
    </row>
    <row r="96" spans="1:6" ht="22.5" customHeight="1">
      <c r="A96" s="2"/>
      <c r="B96" s="2"/>
      <c r="C96" s="2"/>
      <c r="D96" s="2"/>
      <c r="E96" s="103"/>
      <c r="F96" s="2"/>
    </row>
    <row r="97" spans="1:6" ht="22.5" customHeight="1">
      <c r="A97" s="2"/>
      <c r="B97" s="2"/>
      <c r="C97" s="2"/>
      <c r="D97" s="2"/>
      <c r="E97" s="103"/>
      <c r="F97" s="2"/>
    </row>
    <row r="98" spans="1:6" ht="22.5" customHeight="1">
      <c r="A98" s="2"/>
      <c r="B98" s="2"/>
      <c r="C98" s="2"/>
      <c r="D98" s="2"/>
      <c r="E98" s="103"/>
      <c r="F98" s="2"/>
    </row>
    <row r="99" spans="1:6" ht="22.5" customHeight="1">
      <c r="A99" s="2"/>
      <c r="B99" s="2"/>
      <c r="C99" s="2"/>
      <c r="D99" s="2"/>
      <c r="E99" s="103"/>
      <c r="F99" s="2"/>
    </row>
    <row r="100" spans="1:6" ht="22.5" customHeight="1">
      <c r="A100" s="2"/>
      <c r="B100" s="2"/>
      <c r="C100" s="2"/>
      <c r="D100" s="2"/>
      <c r="E100" s="103"/>
      <c r="F100" s="2"/>
    </row>
    <row r="101" spans="1:6" ht="22.5" customHeight="1">
      <c r="A101" s="2"/>
      <c r="B101" s="2"/>
      <c r="C101" s="2"/>
      <c r="D101" s="2"/>
      <c r="E101" s="103"/>
      <c r="F101" s="2"/>
    </row>
    <row r="102" spans="1:6" ht="22.5" customHeight="1">
      <c r="A102" s="2"/>
      <c r="B102" s="2"/>
      <c r="C102" s="2"/>
      <c r="D102" s="2"/>
      <c r="E102" s="103"/>
      <c r="F102" s="2"/>
    </row>
    <row r="103" spans="1:6" ht="22.5" customHeight="1">
      <c r="A103" s="2"/>
      <c r="B103" s="2"/>
      <c r="C103" s="2"/>
      <c r="D103" s="2"/>
      <c r="E103" s="103"/>
      <c r="F103" s="2"/>
    </row>
    <row r="104" spans="1:6" ht="22.5" customHeight="1">
      <c r="A104" s="2"/>
      <c r="B104" s="2"/>
      <c r="C104" s="2"/>
      <c r="D104" s="2"/>
      <c r="E104" s="103"/>
      <c r="F104" s="2"/>
    </row>
    <row r="105" spans="1:6">
      <c r="A105" s="2"/>
      <c r="B105" s="2"/>
      <c r="C105" s="2"/>
      <c r="D105" s="2"/>
      <c r="E105" s="103"/>
      <c r="F105" s="2"/>
    </row>
    <row r="106" spans="1:6">
      <c r="A106" s="2"/>
      <c r="B106" s="2"/>
      <c r="C106" s="2"/>
      <c r="D106" s="2"/>
      <c r="E106" s="103"/>
      <c r="F106" s="2"/>
    </row>
    <row r="107" spans="1:6">
      <c r="A107" s="2"/>
      <c r="B107" s="2"/>
      <c r="C107" s="2"/>
      <c r="D107" s="2"/>
      <c r="E107" s="103"/>
      <c r="F107" s="2"/>
    </row>
  </sheetData>
  <sortState ref="A3:F50">
    <sortCondition ref="A3:A50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1:C20"/>
  <sheetViews>
    <sheetView workbookViewId="0">
      <selection activeCell="C2" sqref="C2:C12"/>
    </sheetView>
  </sheetViews>
  <sheetFormatPr baseColWidth="10" defaultRowHeight="15"/>
  <cols>
    <col min="1" max="1" width="21.28515625" style="37" customWidth="1"/>
    <col min="3" max="3" width="19.5703125" style="37" customWidth="1"/>
  </cols>
  <sheetData>
    <row r="1" spans="1:3" ht="24.75" thickTop="1" thickBot="1">
      <c r="A1" s="38" t="s">
        <v>15</v>
      </c>
      <c r="C1" s="38" t="s">
        <v>10</v>
      </c>
    </row>
    <row r="2" spans="1:3" s="10" customFormat="1" ht="24.75" thickTop="1" thickBot="1">
      <c r="A2" s="117"/>
      <c r="C2" s="118"/>
    </row>
    <row r="3" spans="1:3" s="10" customFormat="1" ht="17.25" customHeight="1" thickTop="1">
      <c r="A3" s="39" t="s">
        <v>274</v>
      </c>
      <c r="C3" s="41"/>
    </row>
    <row r="4" spans="1:3">
      <c r="A4" s="39" t="s">
        <v>330</v>
      </c>
      <c r="C4" s="39" t="s">
        <v>180</v>
      </c>
    </row>
    <row r="5" spans="1:3">
      <c r="A5" s="39" t="s">
        <v>317</v>
      </c>
      <c r="C5" s="39" t="s">
        <v>181</v>
      </c>
    </row>
    <row r="6" spans="1:3">
      <c r="A6" s="39" t="s">
        <v>318</v>
      </c>
      <c r="C6" s="39" t="s">
        <v>182</v>
      </c>
    </row>
    <row r="7" spans="1:3">
      <c r="A7" s="39" t="s">
        <v>319</v>
      </c>
      <c r="C7" s="39" t="s">
        <v>183</v>
      </c>
    </row>
    <row r="8" spans="1:3">
      <c r="A8" s="39" t="s">
        <v>320</v>
      </c>
      <c r="C8" s="39" t="s">
        <v>184</v>
      </c>
    </row>
    <row r="9" spans="1:3">
      <c r="A9" s="39" t="s">
        <v>320</v>
      </c>
      <c r="C9" s="39" t="s">
        <v>185</v>
      </c>
    </row>
    <row r="10" spans="1:3">
      <c r="A10" s="39" t="s">
        <v>321</v>
      </c>
      <c r="C10" s="39" t="s">
        <v>186</v>
      </c>
    </row>
    <row r="11" spans="1:3">
      <c r="A11" s="39" t="s">
        <v>321</v>
      </c>
      <c r="C11" s="39" t="s">
        <v>187</v>
      </c>
    </row>
    <row r="12" spans="1:3">
      <c r="A12" s="39" t="s">
        <v>322</v>
      </c>
      <c r="C12" s="39" t="s">
        <v>332</v>
      </c>
    </row>
    <row r="13" spans="1:3">
      <c r="A13" s="39" t="s">
        <v>323</v>
      </c>
      <c r="C13" s="39"/>
    </row>
    <row r="14" spans="1:3" ht="15.75" thickBot="1">
      <c r="A14" s="39" t="s">
        <v>324</v>
      </c>
      <c r="C14" s="40"/>
    </row>
    <row r="15" spans="1:3" ht="15.75" thickTop="1">
      <c r="A15" s="39" t="s">
        <v>325</v>
      </c>
    </row>
    <row r="16" spans="1:3">
      <c r="A16" s="39" t="s">
        <v>326</v>
      </c>
    </row>
    <row r="17" spans="1:1">
      <c r="A17" s="39" t="s">
        <v>327</v>
      </c>
    </row>
    <row r="18" spans="1:1">
      <c r="A18" s="39" t="s">
        <v>328</v>
      </c>
    </row>
    <row r="19" spans="1:1">
      <c r="A19" s="39" t="s">
        <v>329</v>
      </c>
    </row>
    <row r="20" spans="1:1">
      <c r="A20" s="39" t="s">
        <v>331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7"/>
  <dimension ref="A1:E26"/>
  <sheetViews>
    <sheetView workbookViewId="0">
      <selection activeCell="G19" sqref="G19"/>
    </sheetView>
  </sheetViews>
  <sheetFormatPr baseColWidth="10" defaultRowHeight="15"/>
  <cols>
    <col min="1" max="1" width="21.7109375" customWidth="1"/>
  </cols>
  <sheetData>
    <row r="1" spans="1:5">
      <c r="A1" s="127"/>
      <c r="B1" s="1351" t="s">
        <v>345</v>
      </c>
      <c r="C1" s="1351"/>
      <c r="D1" s="1351" t="s">
        <v>336</v>
      </c>
      <c r="E1" s="1351"/>
    </row>
    <row r="2" spans="1:5">
      <c r="A2" s="128"/>
      <c r="B2" s="129" t="s">
        <v>346</v>
      </c>
      <c r="C2" s="135" t="s">
        <v>347</v>
      </c>
      <c r="D2" s="129" t="s">
        <v>348</v>
      </c>
      <c r="E2" s="135" t="s">
        <v>349</v>
      </c>
    </row>
    <row r="3" spans="1:5">
      <c r="A3" s="127" t="s">
        <v>350</v>
      </c>
      <c r="B3" s="129">
        <v>68</v>
      </c>
      <c r="C3" s="136">
        <f>B3/100</f>
        <v>0.68</v>
      </c>
      <c r="D3" s="130">
        <v>2.1</v>
      </c>
      <c r="E3" s="136">
        <f>D3/100</f>
        <v>2.1000000000000001E-2</v>
      </c>
    </row>
    <row r="4" spans="1:5">
      <c r="A4" s="127" t="s">
        <v>351</v>
      </c>
      <c r="B4" s="129">
        <v>57</v>
      </c>
      <c r="C4" s="136">
        <f t="shared" ref="C4:C26" si="0">B4/100</f>
        <v>0.56999999999999995</v>
      </c>
      <c r="D4" s="130">
        <v>2.7</v>
      </c>
      <c r="E4" s="136">
        <f t="shared" ref="E4:E26" si="1">D4/100</f>
        <v>2.7000000000000003E-2</v>
      </c>
    </row>
    <row r="5" spans="1:5">
      <c r="A5" s="127" t="s">
        <v>352</v>
      </c>
      <c r="B5" s="129">
        <v>20</v>
      </c>
      <c r="C5" s="136">
        <f t="shared" si="0"/>
        <v>0.2</v>
      </c>
      <c r="D5" s="131">
        <v>0</v>
      </c>
      <c r="E5" s="136">
        <f t="shared" si="1"/>
        <v>0</v>
      </c>
    </row>
    <row r="6" spans="1:5">
      <c r="A6" s="127" t="s">
        <v>353</v>
      </c>
      <c r="B6" s="129">
        <v>40</v>
      </c>
      <c r="C6" s="136">
        <f t="shared" si="0"/>
        <v>0.4</v>
      </c>
      <c r="D6" s="131">
        <v>0</v>
      </c>
      <c r="E6" s="136">
        <f t="shared" si="1"/>
        <v>0</v>
      </c>
    </row>
    <row r="7" spans="1:5">
      <c r="A7" s="127" t="s">
        <v>354</v>
      </c>
      <c r="B7" s="129">
        <v>180</v>
      </c>
      <c r="C7" s="136">
        <f t="shared" si="0"/>
        <v>1.8</v>
      </c>
      <c r="D7" s="131">
        <v>0</v>
      </c>
      <c r="E7" s="136">
        <f t="shared" si="1"/>
        <v>0</v>
      </c>
    </row>
    <row r="8" spans="1:5">
      <c r="A8" s="127" t="s">
        <v>355</v>
      </c>
      <c r="B8" s="129">
        <v>186</v>
      </c>
      <c r="C8" s="136">
        <f t="shared" si="0"/>
        <v>1.86</v>
      </c>
      <c r="D8" s="131">
        <v>0</v>
      </c>
      <c r="E8" s="136">
        <f t="shared" si="1"/>
        <v>0</v>
      </c>
    </row>
    <row r="9" spans="1:5">
      <c r="A9" s="127" t="s">
        <v>356</v>
      </c>
      <c r="B9" s="129">
        <v>37.5</v>
      </c>
      <c r="C9" s="136">
        <f t="shared" si="0"/>
        <v>0.375</v>
      </c>
      <c r="D9" s="130">
        <v>10</v>
      </c>
      <c r="E9" s="136">
        <f t="shared" si="1"/>
        <v>0.1</v>
      </c>
    </row>
    <row r="10" spans="1:5">
      <c r="A10" s="127" t="s">
        <v>357</v>
      </c>
      <c r="B10" s="129">
        <v>65</v>
      </c>
      <c r="C10" s="136">
        <f t="shared" si="0"/>
        <v>0.65</v>
      </c>
      <c r="D10" s="130">
        <v>1.2</v>
      </c>
      <c r="E10" s="136">
        <f t="shared" si="1"/>
        <v>1.2E-2</v>
      </c>
    </row>
    <row r="11" spans="1:5">
      <c r="A11" s="127" t="s">
        <v>358</v>
      </c>
      <c r="B11" s="129">
        <v>68.540000000000006</v>
      </c>
      <c r="C11" s="136">
        <f t="shared" si="0"/>
        <v>0.68540000000000001</v>
      </c>
      <c r="D11" s="130">
        <v>1.377</v>
      </c>
      <c r="E11" s="136">
        <f t="shared" si="1"/>
        <v>1.3769999999999999E-2</v>
      </c>
    </row>
    <row r="12" spans="1:5">
      <c r="A12" s="127" t="s">
        <v>359</v>
      </c>
      <c r="B12" s="129">
        <v>72.08</v>
      </c>
      <c r="C12" s="136">
        <f t="shared" si="0"/>
        <v>0.7208</v>
      </c>
      <c r="D12" s="130">
        <v>1.554</v>
      </c>
      <c r="E12" s="136">
        <f t="shared" si="1"/>
        <v>1.554E-2</v>
      </c>
    </row>
    <row r="13" spans="1:5">
      <c r="A13" s="127" t="s">
        <v>360</v>
      </c>
      <c r="B13" s="129">
        <v>75.62</v>
      </c>
      <c r="C13" s="136">
        <f t="shared" si="0"/>
        <v>0.75620000000000009</v>
      </c>
      <c r="D13" s="130">
        <v>1.7310000000000001</v>
      </c>
      <c r="E13" s="136">
        <f t="shared" si="1"/>
        <v>1.7310000000000002E-2</v>
      </c>
    </row>
    <row r="14" spans="1:5">
      <c r="A14" s="127" t="s">
        <v>361</v>
      </c>
      <c r="B14" s="129">
        <v>79.16</v>
      </c>
      <c r="C14" s="136">
        <f t="shared" si="0"/>
        <v>0.79159999999999997</v>
      </c>
      <c r="D14" s="130">
        <v>1.9079999999999999</v>
      </c>
      <c r="E14" s="136">
        <f t="shared" si="1"/>
        <v>1.908E-2</v>
      </c>
    </row>
    <row r="15" spans="1:5">
      <c r="A15" s="127" t="s">
        <v>362</v>
      </c>
      <c r="B15" s="129">
        <v>80</v>
      </c>
      <c r="C15" s="136">
        <f t="shared" si="0"/>
        <v>0.8</v>
      </c>
      <c r="D15" s="130">
        <v>2.88</v>
      </c>
      <c r="E15" s="136">
        <f t="shared" si="1"/>
        <v>2.8799999999999999E-2</v>
      </c>
    </row>
    <row r="16" spans="1:5">
      <c r="A16" s="127" t="s">
        <v>363</v>
      </c>
      <c r="B16" s="129">
        <v>90.6</v>
      </c>
      <c r="C16" s="136">
        <f t="shared" si="0"/>
        <v>0.90599999999999992</v>
      </c>
      <c r="D16" s="130">
        <v>3.27</v>
      </c>
      <c r="E16" s="136">
        <f t="shared" si="1"/>
        <v>3.27E-2</v>
      </c>
    </row>
    <row r="17" spans="1:5">
      <c r="A17" s="127" t="s">
        <v>364</v>
      </c>
      <c r="B17" s="129">
        <v>73</v>
      </c>
      <c r="C17" s="136">
        <f t="shared" si="0"/>
        <v>0.73</v>
      </c>
      <c r="D17" s="130">
        <v>2.04</v>
      </c>
      <c r="E17" s="136">
        <f t="shared" si="1"/>
        <v>2.0400000000000001E-2</v>
      </c>
    </row>
    <row r="18" spans="1:5">
      <c r="A18" s="127" t="s">
        <v>365</v>
      </c>
      <c r="B18" s="129">
        <v>82.7</v>
      </c>
      <c r="C18" s="136">
        <f t="shared" si="0"/>
        <v>0.82700000000000007</v>
      </c>
      <c r="D18" s="130">
        <v>2.31</v>
      </c>
      <c r="E18" s="136">
        <f t="shared" si="1"/>
        <v>2.3099999999999999E-2</v>
      </c>
    </row>
    <row r="19" spans="1:5">
      <c r="A19" s="132" t="s">
        <v>366</v>
      </c>
      <c r="B19" s="133">
        <v>67</v>
      </c>
      <c r="C19" s="136">
        <f t="shared" si="0"/>
        <v>0.67</v>
      </c>
      <c r="D19" s="134">
        <v>1.69</v>
      </c>
      <c r="E19" s="136">
        <f t="shared" si="1"/>
        <v>1.6899999999999998E-2</v>
      </c>
    </row>
    <row r="20" spans="1:5">
      <c r="A20" s="132" t="s">
        <v>367</v>
      </c>
      <c r="B20" s="133">
        <v>67</v>
      </c>
      <c r="C20" s="136">
        <f t="shared" si="0"/>
        <v>0.67</v>
      </c>
      <c r="D20" s="134">
        <v>1.5</v>
      </c>
      <c r="E20" s="136">
        <f t="shared" si="1"/>
        <v>1.4999999999999999E-2</v>
      </c>
    </row>
    <row r="21" spans="1:5">
      <c r="A21" s="132" t="s">
        <v>368</v>
      </c>
      <c r="B21" s="133">
        <v>67</v>
      </c>
      <c r="C21" s="136">
        <f t="shared" si="0"/>
        <v>0.67</v>
      </c>
      <c r="D21" s="134">
        <v>1.5</v>
      </c>
      <c r="E21" s="136">
        <f t="shared" si="1"/>
        <v>1.4999999999999999E-2</v>
      </c>
    </row>
    <row r="22" spans="1:5">
      <c r="A22" s="132" t="s">
        <v>369</v>
      </c>
      <c r="B22" s="133">
        <v>68.599999999999994</v>
      </c>
      <c r="C22" s="136">
        <f t="shared" si="0"/>
        <v>0.68599999999999994</v>
      </c>
      <c r="D22" s="134">
        <v>1.7</v>
      </c>
      <c r="E22" s="136">
        <f t="shared" si="1"/>
        <v>1.7000000000000001E-2</v>
      </c>
    </row>
    <row r="23" spans="1:5">
      <c r="A23" s="132" t="s">
        <v>370</v>
      </c>
      <c r="B23" s="133">
        <v>66</v>
      </c>
      <c r="C23" s="136">
        <f t="shared" si="0"/>
        <v>0.66</v>
      </c>
      <c r="D23" s="134">
        <v>1.7</v>
      </c>
      <c r="E23" s="136">
        <f t="shared" si="1"/>
        <v>1.7000000000000001E-2</v>
      </c>
    </row>
    <row r="24" spans="1:5">
      <c r="A24" s="132" t="s">
        <v>371</v>
      </c>
      <c r="B24" s="133">
        <v>75</v>
      </c>
      <c r="C24" s="136">
        <f t="shared" si="0"/>
        <v>0.75</v>
      </c>
      <c r="D24" s="134">
        <v>2</v>
      </c>
      <c r="E24" s="136">
        <f t="shared" si="1"/>
        <v>0.02</v>
      </c>
    </row>
    <row r="25" spans="1:5">
      <c r="A25" s="132" t="s">
        <v>372</v>
      </c>
      <c r="B25" s="133">
        <v>66</v>
      </c>
      <c r="C25" s="136">
        <f t="shared" si="0"/>
        <v>0.66</v>
      </c>
      <c r="D25" s="134">
        <v>1.3</v>
      </c>
      <c r="E25" s="136">
        <f t="shared" si="1"/>
        <v>1.3000000000000001E-2</v>
      </c>
    </row>
    <row r="26" spans="1:5">
      <c r="A26" s="132" t="s">
        <v>373</v>
      </c>
      <c r="B26" s="134">
        <f>80/15*17</f>
        <v>90.666666666666657</v>
      </c>
      <c r="C26" s="136">
        <f t="shared" si="0"/>
        <v>0.90666666666666662</v>
      </c>
      <c r="D26" s="134">
        <f>2.4/15*17</f>
        <v>2.72</v>
      </c>
      <c r="E26" s="136">
        <f t="shared" si="1"/>
        <v>2.7200000000000002E-2</v>
      </c>
    </row>
  </sheetData>
  <mergeCells count="2">
    <mergeCell ref="B1:C1"/>
    <mergeCell ref="D1:E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1"/>
  <dimension ref="A1:A53"/>
  <sheetViews>
    <sheetView topLeftCell="A9" workbookViewId="0">
      <selection activeCell="A32" sqref="A32"/>
    </sheetView>
  </sheetViews>
  <sheetFormatPr baseColWidth="10" defaultRowHeight="15"/>
  <cols>
    <col min="1" max="1" width="38.5703125" customWidth="1"/>
  </cols>
  <sheetData>
    <row r="1" spans="1:1" s="3" customFormat="1" ht="20.25" customHeight="1">
      <c r="A1" s="31" t="s">
        <v>147</v>
      </c>
    </row>
    <row r="2" spans="1:1" s="35" customFormat="1" ht="20.25" customHeight="1">
      <c r="A2" s="31"/>
    </row>
    <row r="3" spans="1:1" s="35" customFormat="1" ht="20.25" customHeight="1">
      <c r="A3" s="31"/>
    </row>
    <row r="4" spans="1:1" ht="20.25" customHeight="1">
      <c r="A4" s="16" t="s">
        <v>316</v>
      </c>
    </row>
    <row r="5" spans="1:1" ht="20.25" customHeight="1">
      <c r="A5" s="16" t="s">
        <v>410</v>
      </c>
    </row>
    <row r="6" spans="1:1" ht="20.25" customHeight="1">
      <c r="A6" s="16" t="s">
        <v>411</v>
      </c>
    </row>
    <row r="7" spans="1:1" ht="20.25" customHeight="1">
      <c r="A7" s="16" t="s">
        <v>412</v>
      </c>
    </row>
    <row r="8" spans="1:1" ht="20.25" customHeight="1">
      <c r="A8" s="16" t="s">
        <v>413</v>
      </c>
    </row>
    <row r="9" spans="1:1" ht="20.25" customHeight="1">
      <c r="A9" s="16" t="s">
        <v>414</v>
      </c>
    </row>
    <row r="10" spans="1:1" ht="20.25" customHeight="1">
      <c r="A10" s="16" t="s">
        <v>415</v>
      </c>
    </row>
    <row r="11" spans="1:1" ht="20.25" customHeight="1">
      <c r="A11" s="16" t="s">
        <v>416</v>
      </c>
    </row>
    <row r="12" spans="1:1" ht="20.25" customHeight="1">
      <c r="A12" s="16" t="s">
        <v>417</v>
      </c>
    </row>
    <row r="13" spans="1:1" ht="20.25" customHeight="1">
      <c r="A13" s="16" t="s">
        <v>418</v>
      </c>
    </row>
    <row r="14" spans="1:1" ht="20.25" customHeight="1">
      <c r="A14" s="16" t="s">
        <v>419</v>
      </c>
    </row>
    <row r="15" spans="1:1" ht="20.25" customHeight="1">
      <c r="A15" s="16" t="s">
        <v>420</v>
      </c>
    </row>
    <row r="16" spans="1:1" ht="20.25" customHeight="1">
      <c r="A16" s="16" t="s">
        <v>421</v>
      </c>
    </row>
    <row r="17" spans="1:1" ht="20.25" customHeight="1">
      <c r="A17" s="16" t="s">
        <v>422</v>
      </c>
    </row>
    <row r="18" spans="1:1" ht="20.25" customHeight="1">
      <c r="A18" s="16" t="s">
        <v>423</v>
      </c>
    </row>
    <row r="19" spans="1:1" ht="20.25" customHeight="1">
      <c r="A19" s="16" t="s">
        <v>680</v>
      </c>
    </row>
    <row r="20" spans="1:1" ht="20.25" customHeight="1">
      <c r="A20" s="16" t="s">
        <v>127</v>
      </c>
    </row>
    <row r="21" spans="1:1" ht="20.25" customHeight="1">
      <c r="A21" s="299" t="s">
        <v>533</v>
      </c>
    </row>
    <row r="22" spans="1:1" ht="20.25" customHeight="1">
      <c r="A22" s="16" t="s">
        <v>5</v>
      </c>
    </row>
    <row r="23" spans="1:1" ht="20.25" customHeight="1">
      <c r="A23" s="16" t="s">
        <v>128</v>
      </c>
    </row>
    <row r="24" spans="1:1" ht="20.25" customHeight="1">
      <c r="A24" s="299" t="s">
        <v>534</v>
      </c>
    </row>
    <row r="25" spans="1:1" ht="20.25" customHeight="1">
      <c r="A25" s="16" t="s">
        <v>130</v>
      </c>
    </row>
    <row r="26" spans="1:1" ht="20.25" customHeight="1">
      <c r="A26" s="16" t="s">
        <v>424</v>
      </c>
    </row>
    <row r="27" spans="1:1" ht="20.25" customHeight="1">
      <c r="A27" s="16" t="s">
        <v>536</v>
      </c>
    </row>
    <row r="28" spans="1:1" ht="20.25" customHeight="1">
      <c r="A28" s="16" t="s">
        <v>535</v>
      </c>
    </row>
    <row r="29" spans="1:1" ht="20.25" customHeight="1">
      <c r="A29" s="16" t="s">
        <v>425</v>
      </c>
    </row>
    <row r="30" spans="1:1" ht="20.25" customHeight="1">
      <c r="A30" s="16" t="s">
        <v>426</v>
      </c>
    </row>
    <row r="31" spans="1:1" ht="20.25" customHeight="1">
      <c r="A31" s="16" t="s">
        <v>689</v>
      </c>
    </row>
    <row r="32" spans="1:1" ht="20.25" customHeight="1">
      <c r="A32" s="16"/>
    </row>
    <row r="33" spans="1:1">
      <c r="A33" s="16"/>
    </row>
    <row r="34" spans="1:1">
      <c r="A34" s="16"/>
    </row>
    <row r="35" spans="1:1">
      <c r="A35" s="16"/>
    </row>
    <row r="36" spans="1:1">
      <c r="A36" s="16"/>
    </row>
    <row r="37" spans="1:1">
      <c r="A37" s="16"/>
    </row>
    <row r="38" spans="1:1" ht="15.75" thickBot="1">
      <c r="A38" s="20"/>
    </row>
    <row r="39" spans="1:1" ht="15.75" thickTop="1">
      <c r="A39" s="13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>
    <tabColor rgb="FF080808"/>
  </sheetPr>
  <dimension ref="A1"/>
  <sheetViews>
    <sheetView workbookViewId="0">
      <selection activeCell="G21" sqref="G21"/>
    </sheetView>
  </sheetViews>
  <sheetFormatPr baseColWidth="10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"/>
  <sheetViews>
    <sheetView topLeftCell="A31" workbookViewId="0">
      <selection activeCell="L76" sqref="L76"/>
    </sheetView>
  </sheetViews>
  <sheetFormatPr baseColWidth="10" defaultRowHeight="15"/>
  <sheetData/>
  <sheetProtection sheet="1" objects="1" scenarios="1" selectLockedCells="1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A20"/>
  <sheetViews>
    <sheetView workbookViewId="0">
      <selection activeCell="A13" sqref="A13"/>
    </sheetView>
  </sheetViews>
  <sheetFormatPr baseColWidth="10" defaultRowHeight="15"/>
  <cols>
    <col min="1" max="1" width="41.28515625" customWidth="1"/>
  </cols>
  <sheetData>
    <row r="1" spans="1:1" ht="18.75">
      <c r="A1" s="31" t="s">
        <v>571</v>
      </c>
    </row>
    <row r="2" spans="1:1" ht="18.75">
      <c r="A2" s="33"/>
    </row>
    <row r="3" spans="1:1">
      <c r="A3" s="16" t="s">
        <v>567</v>
      </c>
    </row>
    <row r="4" spans="1:1">
      <c r="A4" s="19" t="s">
        <v>565</v>
      </c>
    </row>
    <row r="5" spans="1:1">
      <c r="A5" s="16" t="s">
        <v>564</v>
      </c>
    </row>
    <row r="6" spans="1:1">
      <c r="A6" s="16" t="s">
        <v>568</v>
      </c>
    </row>
    <row r="7" spans="1:1" s="459" customFormat="1">
      <c r="A7" s="16" t="s">
        <v>766</v>
      </c>
    </row>
    <row r="8" spans="1:1">
      <c r="A8" s="16" t="s">
        <v>569</v>
      </c>
    </row>
    <row r="9" spans="1:1">
      <c r="A9" s="16" t="s">
        <v>562</v>
      </c>
    </row>
    <row r="10" spans="1:1">
      <c r="A10" s="16" t="s">
        <v>563</v>
      </c>
    </row>
    <row r="11" spans="1:1">
      <c r="A11" s="16" t="s">
        <v>561</v>
      </c>
    </row>
    <row r="12" spans="1:1">
      <c r="A12" s="16" t="s">
        <v>570</v>
      </c>
    </row>
    <row r="13" spans="1:1">
      <c r="A13" s="16" t="s">
        <v>566</v>
      </c>
    </row>
    <row r="14" spans="1:1">
      <c r="A14" s="16"/>
    </row>
    <row r="15" spans="1:1">
      <c r="A15" s="16"/>
    </row>
    <row r="16" spans="1:1">
      <c r="A16" s="16"/>
    </row>
    <row r="17" spans="1:1">
      <c r="A17" s="16"/>
    </row>
    <row r="18" spans="1:1">
      <c r="A18" s="16"/>
    </row>
    <row r="19" spans="1:1">
      <c r="A19" s="16"/>
    </row>
    <row r="20" spans="1:1">
      <c r="A20" s="16"/>
    </row>
  </sheetData>
  <sortState ref="A3:A13">
    <sortCondition ref="A3:A13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P91"/>
  <sheetViews>
    <sheetView workbookViewId="0">
      <selection activeCell="E17" sqref="E17"/>
    </sheetView>
  </sheetViews>
  <sheetFormatPr baseColWidth="10" defaultRowHeight="15"/>
  <cols>
    <col min="2" max="2" width="24.7109375" customWidth="1"/>
  </cols>
  <sheetData>
    <row r="1" spans="1:7">
      <c r="A1" s="469" t="s">
        <v>691</v>
      </c>
    </row>
    <row r="2" spans="1:7">
      <c r="A2" s="13" t="s">
        <v>692</v>
      </c>
    </row>
    <row r="4" spans="1:7" ht="18.75">
      <c r="A4" s="1352" t="s">
        <v>738</v>
      </c>
      <c r="B4" s="1352"/>
      <c r="C4" s="1352"/>
      <c r="D4" s="1352"/>
      <c r="E4" s="1352"/>
      <c r="F4" s="1352"/>
      <c r="G4" s="1352"/>
    </row>
    <row r="5" spans="1:7">
      <c r="C5" s="59" t="s">
        <v>336</v>
      </c>
      <c r="D5" s="59" t="s">
        <v>653</v>
      </c>
      <c r="E5" s="59" t="s">
        <v>712</v>
      </c>
      <c r="F5" s="59" t="s">
        <v>713</v>
      </c>
      <c r="G5" s="59" t="s">
        <v>717</v>
      </c>
    </row>
    <row r="6" spans="1:7">
      <c r="A6" t="s">
        <v>654</v>
      </c>
      <c r="C6" s="37" t="str">
        <f>IF(REA!G18="APNEO Standard KT Central",(REA!L20*2.7/100),"0")</f>
        <v>0</v>
      </c>
      <c r="D6" s="37" t="str">
        <f>IF(REA!G18="APNEO Standard KT Central",(REA!L20*61/100),"0")</f>
        <v>0</v>
      </c>
      <c r="E6" s="37" t="str">
        <f>IF(REA!G18="APNEO Standard KT Central",(REA!L20*12.5/100),"0")</f>
        <v>0</v>
      </c>
      <c r="F6" s="458"/>
      <c r="G6" s="37" t="str">
        <f>IF(REA!G18="APNEO Standard KT Central",(REA!L20*1.6/100),"0")</f>
        <v>0</v>
      </c>
    </row>
    <row r="7" spans="1:7">
      <c r="A7" t="s">
        <v>655</v>
      </c>
      <c r="C7" s="37" t="str">
        <f>IF(OR(REA!G18="APNEO Personnalisé KT Central",REA!G18="APNEO Personnalisé KT Périphérique"),(REA!P20*2.7/100),"0")</f>
        <v>0</v>
      </c>
      <c r="D7" s="37" t="str">
        <f>IF(OR(REA!G18="APNEO Personnalisé KT Central",REA!G18="APNEO Personnalisé KT Périphérique"),(REA!P20*61/100),"0")</f>
        <v>0</v>
      </c>
      <c r="E7" s="37" t="str">
        <f>IF(OR(REA!G18="APNEO Personnalisé KT Central",REA!G18="APNEO Personnalisé KT Périphérique"),(REA!P20*12.5/100),"0")</f>
        <v>0</v>
      </c>
      <c r="F7" s="458"/>
      <c r="G7" s="37" t="str">
        <f>IF(OR(REA!G18="APNEO Personnalisé KT Central",REA!G18="APNEO Personnalisé KT Périphérique"),(REA!P20*1.6/100),"0")</f>
        <v>0</v>
      </c>
    </row>
    <row r="8" spans="1:7">
      <c r="A8" t="s">
        <v>656</v>
      </c>
      <c r="C8" s="37" t="str">
        <f>IF(REA!G18="NUMETZAH G16 3-en-1 Standard KT Central",(REA!L20*2.6/100),"0")</f>
        <v>0</v>
      </c>
      <c r="D8" s="37" t="str">
        <f>IF(REA!G18="NUMETZAH G16 3-en-1 Standard KT Central",(REA!L20*103/100),"0")</f>
        <v>0</v>
      </c>
      <c r="E8" s="37" t="str">
        <f>IF(REA!G18="NUMETZAH G16 3-en-1 Standard KT Central",(REA!L20*15.5/100),"0")</f>
        <v>0</v>
      </c>
      <c r="F8" s="37" t="str">
        <f>IF(REA!G18="NUMETZAH G16 3-en-1 Standard KT Central",(REA!L20*3.1/100),"0")</f>
        <v>0</v>
      </c>
      <c r="G8" s="37" t="str">
        <f>IF(REA!G18="NUMETZAH G16 3-en-1 Standard KT Central",(REA!L20*2.4/100),"0")</f>
        <v>0</v>
      </c>
    </row>
    <row r="9" spans="1:7">
      <c r="A9" t="s">
        <v>657</v>
      </c>
      <c r="C9" s="37" t="str">
        <f>IF(OR(REA!G18="NUMETZAH G16 3-en-1 Personnalisé KT Central",REA!G18="NUMETZAH G16 3-en-1 Personnalisé KT Périphérique"),(REA!P20*2.6/100),"0")</f>
        <v>0</v>
      </c>
      <c r="D9" s="37" t="str">
        <f>IF(OR(REA!G18="NUMETZAH G16 3-en-1 Personnalisé KT Central",REA!G18="NUMETZAH G16 3-en-1 Personnalisé KT Périphérique"),(REA!P20*103/100),"0")</f>
        <v>0</v>
      </c>
      <c r="E9" s="37" t="str">
        <f>IF(OR(REA!G18="NUMETZAH G16 3-en-1 Personnalisé KT Central",REA!G18="NUMETZAH G16 3-en-1 Personnalisé KT Périphérique"),(REA!P20*15.5/100),"0")</f>
        <v>0</v>
      </c>
      <c r="F9" s="37" t="str">
        <f>IF(OR(REA!G18="NUMETZAH G16 3-en-1 Personnalisé KT Central",REA!G18="NUMETZAH G16 3-en-1 Personnalisé KT Périphérique"),(REA!P20*3.1/100),"0")</f>
        <v>0</v>
      </c>
      <c r="G9" s="37" t="str">
        <f>IF(OR(REA!G18="NUMETZAH G16 3-en-1 Personnalisé KT Central",REA!G18="NUMETZAH G16 3-en-1 Personnalisé KT Périphérique"),(REA!P20*2.4/100),"0")</f>
        <v>0</v>
      </c>
    </row>
    <row r="10" spans="1:7">
      <c r="A10" t="s">
        <v>658</v>
      </c>
      <c r="C10" s="37" t="str">
        <f>IF(REA!G18="NUMETZAH G16 2-en-1 Standard KT Central",(REA!L20*3.4/100),"0")</f>
        <v>0</v>
      </c>
      <c r="D10" s="37" t="str">
        <f>IF(REA!G18="NUMETZAH G16 2-en-1 Standard KT Central",(REA!L20*96/100),"0")</f>
        <v>0</v>
      </c>
      <c r="E10" s="37" t="str">
        <f>IF(REA!G18="NUMETZAH G16 2-en-1 Standard KT Central",(REA!L20*20.6/100),"0")</f>
        <v>0</v>
      </c>
      <c r="F10" s="458"/>
      <c r="G10" s="37" t="str">
        <f>IF(REA!G18="NUMETZAH G16 2-en-1 Standard KT Central",(REA!L20*3.1/100),"0")</f>
        <v>0</v>
      </c>
    </row>
    <row r="11" spans="1:7">
      <c r="A11" t="s">
        <v>659</v>
      </c>
      <c r="C11" s="37" t="str">
        <f>IF(OR(REA!G18="NUMETZAH G16 2-en-1 Personnalisé KT Central",REA!G18="NUMETZAH G16 2-en-1 Personnalisé KT Périphérique"),(REA!P20*3.4/100),"0")</f>
        <v>0</v>
      </c>
      <c r="D11" s="37" t="str">
        <f>IF(OR(REA!G18="NUMETZAH G16 2-en-1 Personnalisé KT Central",REA!G18="NUMETZAH G16 2-en-1 Personnalisé KT Périphérique"),(REA!P20*96/100),"0")</f>
        <v>0</v>
      </c>
      <c r="E11" s="37" t="str">
        <f>IF(OR(REA!G18="NUMETZAH G16 2-en-1 Personnalisé KT Central",REA!G18="NUMETZAH G16 2-en-1 Personnalisé KT Périphérique"),(REA!P20*20.6/100),"0")</f>
        <v>0</v>
      </c>
      <c r="F11" s="458"/>
      <c r="G11" s="37" t="str">
        <f>IF(OR(REA!G18="NUMETZAH G16 2-en-1 Personnalisé KT Central",REA!G18="NUMETZAH G16 2-en-1 Personnalisé KT Périphérique"),(REA!P20*3.1/100),"0")</f>
        <v>0</v>
      </c>
    </row>
    <row r="12" spans="1:7">
      <c r="A12" t="s">
        <v>660</v>
      </c>
      <c r="C12" s="37" t="str">
        <f>IF(REA!G18="APNEO Standard KT Central",(REA!L21*10/100),"0")</f>
        <v>0</v>
      </c>
      <c r="D12" s="37" t="str">
        <f>IF(REA!G18="APNEO Standard KT Central",(REA!L21*40/100),"0")</f>
        <v>0</v>
      </c>
      <c r="E12" s="458"/>
      <c r="F12" s="458"/>
      <c r="G12" s="458"/>
    </row>
    <row r="13" spans="1:7">
      <c r="A13" t="s">
        <v>661</v>
      </c>
      <c r="C13" s="37" t="str">
        <f>IF(OR(REA!G18="APNEO Standard KT Central",REA!G18="APNEO Personnalisé KT Central",REA!G18="APNEO Personnalisé KT Périphérique",REA!G18="NUMETZAH G16 3-en-1 Personnalisé KT Central",REA!G18="NUMETZAH G16 3-en-1 Personnalisé KT Périphérique",REA!G18="NUMETZAH G16 2-en-1 Personnalisé KT Central",REA!G18="NUMETZAH G16 2-en-1 Personnalisé KT périphérique"),(REA!P21*10/100),"0")</f>
        <v>0</v>
      </c>
      <c r="D13" s="37" t="str">
        <f>IF(OR(REA!G18="APNEO Standard KT Central",REA!G18="APNEO Personnalisé KT Central",REA!G18="APNEO Personnalisé KT Périphérique",REA!G18="NUMETZAH G16 3-en-1 Personnalisé KT Central",REA!G18="NUMETZAH G16 3-en-1 Personnalisé KT Périphérique",REA!G18="NUMETZAH G16 2-en-1 Personnalisé KT Central",REA!G18="NUMETZAH G16 2-en-1 Personnalisé KT périphérique"),(REA!P21*40/100),"0")</f>
        <v>0</v>
      </c>
      <c r="E13" s="458"/>
      <c r="F13" s="458"/>
      <c r="G13" s="458"/>
    </row>
    <row r="14" spans="1:7">
      <c r="A14" t="s">
        <v>662</v>
      </c>
      <c r="C14" s="37">
        <f>IF(REA!F34="PRIMENE 10%",(REA!P34*10/100),"0")+IF(REA!F35="PRIMENE 10%",(REA!P35*10/100),"0")+IF(REA!F36="PRIMENE 10%",(REA!P36*10/100),"0")</f>
        <v>0</v>
      </c>
      <c r="D14" s="37">
        <f>IF(REA!F34="PRIMENE 10%",(REA!P34*40/100),"0")+IF(REA!F35="PRIMENE 10%",(REA!P35*40/100),"0")+IF(REA!F36="PRIMENE 10%",(REA!P36*40/100),"0")</f>
        <v>0</v>
      </c>
      <c r="E14" s="458"/>
      <c r="F14" s="458"/>
      <c r="G14" s="458"/>
    </row>
    <row r="15" spans="1:7">
      <c r="A15" t="s">
        <v>663</v>
      </c>
      <c r="C15" s="458"/>
      <c r="D15" s="37" t="str">
        <f>IF(OR(REA!G30="CLINOLEIC Standard",REA!G30="SMOFLIPID Standard"),(REA!I31*200/100),"0")</f>
        <v>0</v>
      </c>
      <c r="E15" s="458"/>
      <c r="F15" s="37" t="str">
        <f>IF(OR(REA!G30="CLINOLEIC Standard",REA!G30="SMOFLIPID Standard"),(REA!I31*20/100),"0")</f>
        <v>0</v>
      </c>
      <c r="G15" s="458"/>
    </row>
    <row r="16" spans="1:7">
      <c r="A16" t="s">
        <v>664</v>
      </c>
      <c r="C16" s="458"/>
      <c r="D16" s="37" t="str">
        <f>IF(OR(REA!G30="CLINOLEIC Personnalisé",REA!G30="SMOFLIPID Personnalisé"),(REA!K31*200/100),"0")</f>
        <v>0</v>
      </c>
      <c r="E16" s="458"/>
      <c r="F16" s="37" t="str">
        <f>IF(OR(REA!G30="CLINOLEIC Personnalisé",REA!G30="SMOFLIPID Personnalisé"),(REA!K31*20/100),"0")</f>
        <v>0</v>
      </c>
      <c r="G16" s="458"/>
    </row>
    <row r="17" spans="1:7" s="489" customFormat="1">
      <c r="A17" s="489" t="s">
        <v>784</v>
      </c>
      <c r="C17" s="458"/>
      <c r="D17" s="37">
        <f>IF(REA!F34="GLUCOSE 5%",(REA!P34*20/100),"0")+IF(REA!F35="GLUCOSE 5%",(REA!P35*20/100),"0")+IF(REA!F36="GLUCOSE 5%",(REA!P36*20/100),"0")</f>
        <v>0</v>
      </c>
      <c r="E17" s="75">
        <f>IF(REA!F34="GLUCOSE 5%",(REA!P34*5/100),"0")+IF(REA!F35="GLUCOSE 5%",(REA!P35*5/100),"0")+IF(REA!F36="GLUCOSE 5%",(REA!P36*5/100),"0")</f>
        <v>0</v>
      </c>
      <c r="F17" s="458"/>
      <c r="G17" s="458"/>
    </row>
    <row r="18" spans="1:7">
      <c r="A18" t="s">
        <v>665</v>
      </c>
      <c r="C18" s="458"/>
      <c r="D18" s="37">
        <f>IF(REA!F34="GLUCOSE 10%",(REA!P34*40/100),"0")+IF(REA!F35="GLUCOSE 10%",(REA!P35*40/100),"0")+IF(REA!F36="GLUCOSE 10%",(REA!P36*40/100),"0")</f>
        <v>0</v>
      </c>
      <c r="E18" s="37">
        <f>IF(REA!F34="GLUCOSE 10%",(REA!P34*10/100),"0")+IF(REA!F35="GLUCOSE 10%",(REA!P35*10/100),"0")+IF(REA!F36="GLUCOSE 10%",(REA!P36*10/100),"0")</f>
        <v>0</v>
      </c>
      <c r="F18" s="458"/>
      <c r="G18" s="458"/>
    </row>
    <row r="19" spans="1:7">
      <c r="A19" t="s">
        <v>666</v>
      </c>
      <c r="C19" s="458"/>
      <c r="D19" s="37">
        <f>IF(REA!F34="GLUCOSE 30%",(REA!P34*120/100),"0")+IF(REA!F35="GLUCOSE 30%",(REA!P35*120/100),"0")+IF(REA!F36="GLUCOSE 30%",(REA!P36*120/100),"0")</f>
        <v>0</v>
      </c>
      <c r="E19" s="37">
        <f>IF(REA!F34="GLUCOSE 30%",(REA!P34*30/100),"0")+IF(REA!F35="GLUCOSE 30%",(REA!P35*30/100),"0")+IF(REA!F36="GLUCOSE 30%",(REA!P36*30/100),"0")</f>
        <v>0</v>
      </c>
      <c r="F19" s="458"/>
      <c r="G19" s="458"/>
    </row>
    <row r="20" spans="1:7">
      <c r="A20" t="s">
        <v>667</v>
      </c>
      <c r="C20" s="458"/>
      <c r="D20" s="37">
        <f>IF(REA!F34="GLUCOSE 50%",(REA!P34*200/100),"0")+IF(REA!F35="GLUCOSE 50%",(REA!P35*200/100),"0")+IF(REA!F36="GLUCOSE 50%",(REA!P36*200/100),"0")</f>
        <v>0</v>
      </c>
      <c r="E20" s="37">
        <f>IF(REA!F34="GLUCOSE 30%",(REA!P34*50/100),"0")+IF(REA!F35="GLUCOSE 30%",(REA!P35*50/100),"0")+IF(REA!F36="GLUCOSE 30%",(REA!P36*50/100),"0")</f>
        <v>0</v>
      </c>
      <c r="F20" s="458"/>
      <c r="G20" s="458"/>
    </row>
    <row r="21" spans="1:7">
      <c r="A21" t="s">
        <v>722</v>
      </c>
      <c r="C21" s="458"/>
      <c r="D21" s="458"/>
      <c r="E21" s="458"/>
      <c r="F21" s="458"/>
      <c r="G21" s="37">
        <f>IF(REA!F34="S. PHYSIOL NaCl 0,9%",(REA!P34*154/1000),"0")+IF(REA!F35="S. PHYSIOL NaCl 0,9%",(REA!P35*154/1000),"0")+IF(REA!F36="S. PHYSIOL NaCl 0,9%",(REA!P36*154/1000),"0")+IF(REA!C40="S. PHYSIOL NaCl 0,9%",(REA!P40*24),"0")+IF(REA!C41="S. PHYSIOL NaCl 0,9%",(REA!P41*24),"0")+IF(REA!C42="S. PHYSIOL NaCl 0,9%",(REA!P42*24),"0")+IF(REA!C43="S. PHYSIOL NaCl 0,9%",(REA!P43*24),"0")</f>
        <v>0</v>
      </c>
    </row>
    <row r="22" spans="1:7">
      <c r="A22" t="s">
        <v>723</v>
      </c>
      <c r="C22" s="458"/>
      <c r="D22" s="458"/>
      <c r="E22" s="458"/>
      <c r="F22" s="458"/>
      <c r="G22" s="37">
        <f>IF(REA!F34="NaCl 1mEq/mL (Natriclo)",(REA!P34*100/100),"0")+IF(REA!F35="NaCl 1mEq/mL (Natriclo)",(REA!P35*100/100),"0")+IF(REA!F36="NaCl 1mEq/mL (Natriclo)",(REA!P36*100/100),"0")+IF(REA!C40="NaCl 1mEq/mL (Natriclo)",(REA!P40*24),"0")+IF(REA!C41="NaCl 1mEq/mL (Natriclo)",(REA!P41*24),"0")+IF(REA!C42="NaCl 1mEq/mL (Natriclo)",(REA!P42*24),"0")+IF(REA!C43="NaCl 1mEq/mL (Natriclo)",(REA!P43*24),"0")+IF(REA!C46="NaCl 1mEq/mL (Natriclo)",(REA!P46*100/100),"0")+IF(REA!C47="NaCl 1mEq/mL (Natriclo)",(REA!P47*100/100),"0")+IF(REA!C48="NaCl 1mEq/mL (Natriclo)",(REA!P48*100/100),"0")+IF(REA!C49="NaCl 1mEq/mL (Natriclo)",(REA!P49*100/100),"0")+IF(REA!C50="NaCl 1mEq/mL (Natriclo)",(REA!P50*100/100),"0")+IF(REA!C51="NaCl 1mEq/mL (Natriclo)",(REA!P51*100/100),"0")+IF(REA!C52="NaCl 1mEq/mL (Natriclo)",(REA!P52*100/100),"0")+IF(REA!C53="NaCl 1mEq/mL (Natriclo)",(REA!P53*100/100),"0")+IF(REA!C54="NaCl 1mEq/mL (Natriclo)",(REA!P54*100/100),"0")+IF(REA!C55="NaCl 1mEq/mL (Natriclo)",(REA!P55*100/100),"0")</f>
        <v>0</v>
      </c>
    </row>
    <row r="23" spans="1:7">
      <c r="A23" t="s">
        <v>720</v>
      </c>
      <c r="C23" s="458"/>
      <c r="D23" s="458"/>
      <c r="E23" s="458"/>
      <c r="F23" s="458"/>
      <c r="G23" s="37">
        <f>IF(REA!F34="BICARBONATE Na 8,4%",(REA!P34*100/100),"0")+IF(REA!F35="BICARBONATE Na 8,4%",(REA!P35*100/100),"0")+IF(REA!F36="BICARBONATE Na 8,4%",(REA!P36*100/100),"0")+IF(REA!C40="BICARBONATE Na 8,4%",(REA!P40*24),"0")+IF(REA!C41="BICARBONATE Na 8,4%",(REA!P41*24),"0")+IF(REA!C42="BICARBONATE Na 8,4%",(REA!P42*24),"0")+IF(REA!C43="BICARBONATE Na 8,4%",(REA!P43*24),0)+IF(REA!C46="BICARBONATE Na 8,4%",(REA!P46*100/100),"0")+IF(REA!C47="BICARBONATE Na 8,4%",(REA!P47*100/100),"0")+IF(REA!C48="BICARBONATE Na 8,4%",(REA!P48*100/100),"0")+IF(REA!C49="BICARBONATE Na 8,4%",(REA!P49*100/100),"0")+IF(REA!C50="BICARBONATE Na 8,4%",(REA!P50*100/100),"0")+IF(REA!C51="BICARBONATE Na 8,4%",(REA!P51*100/100),"0")+IF(REA!C52="BICARBONATE Na 8,4%",(REA!P52*100/100),"0")+IF(REA!C53="BICARBONATE Na 8,4%",(REA!P53*100/100),"0")+IF(REA!C54="BICARBONATE Na 8,4%",(REA!P54*100/100),"0")+IF(REA!C55="BICARBONATE Na 8,4%",(REA!P55*100/100),"0")</f>
        <v>0</v>
      </c>
    </row>
    <row r="24" spans="1:7">
      <c r="A24" t="s">
        <v>721</v>
      </c>
      <c r="C24" s="458"/>
      <c r="D24" s="458"/>
      <c r="E24" s="458"/>
      <c r="F24" s="458"/>
      <c r="G24" s="37">
        <f>IF(REA!F34="LACTATE de Na",(REA!P34*100/100),"0")+IF(REA!F35="LACTATE de Na",(REA!P35*100/100),"0")+IF(REA!F36="LACTATE de Na)",(REA!P36*100/100),"0")+IF(REA!C40="LACTATE de Na",(REA!P40*24),"0")+IF(REA!C41="LACTATE de Na",(REA!P41*24),"0")+IF(REA!C42="LACTATE de Na",(REA!P42*24),"0")+IF(REA!C43="LACTATE de Na",(REA!P43*24),"0")+IF(REA!C46="LACTATE de Na",(REA!P46*100/100),"0")+IF(REA!C47="LACTATE de Na",(REA!P47*100/100),"0")+IF(REA!C48="LACTATE de Na",(REA!P48*100/100),"0")+IF(REA!C49="LACTATE de Na",(REA!P49*100/100),"0")+IF(REA!C50="LACTATE de Na",(REA!P50*100/100),"0")+IF(REA!C51="LACTATE de Na",(REA!P51*100/100),"0")+IF(REA!C52="LACTATE de Na",(REA!P52*100/100),"0")+IF(REA!C53="LACTATE de Na",(REA!P53*100/100),"0")+IF(REA!C54="LACTATE de Na",(REA!P54*100/100),"0")+IF(REA!C55="LACTATE de Na",(REA!P55*100/100),"0")</f>
        <v>0</v>
      </c>
    </row>
    <row r="25" spans="1:7">
      <c r="C25" s="37"/>
      <c r="D25" s="37"/>
      <c r="E25" s="37"/>
      <c r="F25" s="37"/>
      <c r="G25" s="37"/>
    </row>
    <row r="26" spans="1:7">
      <c r="A26" s="463" t="s">
        <v>741</v>
      </c>
      <c r="B26" s="464"/>
      <c r="C26" s="84">
        <f>SUM(C6:C24)</f>
        <v>0</v>
      </c>
      <c r="D26" s="84">
        <f t="shared" ref="D26:G26" si="0">SUM(D6:D24)</f>
        <v>0</v>
      </c>
      <c r="E26" s="84">
        <f t="shared" si="0"/>
        <v>0</v>
      </c>
      <c r="F26" s="84">
        <f t="shared" si="0"/>
        <v>0</v>
      </c>
      <c r="G26" s="465">
        <f t="shared" si="0"/>
        <v>0</v>
      </c>
    </row>
    <row r="28" spans="1:7" ht="18.75">
      <c r="A28" s="1353" t="s">
        <v>737</v>
      </c>
      <c r="B28" s="1353"/>
      <c r="C28" s="1353"/>
      <c r="D28" s="1353"/>
      <c r="E28" s="1353"/>
      <c r="F28" s="1353"/>
      <c r="G28" s="1353"/>
    </row>
    <row r="30" spans="1:7">
      <c r="A30" t="s">
        <v>733</v>
      </c>
      <c r="C30" s="460"/>
      <c r="D30" s="460"/>
      <c r="E30" s="460"/>
      <c r="F30" s="460"/>
      <c r="G30" s="37">
        <f>IF(REA!C58="NaCl 1mEq/mL 4x",(4*REA!P58),0)+IF(REA!C59="NaCl 1mEq/mL 4x",(4*REA!P59),0)+IF(REA!C60="NaCl 1mEq/mL 4x",(4*REA!P60),0)+IF(REA!C61="NaCl 1mEq/mL 4x",(4*REA!P61),0)+IF(REA!C62="NaCl 1mEq/mL 4x",(4*REA!P62),0)</f>
        <v>0</v>
      </c>
    </row>
    <row r="31" spans="1:7">
      <c r="A31" t="s">
        <v>734</v>
      </c>
      <c r="C31" s="460"/>
      <c r="D31" s="460"/>
      <c r="E31" s="460"/>
      <c r="F31" s="460"/>
      <c r="G31" s="37">
        <f>IF(REA!C58="NaCl 1mEq/mL 6x",(6*REA!P58),0)+IF(REA!C59="NaCl 1mEq/mL 6x",(6*REA!P59),0)+IF(REA!C60="NaCl 1mEq/mL 6x",(6*REA!P60),0)+IF(REA!C61="NaCl 1mEq/mL 6x",(6*REA!P61),0)+IF(REA!C62="NaCl 1mEq/mL 6x",(6*REA!P62),0)</f>
        <v>0</v>
      </c>
    </row>
    <row r="32" spans="1:7">
      <c r="A32" t="s">
        <v>735</v>
      </c>
      <c r="C32" s="460"/>
      <c r="D32" s="460"/>
      <c r="E32" s="460"/>
      <c r="F32" s="460"/>
      <c r="G32" s="37">
        <f>IF(REA!C58="NaCl 1mEq/mL 8x",(8*REA!P58),0)+IF(REA!C59="NaCl 1mEq/mL 8x",(8*REA!P59),0)+IF(REA!C60="NaCl 1mEq/mL 8x",(8*REA!P60),0)+IF(REA!C61="NaCl 1mEq/mL 8x",(8*REA!P61),0)+IF(REA!C62="NaCl 1mEq/mL 8x",(8*REA!P62),0)</f>
        <v>0</v>
      </c>
    </row>
    <row r="33" spans="1:16">
      <c r="C33" s="461"/>
      <c r="D33" s="461"/>
      <c r="E33" s="461"/>
      <c r="F33" s="461"/>
      <c r="G33" s="37"/>
    </row>
    <row r="34" spans="1:16">
      <c r="A34" s="463" t="s">
        <v>741</v>
      </c>
      <c r="B34" s="464"/>
      <c r="C34" s="466">
        <f>SUM(C30:C32)</f>
        <v>0</v>
      </c>
      <c r="D34" s="466">
        <f t="shared" ref="D34:G34" si="1">SUM(D30:D32)</f>
        <v>0</v>
      </c>
      <c r="E34" s="466">
        <f t="shared" si="1"/>
        <v>0</v>
      </c>
      <c r="F34" s="466">
        <f t="shared" si="1"/>
        <v>0</v>
      </c>
      <c r="G34" s="467">
        <f t="shared" si="1"/>
        <v>0</v>
      </c>
    </row>
    <row r="36" spans="1:16" ht="18.75">
      <c r="A36" s="1353" t="s">
        <v>736</v>
      </c>
      <c r="B36" s="1353"/>
      <c r="C36" s="1353"/>
      <c r="D36" s="1353"/>
      <c r="E36" s="1353"/>
      <c r="F36" s="1353"/>
      <c r="G36" s="1353"/>
    </row>
    <row r="38" spans="1:16">
      <c r="A38" t="s">
        <v>693</v>
      </c>
      <c r="C38" s="37">
        <f>IF(REA!F15="",IF(REA!F14="A JEUN",0,IF(OR(REA!F14="LAIT de MERE",REA!F14="LAIT de LACTARIUM"),(1.5*(REA!T14*REA!V14+REA!T15*REA!V15)/100),IF(OR(REA!F14="LAIT de MERE + HMF 1%",REA!F14="LAIT de LACTARIUM + HMF 1%"),(1.8*(REA!T14*REA!V14+REA!T15*REA!V15)/100),IF(OR(REA!F14="LAIT de MERE + HMF 2%",REA!F14="LAIT de LACTARIUM + HMF 2%"),(2.1*(REA!T14*REA!V14+REA!T15*REA!V15)/100),IF(OR(REA!F14="LAIT de MERE + HMF 3%",REA!F14="LAIT de LACTARIUM + HMF 3%"),(2.3*(REA!T14*REA!V14+REA!T15*REA!V15)/100),IF(OR(REA!F14="LAIT de MERE + HMF 4%",REA!F14="LAIT de LACTARIUM + HMF 4%"),(2.6*(REA!T14*REA!V14+REA!T15*REA!V15)/100),IF(REA!F14="LAIT de MERE CARTE","0",IF(REA!F14="NUTRILON PREMA",(2.6*(REA!T14*REA!V14+REA!T15*REA!V15)/100),IF(REA!F14="PRENAN Stage 1",(2.88*(REA!T14*REA!V14+REA!T15*REA!V15)/100),IF(REA!F14="NUTRILON EX PREMA",(2*(REA!T14*REA!V14+REA!T15*REA!V15)/100),IF(REA!F14="PRENAN Stage 2",(2.04*(REA!T14*REA!V14+REA!T15*REA!V15)/100),IF(OR(REA!F14="NAN PRO 1",REA!F14="GUIGOZ 1",REA!F14="BEBA 1"),(1.24*(REA!T14*REA!V14+REA!T15*REA!V15)/100),IF(OR(REA!F14="NAN HA 1",REA!F14="NAN AR 1"),(1.28*(REA!T14*REA!V14+REA!T15*REA!V15)/100),IF(REA!F14="NUTRILON 1",(1.3*(REA!T14*REA!V14+REA!T15*REA!V15)/100),IF(REA!F14="NUTRILON HA 1",(1.5*(REA!T14*REA!V14+REA!T15*REA!V15)/100),IF(REA!F14="NUTRILON AR 1",(1.6*(REA!T14*REA!V14+REA!T15*REA!V15)/100),IF(REA!F14="ENFAMIL AR 1",(1.72*(REA!T14*REA!V14+REA!T15*REA!V15)/100),IF(REA!F14="NUTRAMIGEN",(1.91*(REA!T14*REA!V14+REA!T15*REA!V15)/100),IF(REA!F14="NEOCATE",(1.8*(REA!T14*REA!V14+REA!T15*REA!V15)/100),IF(REA!F14="CYSTILAC",(2.9*(REA!T14*REA!V14+REA!T15*REA!V15)/100),0)))))))))))))))))))),"0")</f>
        <v>0</v>
      </c>
      <c r="D38" s="37">
        <f>IF(REA!F15="",IF(REA!F14="A JEUN",0,IF(OR(REA!F14="LAIT de MERE",REA!F14="LAIT de LACTARIUM"),(66*(REA!T14*REA!V14+REA!T15*REA!V15)/100),IF(OR(REA!F14="LAIT de MERE + HMF 1%",REA!F14="LAIT de LACTARIUM + HMF 1%"),(71*(REA!T14*REA!V14+REA!T15*REA!V15)/100),IF(OR(REA!F14="LAIT de MERE + HMF 2%",REA!F14="LAIT de LACTARIUM + HMF 2%"),(74*(REA!T14*REA!V14+REA!T15*REA!V15)/100),IF(OR(REA!F14="LAIT de MERE + HMF 3%",REA!F14="LAIT de LACTARIUM + HMF 3%"),(78*(REA!T14*REA!V14+REA!T15*REA!V15)/100),IF(OR(REA!F14="LAIT de MERE + HMF 4%",REA!F14="LAIT de LACTARIUM + HMF 4%",REA!F14="NUTRILON PREMA",REA!F14="PRENAN Stage 1"),(80*(REA!T14*REA!V14+REA!T15*REA!V15)/100),IF(REA!F14="LAIT de MERE CARTE","0",IF(REA!F14="NUTRILON EX PREMA",(75*(REA!T14*REA!V14+REA!T15*REA!V15)/100),IF(REA!F14="PRENAN Stage 2",(73*(REA!T14*REA!V14+REA!T15*REA!V15)/100),IF(OR(REA!F14="NAN PRO 1",REA!F14="NAN HA 1",REA!F14="NAN AR 1",REA!F14="GUIGOZ 1",REA!F14="BEBA 1",REA!F14="NEOCATE"),(67*(REA!T14*REA!V14+REA!T15*REA!V15)/100),IF(OR(REA!F14="NUTRILON 1",REA!F14="NUTRILON HA 1",REA!F14="NUTRILON AR 1"),(66*(REA!T14*REA!V14+REA!T15*REA!V15)/100),IF(REA!F14="ENFAMIL AR 1",(69*(REA!T14*REA!V14+REA!T15*REA!V15)/100),IF(REA!F14="NUTRAMIGEN",(68*(REA!T14*REA!V14+REA!T15*REA!V15)/100),IF(REA!F14="CYSTILAC",(83*(REA!T14*REA!V14+REA!T15*REA!V15)/100),0)))))))))))))),0)</f>
        <v>0</v>
      </c>
      <c r="E38" s="37">
        <f>IF(REA!F15="",IF(REA!F14="A JEUN",0,IF(OR(REA!F14="LAIT de MERE",REA!F14="LAIT de LACTARIUM"),(6.8*(REA!T14*REA!V14+REA!T15*REA!V15)/100),IF(OR(REA!F14="LAIT de MERE + HMF 1%",REA!F14="LAIT de LACTARIUM + HMF 1%"),(6.9*(REA!T14*REA!V14+REA!T15*REA!V15)/100),IF(OR(REA!F14="LAIT de MERE + HMF 2%",REA!F14="LAIT de LACTARIUM + HMF 2%"),(7*(REA!T14*REA!V14+REA!T15*REA!V15)/100),IF(OR(REA!F14="LAIT de MERE + HMF 3%",REA!F14="LAIT de LACTARIUM + HMF 3%"),(7.1*(REA!T14*REA!V14+REA!T15*REA!V15)/100),IF(OR(REA!F14="LAIT de MERE + HMF 4%",REA!F14="LAIT de LACTARIUM + HMF 4%",REA!F14="LAIT de MERE CARTE"),(7.2*(REA!T14*REA!V14+REA!T15*REA!V15)/100),IF(REA!F14="NUTRILON PREMA",(8.4*(REA!T14*REA!V14+REA!T15*REA!V15)/100),IF(REA!F14="PRENAN Stage 1",(8.41*(REA!T14*REA!V14+REA!T15*REA!V15)/100),IF(REA!F14="NUTRILON EX PREMA",(7.5*(REA!T14*REA!V14+REA!T15*REA!V15)/100),IF(REA!F14="PRENAN Stage 2",(7.67*(REA!T14*REA!V14+REA!T15*REA!V15)/100),IF(REA!F14="NAN PRO 1",(7.46*(REA!T14*REA!V14+REA!T15*REA!V15)/100),IF(REA!F14="NAN HA 1",(7.85*(REA!T14*REA!V14+REA!T15*REA!V15)/100),IF(REA!F14="NAN AR 1",(7.8*(REA!T14*REA!V14+REA!T15*REA!V15)/100),IF(REA!F14="GUIGOZ 1",(7.48*(REA!T14*REA!V14+REA!T15*REA!V15)/100),IF(REA!F14="BEBA 1",(7.99*(REA!T14*REA!V14+REA!T15*REA!V15)/100),IF(REA!F14="NUTRILON 1",(7.3*(REA!T14*REA!V14+REA!T15*REA!V15)/100),IF(REA!F14="NUTRILON HA 1",(7.2*(REA!T14*REA!V14+REA!T15*REA!V15)/100),IF(REA!F14="NUTRILON AR 1",(6.8*(REA!T14*REA!V14+REA!T15*REA!V15)/100),IF(REA!F14="ENFAMIL AR 1",(7.6*(REA!T14*REA!V14+REA!T15*REA!V15)/100),IF(REA!F14="NUTRAMIGEN",(7.5*(REA!T14*REA!V14+REA!T15*REA!V15)/100),IF(REA!F14="NEOCATE",(7.2*(REA!T14*REA!V14+REA!T15*REA!V15)/100),IF(REA!F14="CYSTILAC",(12.1*(REA!T14*REA!V14+REA!T15*REA!V15)/100),0)))))))))))))))))))))),0)</f>
        <v>0</v>
      </c>
      <c r="F38" s="37">
        <f>IF(REA!F15="",IF(REA!F14="A JEUN",0,IF(OR(REA!F14="LAIT de MERE",REA!F14="LAIT de LACTARIUM"),(3.6*(REA!T14*REA!V14+REA!T15*REA!V15)/100),IF(OR(REA!F14="LAIT de MERE + HMF 1%",REA!F14="LAIT de LACTARIUM + HMF 1%"),(3.9*(REA!T14*REA!V14+REA!T15*REA!V15)/100),IF(OR(REA!F14="LAIT de MERE + HMF 2%",REA!F14="LAIT de LACTARIUM + HMF 2%"),(4.1*(REA!T14*REA!V14+REA!T15*REA!V15)/100),IF(OR(REA!F14="LAIT de MERE + HMF 3%",REA!F14="LAIT de LACTARIUM + HMF 3%"),(4.4*(REA!T14*REA!V14+REA!T15*REA!V15)/100),IF(OR(REA!F14="LAIT de MERE + HMF 4%",REA!F14="LAIT de LACTARIUM + HMF 4%"),(4.6*(REA!T14*REA!V14+REA!T15*REA!V15)/100),IF(REA!F14="NUTRILON PREMA",(3.9*(REA!T14*REA!V14+REA!T15*REA!V15)/100),IF(REA!F14="PRENAN Stage 1",(4*(REA!T14*REA!V14+REA!T15*REA!V15)/100),IF(REA!F14="LAIT de MERE CARTE",(4*(REA!T14*REA!V14+REA!T15*REA!V15)/100),IF(REA!F14="NUTRILON EX PREMA",(4*(REA!T14*REA!V14+REA!T15*REA!V15)/100),IF(REA!F14="PRENAN Stage 2",(3.8*(REA!T14*REA!V14+REA!T15*REA!V15)/100),IF(REA!F14="NAN PRO 1",(3.57*(REA!T14*REA!V14+REA!T15*REA!V15)/100),IF(REA!F14="NAN HA 1",(3.41*(REA!T14*REA!V14+REA!T15*REA!V15)/100),IF(REA!F14="NAN AR 1",(3.41*(REA!T14*REA!V14+REA!T15*REA!V15)/100),IF(REA!F14="GUIGOZ 1",(3.57*(REA!T14*REA!V14+REA!T15*REA!V15)/100),IF(REA!F14="BEBA 1",(3.37*(REA!T14*REA!V14+REA!T15*REA!V15)/100),IF(REA!F14="NUTRILON 1",(3.4*(REA!T14*REA!V14+REA!T15*REA!V15)/100),IF(REA!F14="NUTRILON HA 1",(3.4*(REA!T14*REA!V14+REA!T15*REA!V15)/100),IF(REA!F14="NUTRILON AR 1",(3.5*(REA!T14*REA!V14+REA!T15*REA!V15)/100),IF(REA!F14="ENFAMIL AR 1",(3.5*(REA!T14*REA!V14+REA!T15*REA!V15)/100),IF(REA!F14="NUTRAMIGEN",(3.4*(REA!T14*REA!V14+REA!T15*REA!V15)/100),IF(REA!F14="NEOCATE",(3.4*(REA!T14*REA!V14+REA!T15*REA!V15)/100),IF(REA!F14="CYSTILAC",(4.93*(REA!T14*REA!V14+REA!T15*REA!V15)/100),0))))))))))))))))))))))),0)</f>
        <v>0</v>
      </c>
      <c r="G38" s="461">
        <f>IF(REA!F15="",IF(REA!F14="A JEUN",0,IF(OR(REA!F14="LAIT de MERE",REA!F14="LAIT de LACTARIUM"),(0.97*(REA!T14*REA!V14+REA!T15*REA!V15)/100),IF(OR(REA!F14="LAIT de MERE + HMF 1%",REA!F14="LAIT de LACTARIUM + HMF 1%"),(1.04*(REA!T14*REA!V14+REA!T15*REA!V15)/100),IF(OR(REA!F14="LAIT de MERE + HMF 2%",REA!F14="LAIT de LACTARIUM + HMF 2%"),(1.22*(REA!T14*REA!V14+REA!T15*REA!V15)/100),IF(OR(REA!F14="LAIT de MERE + HMF 3%",REA!F14="LAIT de LACTARIUM + HMF 3%"),(1.39*(REA!T14*REA!V14+REA!T15*REA!V15)/100),IF(OR(REA!F14="LAIT de MERE + HMF 4%",REA!F14="LAIT de LACTARIUM + HMF 4%",REA!F15="LAIT de MERE CARTE"),(1.57*(REA!T14*REA!V14+REA!T15*REA!V15)/100),IF(REA!F14="NUTRILON PREMA",(3.04*(REA!T14*REA!V14+REA!T15*REA!V15)/100),IF(REA!F14="PRENAN Stage 1",(2.22*(REA!T14*REA!V14+REA!T15*REA!V15)/100),IF(REA!F14="NUTRILON EX PREMA",(1.22*(REA!T14*REA!V14+REA!T15*REA!V15)/100),IF(REA!F14="PRENAN Stage 2",(1.48*(REA!T14*REA!V14+REA!T15*REA!V15)/100),IF(REA!F14="NAN PRO 1",(0.74*(REA!T14*REA!V14+REA!T15*REA!V15)/100),IF(REA!F14="NAN HA 1",(0.74*(REA!T14*REA!V14+REA!T15*REA!V15)/100),IF(REA!F14="NAN AR 1",(0.87*(REA!T14*REA!V14+REA!T15*REA!V15)/100),IF(REA!F14="GUIGOZ 1",(0.83*(REA!T14*REA!V14+REA!T15*REA!V15)/100),IF(REA!F14="BEBA 1",(0.87*(REA!T14*REA!V14+REA!T15*REA!V15)/100),IF(REA!F14="NUTRILON 1",(1*(REA!T14*REA!V14+REA!T15*REA!V15)/100),IF(REA!F14="NUTRILON HA 1",(1.09*(REA!T14*REA!V14+REA!T15*REA!V15)/100),IF(REA!F14="NUTRILON AR 1",(1.04*(REA!T14*REA!V14+REA!T15*REA!V15)/100),IF(REA!F14="ENFAMIL AR 1",(1.09*(REA!T14*REA!V14+REA!T15*REA!V15)/100),IF(REA!F14="NUTRAMIGEN",(1.39*(REA!T14*REA!V14+REA!T15*REA!V15)/100),IF(REA!F14="NEOCATE",(1.35*(REA!T14*REA!V14+REA!T15*REA!V15)/100),IF(REA!F14="CYSTILAC",(3.48*(REA!T14*REA!V14+REA!T15*REA!V15)/100),0)))))))))))))))))))))),0)</f>
        <v>0</v>
      </c>
    </row>
    <row r="39" spans="1:16">
      <c r="A39" t="s">
        <v>694</v>
      </c>
      <c r="C39" s="37">
        <f>IF(REA!F14="",IF(REA!F15="A JEUN",0,IF(OR(REA!F15="LAIT de MERE",REA!F15="LAIT de LACTARIUM"),(1.5*(REA!T14*REA!V14+REA!T15*REA!V15)/100),IF(OR(REA!F15="LAIT de MERE + HMF 1%",REA!F15="LAIT de LACTARIUM + HMF 1%"),(1.8*(REA!T14*REA!V14+REA!T15*REA!V15)/100),IF(OR(REA!F15="LAIT de MERE + HMF 2%",REA!F15="LAIT de LACTARIUM + HMF 2%"),(2.1*(REA!T14*REA!V14+REA!T15*REA!V15)/100),IF(OR(REA!F15="LAIT de MERE + HMF 3%",REA!F15="LAIT de LACTARIUM + HMF 3%"),(2.3*(REA!T14*REA!V14+REA!T15*REA!V15)/100),IF(OR(REA!F15="LAIT de MERE + HMF 4%",REA!F15="LAIT de LACTARIUM + HMF 4%"),(2.6*(REA!T14*REA!V14+REA!T15*REA!V15)/100),IF(REA!F15="LAIT de MERE CARTE","0",IF(REA!F15="NUTRILON PREMA",(2.6*(REA!T14*REA!V14+REA!T15*REA!V15)/100),IF(REA!F15="PRENAN Stage 1",(2.88*(REA!T14*REA!V14+REA!T15*REA!V15)/100),IF(REA!F15="NUTRILON EX PREMA",(2*(REA!T14*REA!V14+REA!T15*REA!V15)/100),IF(REA!F15="PRENAN Stage 2",(2.04*(REA!T14*REA!V14+REA!T15*REA!V15)/100),IF(OR(REA!F15="NAN PRO 1",REA!F15="GUIGOZ 1",REA!F15="BEBA 1"),(1.24*(REA!T14*REA!V14+REA!T15*REA!V15)/100),IF(OR(REA!F15="NAN HA 1",REA!F15="NAN AR 1"),(1.28*(REA!T14*REA!V14+REA!T15*REA!V15)/100),IF(REA!F15="NUTRILON 1",(1.3*(REA!T14*REA!V14+REA!T15*REA!V15)/100),IF(REA!F15="NUTRILON HA 1",(1.5*(REA!T14*REA!V14+REA!T15*REA!V15)/100),IF(REA!F15="NUTRILON AR 1",(1.6*(REA!T14*REA!V14+REA!T15*REA!V15)/100),IF(REA!F15="ENFAMIL AR 1",(1.72*(REA!T14*REA!V14+REA!T15*REA!V15)/100),IF(REA!F15="NUTRAMIGEN",(1.91*(REA!T14*REA!V14+REA!T15*REA!V15)/100),IF(REA!F15="NEOCATE",(1.8*(REA!T14*REA!V14+REA!T15*REA!V15)/100),IF(REA!F15="CYSTILAC",(2.9*(REA!T14*REA!V14+REA!T15*REA!V15)/100),0)))))))))))))))))))),"0")</f>
        <v>0</v>
      </c>
      <c r="D39" s="37">
        <f>IF(REA!F14="",IF(REA!F15="A JEUN",0,IF(OR(REA!F15="LAIT de MERE",REA!F15="LAIT de LACTARIUM"),(66*(REA!T14*REA!V14+REA!T15*REA!V15)/100),IF(OR(REA!F15="LAIT de MERE + HMF 1%",REA!F15="LAIT de LACTARIUM + HMF 1%"),(71*(REA!T14*REA!V14+REA!T15*REA!V15)/100),IF(OR(REA!F15="LAIT de MERE + HMF 2%",REA!F15="LAIT de LACTARIUM + HMF 2%"),(74*(REA!T14*REA!V14+REA!T15*REA!V15)/100),IF(OR(REA!F15="LAIT de MERE + HMF 3%",REA!F15="LAIT de LACTARIUM + HMF 3%"),(78*(REA!T14*REA!V14+REA!T15*REA!V15)/100),IF(OR(REA!F15="LAIT de MERE + HMF 4%",REA!F15="LAIT de LACTARIUM + HMF 4%",REA!F15="NUTRILON PREMA",REA!F15="PRENAN Stage 1"),(80*(REA!T14*REA!V14+REA!T15*REA!V15)/100),IF(REA!F15="LAIT de MERE CARTE","0",IF(REA!F15="NUTRILON EX PREMA",(75*(REA!T14*REA!V14+REA!T15*REA!V15)/100),IF(REA!F15="PRENAN Stage 2",(73*(REA!T14*REA!V14+REA!T15*REA!V15)/100),IF(OR(REA!F15="NAN PRO 1",REA!F15="NAN HA 1",REA!F15="NAN AR 1",REA!F15="GUIGOZ 1",REA!F15="BEBA 1",REA!F15="NEOCATE"),(67*(REA!T14*REA!V14+REA!T15*REA!V15)/100),IF(OR(REA!F15="NUTRILON 1",REA!F15="NUTRILON HA 1",REA!F15="NUTRILON AR 1"),(66*(REA!T14*REA!V14+REA!T15*REA!V15)/100),IF(REA!F15="ENFAMIL AR 1",(69*(REA!T14*REA!V14+REA!T15*REA!V15)/100),IF(REA!F15="NUTRAMIGEN",(68*(REA!T14*REA!V14+REA!T15*REA!V15)/100),IF(REA!F15="CYSTILAC",(83*(REA!T14*REA!V14+REA!T15*REA!V15)/100),0)))))))))))))),0)</f>
        <v>0</v>
      </c>
      <c r="E39" s="37">
        <f>IF(REA!F14="",IF(REA!F15="A JEUN",0,IF(OR(REA!F15="LAIT de MERE",REA!F15="LAIT de LACTARIUM"),(6.8*(REA!T14*REA!V14+REA!T15*REA!V15)/100),IF(OR(REA!F15="LAIT de MERE + HMF 1%",REA!F15="LAIT de LACTARIUM + HMF 1%"),(6.9*(REA!T14*REA!V14+REA!T15*REA!V15)/100),IF(OR(REA!F15="LAIT de MERE + HMF 2%",REA!F15="LAIT de LACTARIUM + HMF 2%"),(7*(REA!T14*REA!V14+REA!T15*REA!V15)/100),IF(OR(REA!F15="LAIT de MERE + HMF 3%",REA!F15="LAIT de LACTARIUM + HMF 3%"),(7.1*(REA!T14*REA!V14+REA!T15*REA!V15)/100),IF(OR(REA!F15="LAIT de MERE + HMF 4%",REA!F15="LAIT de LACTARIUM + HMF 4%",REA!F15="LAIT de MERE CARTE"),(7.2*(REA!T14*REA!V14+REA!T15*REA!V15)/100),IF(REA!F15="NUTRILON PREMA",(8.4*(REA!T14*REA!V14+REA!T15*REA!V15)/100),IF(REA!F15="PRENAN Stage 1",(8.41*(REA!T14*REA!V14+REA!T15*REA!V15)/100),IF(REA!F15="NUTRILON EX PREMA",(7.5*(REA!T14*REA!V14+REA!T15*REA!V15)/100),IF(REA!F15="PRENAN Stage 2",(7.67*(REA!T14*REA!V14+REA!T15*REA!V15)/100),IF(REA!F15="NAN PRO 1",(7.46*(REA!T14*REA!V14+REA!T15*REA!V15)/100),IF(REA!F15="NAN HA 1",(7.85*(REA!T14*REA!V14+REA!T15*REA!V15)/100),IF(REA!F15="NAN AR 1",(7.8*(REA!T14*REA!V14+REA!T15*REA!V15)/100),IF(REA!F15="GUIGOZ 1",(7.48*(REA!T14*REA!V14+REA!T15*REA!V15)/100),IF(REA!F15="BEBA 1",(7.99*(REA!T14*REA!V14+REA!T15*REA!V15)/100),IF(REA!F15="NUTRILON 1",(7.3*(REA!T14*REA!V14+REA!T15*REA!V15)/100),IF(REA!F15="NUTRILON HA 1",(7.2*(REA!T14*REA!V14+REA!T15*REA!V15)/100),IF(REA!F15="NUTRILON AR 1",(6.8*(REA!T14*REA!V14+REA!T15*REA!V15)/100),IF(REA!F15="ENFAMIL AR 1",(7.6*(REA!T14*REA!V14+REA!T15*REA!V15)/100),IF(REA!F15="NUTRAMIGEN",(7.5*(REA!T14*REA!V14+REA!T15*REA!V15)/100),IF(REA!F15="NEOCATE",(7.2*(REA!T14*REA!V14+REA!T15*REA!V15)/100),IF(REA!F15="CYSTILAC",(12.1*(REA!T14*REA!V14+REA!T15*REA!V15)/100),0)))))))))))))))))))))),0)</f>
        <v>0</v>
      </c>
      <c r="F39" s="37">
        <f>IF(REA!F14="",IF(REA!F15="A JEUN",0,IF(OR(REA!F15="LAIT de MERE",REA!F15="LAIT de LACTARIUM"),(3.6*(REA!T14*REA!V14+REA!T15*REA!V15)/100),IF(OR(REA!F15="LAIT de MERE + HMF 1%",REA!F15="LAIT de LACTARIUM + HMF 1%"),(3.9*(REA!T14*REA!V14+REA!T15*REA!V15)/100),IF(OR(REA!F15="LAIT de MERE + HMF 2%",REA!F15="LAIT de LACTARIUM + HMF 2%"),(4.1*(REA!T14*REA!V14+REA!T15*REA!V15)/100),IF(OR(REA!F15="LAIT de MERE + HMF 3%",REA!F15="LAIT de LACTARIUM + HMF 3%"),(4.4*(REA!T14*REA!V14+REA!T15*REA!V15)/100),IF(OR(REA!F15="LAIT de MERE + HMF 4%",REA!F15="LAIT de LACTARIUM + HMF 4%"),(4.6*(REA!T14*REA!V14+REA!T15*REA!V15)/100),IF(REA!F15="NUTRILON PREMA",(3.9*(REA!T14*REA!V14+REA!T15*REA!V15)/100),IF(REA!F15="PRENAN Stage 1",(4*(REA!T14*REA!V14+REA!T15*REA!V15)/100),IF(REA!F15="LAIT de MERE CARTE",(4*(REA!T14*REA!V14+REA!T15*REA!V15)/100),IF(REA!F15="NUTRILON EX PREMA",(4*(REA!T14*REA!V14+REA!T15*REA!V15)/100),IF(REA!F15="PRENAN Stage 2",(3.8*(REA!T14*REA!V14+REA!T15*REA!V15)/100),IF(REA!F15="NAN PRO 1",(3.57*(REA!T14*REA!V14+REA!T15*REA!V15)/100),IF(REA!F15="NAN HA 1",(3.41*(REA!T14*REA!V14+REA!T15*REA!V15)/100),IF(REA!F15="NAN AR 1",(3.41*(REA!T14*REA!V14+REA!T15*REA!V15)/100),IF(REA!F15="GUIGOZ 1",(3.57*(REA!T14*REA!V14+REA!T15*REA!V15)/100),IF(REA!F15="BEBA 1",(3.37*(REA!T14*REA!V14+REA!T15*REA!V15)/100),IF(REA!F15="NUTRILON 1",(3.4*(REA!T14*REA!V14+REA!T15*REA!V15)/100),IF(REA!F15="NUTRILON HA 1",(3.4*(REA!T14*REA!V14+REA!T15*REA!V15)/100),IF(REA!F15="NUTRILON AR 1",(3.5*(REA!T14*REA!V14+REA!T15*REA!V15)/100),IF(REA!F15="ENFAMIL AR 1",(3.5*(REA!T14*REA!V14+REA!T15*REA!V15)/100),IF(REA!F15="NUTRAMIGEN",(3.4*(REA!T14*REA!V14+REA!T15*REA!V15)/100),IF(REA!F15="NEOCATE",(3.4*(REA!T14*REA!V14+REA!T15*REA!V15)/100),IF(REA!F15="CYSTILAC",(4.93*(REA!T14*REA!V14+REA!T15*REA!V15)/100),0))))))))))))))))))))))),0)</f>
        <v>0</v>
      </c>
      <c r="G39" s="461">
        <f>IF(REA!F14="",IF(REA!F15="A JEUN",0,IF(OR(REA!F15="LAIT de MERE",REA!F15="LAIT de LACTARIUM"),(0.97*(REA!T14*REA!V14+REA!T15*REA!V15)/100),IF(OR(REA!F15="LAIT de MERE + HMF 1%",REA!F15="LAIT de LACTARIUM + HMF 1%"),(1.04*(REA!T14*REA!V14+REA!T15*REA!V15)/100),IF(OR(REA!F15="LAIT de MERE + HMF 2%",REA!F15="LAIT de LACTARIUM + HMF 2%"),(1.22*(REA!T14*REA!V14+REA!T15*REA!V15)/100),IF(OR(REA!F15="LAIT de MERE + HMF 3%",REA!F15="LAIT de LACTARIUM + HMF 3%"),(1.39*(REA!T14*REA!V14+REA!T15*REA!V15)/100),IF(OR(REA!F15="LAIT de MERE + HMF 4%",REA!F15="LAIT de LACTARIUM + HMF 4%",REA!F15="LAIT de MERE CARTE"),(1.57*(REA!T14*REA!V14+REA!T15*REA!V15)/100),IF(REA!F15="NUTRILON PREMA",(3.04*(REA!T14*REA!V14+REA!T15*REA!V15)/100),IF(REA!F15="PRENAN Stage 1",(2.22*(REA!T14*REA!V14+REA!T15*REA!V15)/100),IF(REA!F15="NUTRILON EX PREMA",(1.22*(REA!T14*REA!V14+REA!T15*REA!V15)/100),IF(REA!F15="PRENAN Stage 2",(1.48*(REA!T14*REA!V14+REA!T15*REA!V15)/100),IF(REA!F15="NAN PRO 1",(0.74*(REA!T14*REA!V14+REA!T15*REA!V15)/100),IF(REA!F15="NAN HA 1",(0.74*(REA!T14*REA!V14+REA!T15*REA!V15)/100),IF(REA!F15="NAN AR 1",(0.87*(REA!T14*REA!V14+REA!T15*REA!V15)/100),IF(REA!F15="GUIGOZ 1",(0.83*(REA!T14*REA!V14+REA!T15*REA!V15)/100),IF(REA!F15="BEBA 1",(0.87*(REA!T14*REA!V14+REA!T15*REA!V15)/100),IF(REA!F15="NUTRILON 1",(1*(REA!T14*REA!V14+REA!T15*REA!V15)/100),IF(REA!F15="NUTRILON HA 1",(1.09*(REA!T14*REA!V14+REA!T15*REA!V15)/100),IF(REA!F15="NUTRILON AR 1",(1.04*(REA!T14*REA!V14+REA!T15*REA!V15)/100),IF(REA!F15="ENFAMIL AR 1",(1.09*(REA!T14*REA!V14+REA!T15*REA!V15)/100),IF(REA!F15="NUTRAMIGEN",(1.39*(REA!T14*REA!V14+REA!T15*REA!V15)/100),IF(REA!F15="NEOCATE",(1.35*(REA!T14*REA!V14+REA!T15*REA!V15)/100),IF(REA!F15="CYSTILAC",(3.48*(REA!T14*REA!V14+REA!T15*REA!V15)/100),0)))))))))))))))))))))),0)</f>
        <v>0</v>
      </c>
    </row>
    <row r="40" spans="1:16">
      <c r="A40" t="s">
        <v>695</v>
      </c>
      <c r="C40" s="37">
        <f>IF(OR(REA!F14="",REA!F15="",REA!C15=A1),0,IF(REA!C15=Apports!A2,C91,0))</f>
        <v>0</v>
      </c>
      <c r="D40" s="37">
        <f>IF(OR(REA!F14="",REA!F15="",REA!C15=A1),0,IF(REA!C15=Apports!A2,D91,0))</f>
        <v>0</v>
      </c>
      <c r="E40" s="37">
        <f>IF(OR(REA!F14="",REA!F15="",REA!C15=A1),0,IF(REA!C15=Apports!A2,E91,0))</f>
        <v>0</v>
      </c>
      <c r="F40" s="37">
        <f>IF(OR(REA!F14="",REA!F15="",REA!C15=A1),0,IF(REA!C15=Apports!A2,F91,0))</f>
        <v>0</v>
      </c>
      <c r="G40" s="37">
        <f>IF(OR(REA!F14="",REA!F15="",REA!C15=A1),0,IF(REA!C15=Apports!A2,G91,0))</f>
        <v>0</v>
      </c>
    </row>
    <row r="41" spans="1:16">
      <c r="A41" t="s">
        <v>696</v>
      </c>
      <c r="C41" s="37">
        <f>IF(OR(REA!F14="",REA!F15="",REA!C15=A2),0,IF(OR(REA!F14="A JEUN",REA!F15="A JEUN"),L73,IF(REA!C15=Apports!A1,L73/2)))</f>
        <v>0</v>
      </c>
      <c r="D41" s="37">
        <f>IF(OR(REA!F14="",REA!F15="",REA!C15=A2),0,IF(OR(REA!F14="A JEUN",REA!F15="A JEUN"),M73,IF(REA!C15=Apports!A1,M73/2)))</f>
        <v>0</v>
      </c>
      <c r="E41" s="37">
        <f>IF(OR(REA!F14="",REA!F15="",REA!C15=A2),0,IF(OR(REA!F14="A JEUN",REA!F15="A JEUN"),N73,IF(REA!C15=Apports!A1,N73/2)))</f>
        <v>0</v>
      </c>
      <c r="F41" s="37">
        <f>IF(OR(REA!F14="",REA!F15="",REA!C15=A2),0,IF(OR(REA!F14="A JEUN",REA!F15="A JEUN"),O73,IF(REA!C15=Apports!A1,O73/2)))</f>
        <v>0</v>
      </c>
      <c r="G41" s="37">
        <f>IF(OR(REA!F14="",REA!F15="",REA!C15=A2),0,IF(OR(REA!F14="A JEUN",REA!F15="A JEUN"),P73,IF(REA!C15=Apports!A1,P73/2)))</f>
        <v>0</v>
      </c>
    </row>
    <row r="42" spans="1:16">
      <c r="C42" s="37"/>
      <c r="D42" s="37"/>
    </row>
    <row r="43" spans="1:16">
      <c r="A43" s="468" t="s">
        <v>742</v>
      </c>
      <c r="B43" s="84"/>
      <c r="C43" s="84">
        <f>SUM(C38:C41)</f>
        <v>0</v>
      </c>
      <c r="D43" s="84">
        <f>SUM(D38:D41)</f>
        <v>0</v>
      </c>
      <c r="E43" s="84">
        <f t="shared" ref="E43:G43" si="2">SUM(E38:E41)</f>
        <v>0</v>
      </c>
      <c r="F43" s="84">
        <f t="shared" si="2"/>
        <v>0</v>
      </c>
      <c r="G43" s="465">
        <f t="shared" si="2"/>
        <v>0</v>
      </c>
    </row>
    <row r="44" spans="1:16">
      <c r="C44" s="37"/>
      <c r="D44" s="37"/>
    </row>
    <row r="45" spans="1:16">
      <c r="A45" s="400" t="s">
        <v>718</v>
      </c>
      <c r="C45" s="59" t="s">
        <v>336</v>
      </c>
      <c r="D45" s="59" t="s">
        <v>653</v>
      </c>
      <c r="E45" s="59" t="s">
        <v>712</v>
      </c>
      <c r="F45" s="59" t="s">
        <v>713</v>
      </c>
      <c r="G45" s="59" t="s">
        <v>717</v>
      </c>
      <c r="I45" s="400" t="s">
        <v>708</v>
      </c>
      <c r="L45" s="59" t="s">
        <v>336</v>
      </c>
      <c r="M45" s="59" t="s">
        <v>653</v>
      </c>
      <c r="N45" s="59" t="s">
        <v>712</v>
      </c>
      <c r="O45" s="59" t="s">
        <v>713</v>
      </c>
      <c r="P45" s="59" t="s">
        <v>717</v>
      </c>
    </row>
    <row r="46" spans="1:16">
      <c r="A46" t="s">
        <v>668</v>
      </c>
      <c r="C46" s="37" t="str">
        <f>IF(OR(REA!F14="LAIT de MERE",REA!F14="LAIT de LACTARIUM"),(1.5*REA!T14*REA!V14/100),"0")</f>
        <v>0</v>
      </c>
      <c r="D46" s="37" t="str">
        <f>IF(OR(REA!F14="LAIT de MERE",REA!F14="LAIT de LACTARIUM"),(66*REA!T14*REA!V14/100),"0")</f>
        <v>0</v>
      </c>
      <c r="E46" s="37" t="str">
        <f>IF(OR(REA!F14="LAIT de MERE",REA!F14="LAIT de LACTARIUM"),(6.8*REA!T14*REA!V14/100),"0")</f>
        <v>0</v>
      </c>
      <c r="F46" s="37" t="str">
        <f>IF(OR(REA!F14="LAIT de MERE",REA!F14="LAIT de LACTARIUM"),(3.6*REA!T14*REA!V14/100),"0")</f>
        <v>0</v>
      </c>
      <c r="G46" s="461" t="str">
        <f>IF(OR(REA!F14="LAIT de MERE",REA!F14="LAIT de LACTARIUM"),(0.97*REA!T14*REA!V14/100),"0")</f>
        <v>0</v>
      </c>
      <c r="I46" s="1355" t="s">
        <v>697</v>
      </c>
      <c r="J46" s="1355"/>
      <c r="K46" s="1355"/>
      <c r="L46" s="37" t="str">
        <f>IF(OR(REA!F14="LAIT de MERE",REA!F15="LAIT de MERE"),((REA!T14*REA!V14)+(REA!T15*REA!V15))*1.5/100,"0")</f>
        <v>0</v>
      </c>
      <c r="M46" s="37" t="str">
        <f>IF(OR(REA!F14="LAIT de MERE",REA!F15="LAIT de MERE"),((REA!T14*REA!V14)+(REA!T15*REA!V15))*66/100,"0")</f>
        <v>0</v>
      </c>
      <c r="N46" s="37" t="str">
        <f>IF(OR(REA!F14="LAIT de MERE",REA!F15="LAIT de MERE"),((REA!T14*REA!V14)+(REA!T15*REA!V15))*6.8/100,"0")</f>
        <v>0</v>
      </c>
      <c r="O46" s="37" t="str">
        <f>IF(OR(REA!F14="LAIT de MERE",REA!F15="LAIT de MERE"),((REA!T14*REA!V14)+(REA!T15*REA!V15))*3.6/100,"0")</f>
        <v>0</v>
      </c>
      <c r="P46" s="461" t="str">
        <f>IF(OR(REA!F14="LAIT de MERE",REA!F15="LAIT de MERE"),((REA!T14*REA!V14)+(REA!T15*REA!V15))*0.97/100,"0")</f>
        <v>0</v>
      </c>
    </row>
    <row r="47" spans="1:16">
      <c r="A47" t="s">
        <v>669</v>
      </c>
      <c r="C47" s="37" t="str">
        <f>IF(OR(REA!F14="LAIT de MERE + HMF 1%",REA!F14="LAIT de LACTARIUM + HMF 1%"),(1.8*REA!T14*REA!V14/100),"0")</f>
        <v>0</v>
      </c>
      <c r="D47" s="37" t="str">
        <f>IF(OR(REA!F14="LAIT de MERE + HMF 1%",REA!F14="LAIT de LACTARIUM + HMF 1%"),(71*REA!T14*REA!V14/100),"0")</f>
        <v>0</v>
      </c>
      <c r="E47" s="37" t="str">
        <f>IF(OR(REA!F14="LAIT de MERE + HMF 1%",REA!F14="LAIT de LACTARIUM + HMF 1%"),(6.9*REA!T14*REA!V14/100),"0")</f>
        <v>0</v>
      </c>
      <c r="F47" s="37" t="str">
        <f>IF(OR(REA!F14="LAIT de MERE + HMF 1%",REA!F14="LAIT de LACTARIUM + HMF 1%"),(3.9*REA!T14*REA!V14/100),"0")</f>
        <v>0</v>
      </c>
      <c r="G47" s="461" t="str">
        <f>IF(OR(REA!F14="LAIT de MERE + HMF 1%",REA!F14="LAIT de LACTARIUM + HMF 1%"),(1.04*REA!T14*REA!V14/100),"0")</f>
        <v>0</v>
      </c>
      <c r="I47" s="1355" t="s">
        <v>698</v>
      </c>
      <c r="J47" s="1355"/>
      <c r="K47" s="1355"/>
      <c r="L47" s="37" t="str">
        <f>IF(OR(REA!F14="LAIT DE LACTARIUM",REA!F15="LAIT DE LACTARIUM"),((REA!T14*REA!V14)+(REA!T15*REA!V15))*1.5/100,"0")</f>
        <v>0</v>
      </c>
      <c r="M47" s="37" t="str">
        <f>IF(OR(REA!F14="LAIT DE LACTARIUM",REA!F15="LAIT DE LACTARIUM"),((REA!T14*REA!V14)+(REA!T15*REA!V15))*66/100,"0")</f>
        <v>0</v>
      </c>
      <c r="N47" s="37" t="str">
        <f>IF(OR(REA!F14="LAIT DE LACTARIUM",REA!F15="LAIT DE LACTARIUM"),((REA!T14*REA!V14)+(REA!T15*REA!V15))*6.8/100,"0")</f>
        <v>0</v>
      </c>
      <c r="O47" s="37" t="str">
        <f>IF(OR(REA!F14="LAIT DE LACTARIUM",REA!F15="LAIT DE LACTARIUM"),((REA!T14*REA!V14)+(REA!T15*REA!V15))*3.6/100,"0")</f>
        <v>0</v>
      </c>
      <c r="P47" s="461" t="str">
        <f>IF(OR(REA!F14="LAIT DE LACTARIUM",REA!F15="LAIT DE LACTARIUM"),((REA!T14*REA!V14)+(REA!T15*REA!V15))*0.97/100,"0")</f>
        <v>0</v>
      </c>
    </row>
    <row r="48" spans="1:16">
      <c r="A48" t="s">
        <v>670</v>
      </c>
      <c r="C48" s="37" t="str">
        <f>IF(OR(REA!F14="LAIT de MERE + HMF 2%",REA!F14="LAIT de LACTARIUM + HMF 2%"),(2.1*REA!T14*REA!V14/100),"0")</f>
        <v>0</v>
      </c>
      <c r="D48" s="37" t="str">
        <f>IF(OR(REA!F14="LAIT de MERE + HMF 2%",REA!F14="LAIT de LACTARIUM + HMF 2%"),(74*REA!T14*REA!V14/100),"0")</f>
        <v>0</v>
      </c>
      <c r="E48" s="37" t="str">
        <f>IF(OR(REA!F14="LAIT de MERE + HMF 2%",REA!F14="LAIT de LACTARIUM + HMF 2%"),(7*REA!T14*REA!V14/100),"0")</f>
        <v>0</v>
      </c>
      <c r="F48" s="37" t="str">
        <f>IF(OR(REA!F14="LAIT de MERE + HMF 2%",REA!F14="LAIT de LACTARIUM + HMF 2%"),(4.1*REA!T14*REA!V14/100),"0")</f>
        <v>0</v>
      </c>
      <c r="G48" s="461" t="str">
        <f>IF(OR(REA!F14="LAIT de MERE + HMF 2%",REA!F14="LAIT de LACTARIUM + HMF 2%"),(1.22*REA!T14*REA!V14/100),"0")</f>
        <v>0</v>
      </c>
      <c r="I48" s="1354" t="s">
        <v>699</v>
      </c>
      <c r="J48" s="1354"/>
      <c r="K48" s="1354"/>
      <c r="L48" s="37" t="str">
        <f>IF(OR(REA!F14="LAIT de MERE + HMF 1%",REA!F15="LAIT de MERE + HMF 1%"),((REA!T14*REA!V14)+(REA!T15*REA!V15))*1.8/100,"0")</f>
        <v>0</v>
      </c>
      <c r="M48" s="37" t="str">
        <f>IF(OR(REA!F14="LAIT de MERE + HMF 1%",REA!F15="LAIT de MERE + HMF 1%"),((REA!T14*REA!V14)+(REA!T15*REA!V15))*71/100,"0")</f>
        <v>0</v>
      </c>
      <c r="N48" s="37" t="str">
        <f>IF(OR(REA!F14="LAIT de MERE + HMF 1%",REA!F15="LAIT de MERE + HMF 1%"),((REA!T14*REA!V14)+(REA!T15*REA!V15))*6.9/100,"0")</f>
        <v>0</v>
      </c>
      <c r="O48" s="37" t="str">
        <f>IF(OR(REA!F14="LAIT de MERE + HMF 1%",REA!F15="LAIT de MERE + HMF 1%"),((REA!T14*REA!V14)+(REA!T15*REA!V15))*3.9/100,"0")</f>
        <v>0</v>
      </c>
      <c r="P48" s="461" t="str">
        <f>IF(OR(REA!F14="LAIT de MERE + HMF 1%",REA!F15="LAIT de MERE + HMF 1%"),((REA!T14*REA!V14)+(REA!T15*REA!V15))*1.04/100,"0")</f>
        <v>0</v>
      </c>
    </row>
    <row r="49" spans="1:16">
      <c r="A49" t="s">
        <v>671</v>
      </c>
      <c r="C49" s="37" t="str">
        <f>IF(OR(REA!F14="LAIT de MERE + HMF 3%",REA!F14="LAIT de LACTARIUM + HMF 3%"),(2.3*REA!T14*REA!V14/100),"0")</f>
        <v>0</v>
      </c>
      <c r="D49" s="37" t="str">
        <f>IF(OR(REA!F14="LAIT de MERE + HMF 3%",REA!F14="LAIT de LACTARIUM + HMF 3%"),(78*REA!T14*REA!V14/100),"0")</f>
        <v>0</v>
      </c>
      <c r="E49" s="37" t="str">
        <f>IF(OR(REA!F14="LAIT de MERE + HMF 3%",REA!F14="LAIT de LACTARIUM + HMF 3%"),(7.1*REA!T14*REA!V14/100),"0")</f>
        <v>0</v>
      </c>
      <c r="F49" s="37" t="str">
        <f>IF(OR(REA!F14="LAIT de MERE + HMF 3%",REA!F14="LAIT de LACTARIUM + HMF 3%"),(4.4*REA!T14*REA!V14/100),"0")</f>
        <v>0</v>
      </c>
      <c r="G49" s="461" t="str">
        <f>IF(OR(REA!F14="LAIT de MERE + HMF 3%",REA!F14="LAIT de LACTARIUM + HMF 3%"),(1.39*REA!T14*REA!V14/100),"0")</f>
        <v>0</v>
      </c>
      <c r="I49" s="1355" t="s">
        <v>700</v>
      </c>
      <c r="J49" s="1355"/>
      <c r="K49" s="1355"/>
      <c r="L49" s="37" t="str">
        <f>IF(OR(REA!F14="LAIT DE LACTARIUM + HMF 1%",REA!F15="LAIT DE LACTARIUM + HMF 1%"),((REA!T14*REA!V14)+(REA!T15*REA!V15))*1.8/100,"0")</f>
        <v>0</v>
      </c>
      <c r="M49" s="37" t="str">
        <f>IF(OR(REA!F14="LAIT DE LACTARIUM + HMF 1%",REA!F15="LAIT DE LACTARIUM + HMF 1%"),((REA!T14*REA!V14)+(REA!T15*REA!V15))*71/100,"0")</f>
        <v>0</v>
      </c>
      <c r="N49" s="37" t="str">
        <f>IF(OR(REA!F14="LAIT DE LACTARIUM + HMF 1%",REA!F15="LAIT DE LACTARIUM + HMF 1%"),((REA!T14*REA!V14)+(REA!T15*REA!V15))*6.9/100,"0")</f>
        <v>0</v>
      </c>
      <c r="O49" s="37" t="str">
        <f>IF(OR(REA!F14="LAIT DE LACTARIUM + HMF 1%",REA!F15="LAIT DE LACTARIUM + HMF 1%"),((REA!T14*REA!V14)+(REA!T15*REA!V15))*3.9/100,"0")</f>
        <v>0</v>
      </c>
      <c r="P49" s="461" t="str">
        <f>IF(OR(REA!F14="LAIT DE LACTARIUM + HMF 1%",REA!F15="LAIT DE LACTARIUM + HMF 1%"),((REA!T14*REA!V14)+(REA!T15*REA!V15))*1.04/100,"0")</f>
        <v>0</v>
      </c>
    </row>
    <row r="50" spans="1:16">
      <c r="A50" t="s">
        <v>672</v>
      </c>
      <c r="C50" s="37" t="str">
        <f>IF(OR(REA!F14="LAIT de MERE + HMF 4%",REA!F14="LAIT de LACTARIUM + HMF 4%"),(2.6*REA!T14*REA!V14/100),"0")</f>
        <v>0</v>
      </c>
      <c r="D50" s="37" t="str">
        <f>IF(OR(REA!F14="LAIT de MERE + HMF 4%",REA!F14="LAIT de LACTARIUM + HMF 4%"),(80*REA!T14*REA!V14/100),"0")</f>
        <v>0</v>
      </c>
      <c r="E50" s="37" t="str">
        <f>IF(OR(REA!F14="LAIT de MERE + HMF 4%",REA!F14="LAIT de LACTARIUM + HMF 4%",REA!F14="LAIT de MERE CARTE"),(7.2*REA!T14*REA!V14/100),"0")</f>
        <v>0</v>
      </c>
      <c r="F50" s="37" t="str">
        <f>IF(OR(REA!F14="LAIT de MERE + HMF 4%",REA!F14="LAIT de LACTARIUM + HMF 4%"),(4.6*REA!T14*REA!V14/100),"0")</f>
        <v>0</v>
      </c>
      <c r="G50" s="461" t="str">
        <f>IF(OR(REA!F14="LAIT de MERE + HMF 4%",REA!F14="LAIT de LACTARIUM + HMF 4%"),(1.57*REA!T14*REA!V14/100),"0")</f>
        <v>0</v>
      </c>
      <c r="I50" s="1354" t="s">
        <v>701</v>
      </c>
      <c r="J50" s="1354"/>
      <c r="K50" s="1354"/>
      <c r="L50" s="37" t="str">
        <f>IF(OR(REA!F14="LAIT de MERE + HMF 2%",REA!F15="LAIT de MERE + HMF 2%"),((REA!T14*REA!V14)+(REA!T15*REA!V15))*2.1/100,"0")</f>
        <v>0</v>
      </c>
      <c r="M50" s="37" t="str">
        <f>IF(OR(REA!F14="LAIT de MERE + HMF 2%",REA!F15="LAIT de MERE + HMF 2%"),((REA!T14*REA!V14)+(REA!T15*REA!V15))*74/100,"0")</f>
        <v>0</v>
      </c>
      <c r="N50" s="37" t="str">
        <f>IF(OR(REA!F14="LAIT de MERE + HMF 2%",REA!F15="LAIT de MERE + HMF 2%"),((REA!T14*REA!V14)+(REA!T15*REA!V15))*7/100,"0")</f>
        <v>0</v>
      </c>
      <c r="O50" s="37" t="str">
        <f>IF(OR(REA!F14="LAIT de MERE + HMF 2%",REA!F15="LAIT de MERE + HMF 2%"),((REA!T14*REA!V14)+(REA!T15*REA!V15))*4.1/100,"0")</f>
        <v>0</v>
      </c>
      <c r="P50" s="461" t="str">
        <f>IF(OR(REA!F14="LAIT de MERE + HMF 2%",REA!F15="LAIT de MERE + HMF 2%"),((REA!T14*REA!V14)+(REA!T15*REA!V15))*1.22/100,"0")</f>
        <v>0</v>
      </c>
    </row>
    <row r="51" spans="1:16">
      <c r="A51" t="s">
        <v>673</v>
      </c>
      <c r="C51" s="37" t="str">
        <f>IF(REA!F14="NUTRILON PREMA",(2.6*REA!T14*REA!V14/100),"0")</f>
        <v>0</v>
      </c>
      <c r="D51" s="37" t="str">
        <f>IF(REA!F14="NUTRILON PREMA",(80*REA!T14*REA!V14/100),"0")</f>
        <v>0</v>
      </c>
      <c r="E51" s="37" t="str">
        <f>IF(REA!F14="NUTRILON PREMA",(8.4*REA!T14*REA!V14/100),"0")</f>
        <v>0</v>
      </c>
      <c r="F51" s="37" t="str">
        <f>IF(REA!F14="NUTRILON PREMA",(3.9*REA!T14*REA!V14/100),"0")</f>
        <v>0</v>
      </c>
      <c r="G51" s="37" t="str">
        <f>IF(REA!F14="NUTRILON PREMA",(3.04*REA!T14*REA!V14/100),"0")</f>
        <v>0</v>
      </c>
      <c r="I51" s="1354" t="s">
        <v>702</v>
      </c>
      <c r="J51" s="1354"/>
      <c r="K51" s="1354"/>
      <c r="L51" s="37" t="str">
        <f>IF(OR(REA!F14="LAIT DE LACTARIUM + HMF 2%",REA!F15="LAIT DE LACTARIUM + HMF 2%"),((REA!T14*REA!V14)+(REA!T15*REA!V15))*2.1/100,"0")</f>
        <v>0</v>
      </c>
      <c r="M51" s="37" t="str">
        <f>IF(OR(REA!F14="LAIT DE LACTARIUM + HMF 2%",REA!F15="LAIT DE LACTARIUM + HMF 2%"),((REA!T14*REA!V14)+(REA!T15*REA!V15))*74/100,"0")</f>
        <v>0</v>
      </c>
      <c r="N51" s="37" t="str">
        <f>IF(OR(REA!F14="LAIT DE LACTARIUM + HMF 2%",REA!F15="LAIT DE LACTARIUM + HMF 2%"),((REA!T14*REA!V14)+(REA!T15*REA!V15))*7/100,"0")</f>
        <v>0</v>
      </c>
      <c r="O51" s="37" t="str">
        <f>IF(OR(REA!F14="LAIT DE LACTARIUM + HMF 2%",REA!F15="LAIT DE LACTARIUM + HMF 2%"),((REA!T14*REA!V14)+(REA!T15*REA!V15))*4.1/100,"0")</f>
        <v>0</v>
      </c>
      <c r="P51" s="461" t="str">
        <f>IF(OR(REA!F14="LAIT DE LACTARIUM + HMF 2%",REA!F15="LAIT DE LACTARIUM + HMF 2%"),((REA!T14*REA!V14)+(REA!T15*REA!V15))*1.22/100,"0")</f>
        <v>0</v>
      </c>
    </row>
    <row r="52" spans="1:16">
      <c r="A52" t="s">
        <v>674</v>
      </c>
      <c r="C52" s="37" t="str">
        <f>IF(REA!F14="PRENAN Stage 1",(2.88*REA!T14*REA!V14/100),"0")</f>
        <v>0</v>
      </c>
      <c r="D52" s="37" t="str">
        <f>IF(REA!F14="PRENAN Stage 1",(80*REA!T14*REA!V14/100),"0")</f>
        <v>0</v>
      </c>
      <c r="E52" s="37" t="str">
        <f>IF(REA!F14="PRENAN Stage 1",(8.41*REA!T14*REA!V14/100),"0")</f>
        <v>0</v>
      </c>
      <c r="F52" s="37" t="str">
        <f>IF(REA!F14="PRENAN Stage 1",(4*REA!T14*REA!V14/100),"0")</f>
        <v>0</v>
      </c>
      <c r="G52" s="37" t="str">
        <f>IF(REA!F14="PRENAN Stage 1",(2.22*REA!T14*REA!V14/100),"0")</f>
        <v>0</v>
      </c>
      <c r="I52" s="1354" t="s">
        <v>703</v>
      </c>
      <c r="J52" s="1354"/>
      <c r="K52" s="1354"/>
      <c r="L52" s="37" t="str">
        <f>IF(OR(REA!F14="LAIT de MERE + HMF 3%",REA!F15="LAIT de MERE + HMF 3%"),((REA!T14*REA!V14)+(REA!T15*REA!V15))*2.3/100,"0")</f>
        <v>0</v>
      </c>
      <c r="M52" s="37" t="str">
        <f>IF(OR(REA!F14="LAIT de MERE + HMF 3%",REA!F15="LAIT de MERE + HMF 3%"),((REA!T14*REA!V14)+(REA!T15*REA!V15))*78/100,"0")</f>
        <v>0</v>
      </c>
      <c r="N52" s="37" t="str">
        <f>IF(OR(REA!F14="LAIT de MERE + HMF 3%",REA!F15="LAIT de MERE + HMF 3%"),((REA!T14*REA!V14)+(REA!T15*REA!V15))*7.1/100,"0")</f>
        <v>0</v>
      </c>
      <c r="O52" s="37" t="str">
        <f>IF(OR(REA!F14="LAIT de MERE + HMF 3%",REA!F15="LAIT de MERE + HMF 3%"),((REA!T14*REA!V14)+(REA!T15*REA!V15))*4.4/100,"0")</f>
        <v>0</v>
      </c>
      <c r="P52" s="461" t="str">
        <f>IF(OR(REA!F14="LAIT de MERE + HMF 3%",REA!F15="LAIT de MERE + HMF 3%"),((REA!T14*REA!V14)+(REA!T15*REA!V15))*1.39/100,"0")</f>
        <v>0</v>
      </c>
    </row>
    <row r="53" spans="1:16">
      <c r="A53" t="s">
        <v>675</v>
      </c>
      <c r="C53" s="37" t="str">
        <f>IF(REA!F14="NUTRILON EX PREMA",(2*REA!T14*REA!V14/100),"0")</f>
        <v>0</v>
      </c>
      <c r="D53" s="37" t="str">
        <f>IF(REA!F14="NUTRILON EX PREMA",(75*REA!T14*REA!V14/100),"0")</f>
        <v>0</v>
      </c>
      <c r="E53" s="37" t="str">
        <f>IF(REA!F14="NUTRILON EX PREMA",(7.5*REA!T14*REA!V14/100),"0")</f>
        <v>0</v>
      </c>
      <c r="F53" s="37" t="str">
        <f>IF(REA!F14="NUTRILON EX PREMA",(4*REA!T14*REA!V14/100),"0")</f>
        <v>0</v>
      </c>
      <c r="G53" s="37" t="str">
        <f>IF(REA!F14="NUTRILON EX PREMA",(1.22*REA!T14*REA!V14/100),"0")</f>
        <v>0</v>
      </c>
      <c r="I53" s="1354" t="s">
        <v>704</v>
      </c>
      <c r="J53" s="1354"/>
      <c r="K53" s="1354"/>
      <c r="L53" s="37" t="str">
        <f>IF(OR(REA!F14="LAIT DE LACTARIUM + HMF 3%",REA!F15="LAIT DE LACTARIUM + HMF 3%"),((REA!T14*REA!V14)+(REA!T15*REA!V15))*2.3/100,"0")</f>
        <v>0</v>
      </c>
      <c r="M53" s="37" t="str">
        <f>IF(OR(REA!F14="LAIT DE LACTARIUM + HMF 3%",REA!F15="LAIT DE LACTARIUM + HMF 3%"),((REA!T14*REA!V14)+(REA!T15*REA!V15))*78/100,"0")</f>
        <v>0</v>
      </c>
      <c r="N53" s="37" t="str">
        <f>IF(OR(REA!F14="LAIT DE LACTARIUM + HMF 3%",REA!F15="LAIT DE LACTARIUM + HMF 3%"),((REA!T14*REA!V14)+(REA!T15*REA!V15))*7.1/100,"0")</f>
        <v>0</v>
      </c>
      <c r="O53" s="37" t="str">
        <f>IF(OR(REA!F14="LAIT de MERE + HMF 3%",REA!F15="LAIT de MERE + HMF 3%"),((REA!T14*REA!V14)+(REA!T15*REA!V15))*4.4/100,"0")</f>
        <v>0</v>
      </c>
      <c r="P53" s="461" t="str">
        <f>IF(OR(REA!F14="LAIT de MERE + HMF 3%",REA!F15="LAIT de MERE + HMF 3%"),((REA!T14*REA!V14)+(REA!T15*REA!V15))*1.39/100,"0")</f>
        <v>0</v>
      </c>
    </row>
    <row r="54" spans="1:16">
      <c r="A54" t="s">
        <v>676</v>
      </c>
      <c r="C54" s="37" t="str">
        <f>IF(REA!F14="PRENAN Stage 2",(2.04*REA!T14*REA!V14/100),"0")</f>
        <v>0</v>
      </c>
      <c r="D54" s="37" t="str">
        <f>IF(REA!F14="PRENAN Stage 2",(73*REA!T14*REA!V14/100),"0")</f>
        <v>0</v>
      </c>
      <c r="E54" s="37" t="str">
        <f>IF(REA!F14="PRENAN Stage 2",(7.67*REA!T14*REA!V14/100),"0")</f>
        <v>0</v>
      </c>
      <c r="F54" s="37" t="str">
        <f>IF(REA!F14="PRENAN Stage 2",(3.8*REA!T14*REA!V14/100),"0")</f>
        <v>0</v>
      </c>
      <c r="G54" s="37" t="str">
        <f>IF(REA!F14="PRENAN Stage 2",(1.48*REA!T14*REA!V14/100),"0")</f>
        <v>0</v>
      </c>
      <c r="I54" s="1354" t="s">
        <v>705</v>
      </c>
      <c r="J54" s="1354"/>
      <c r="K54" s="1354"/>
      <c r="L54" s="37" t="str">
        <f>IF(OR(REA!F14="LAIT de MERE + HMF 4%",REA!F15="LAIT de MERE + HMF 4%"),((REA!T14*REA!V14)+(REA!T15*REA!V15))*2.6/100,"0")</f>
        <v>0</v>
      </c>
      <c r="M54" s="37" t="str">
        <f>IF(OR(REA!F14="LAIT de MERE + HMF 4%",REA!F15="LAIT de MERE + HMF 4%"),((REA!T14*REA!V14)+(REA!T15*REA!V15))*80/100,"0")</f>
        <v>0</v>
      </c>
      <c r="N54" s="37" t="str">
        <f>IF(OR(REA!F14="LAIT de MERE + HMF 4%",REA!F15="LAIT de MERE + HMF 4%"),((REA!T14*REA!V14)+(REA!T15*REA!V15))*7.2/100,"0")</f>
        <v>0</v>
      </c>
      <c r="O54" s="37" t="str">
        <f>IF(OR(REA!F14="LAIT de MERE + HMF 4%",REA!F15="LAIT de MERE + HMF 4%"),((REA!T14*REA!V14)+(REA!T15*REA!V15))*4.6/100,"0")</f>
        <v>0</v>
      </c>
      <c r="P54" s="461" t="str">
        <f>IF(OR(REA!F14="LAIT de MERE + HMF 4%",REA!F15="LAIT de MERE + HMF 4%"),((REA!T14*REA!V14)+(REA!T15*REA!V15))*1.57/100,"0")</f>
        <v>0</v>
      </c>
    </row>
    <row r="55" spans="1:16">
      <c r="A55" t="s">
        <v>678</v>
      </c>
      <c r="C55" s="37" t="str">
        <f>IF(REA!F14="NAN PRO 1",(1.24*REA!T14*REA!V14/100),"0")</f>
        <v>0</v>
      </c>
      <c r="D55" s="37" t="str">
        <f>IF(REA!F14="NAN PRO 1",(67*REA!T14*REA!V14/100),"0")</f>
        <v>0</v>
      </c>
      <c r="E55" s="37" t="str">
        <f>IF(REA!F14="NAN PRO 1",(7.46*REA!T14*REA!V14/100),"0")</f>
        <v>0</v>
      </c>
      <c r="F55" s="37" t="str">
        <f>IF(REA!F14="NAN PRO 1",(3.57*REA!T14*REA!V14/100),"0")</f>
        <v>0</v>
      </c>
      <c r="G55" s="37" t="str">
        <f>IF(REA!F14="NAN PRO 1",(0.74*REA!T14*REA!V14/100),"0")</f>
        <v>0</v>
      </c>
      <c r="I55" s="1354" t="s">
        <v>706</v>
      </c>
      <c r="J55" s="1354"/>
      <c r="K55" s="1354"/>
      <c r="L55" s="37" t="str">
        <f>IF(OR(REA!F14="LAIT DE LACTARIUM + HMF 4%",REA!F15="LAIT DE LACTARIUM + HMF 4%"),((REA!T14*REA!V14)+(REA!T15*REA!V15))*2.6/100,"0")</f>
        <v>0</v>
      </c>
      <c r="M55" s="37" t="str">
        <f>IF(OR(REA!F14="LAIT DE LACTARIUM + HMF 4%",REA!F15="LAIT DE LACTARIUM + HMF 4%"),((REA!T14*REA!V14)+(REA!T15*REA!V15))*80/100,"0")</f>
        <v>0</v>
      </c>
      <c r="N55" s="37" t="str">
        <f>IF(OR(REA!F14="LAIT DE LACTARIUM + HMF 4%",REA!F15="LAIT DE LACTARIUM + HMF 4%"),((REA!T14*REA!V14)+(REA!T15*REA!V15))*7.2/100,"0")</f>
        <v>0</v>
      </c>
      <c r="O55" s="37" t="str">
        <f>IF(OR(REA!F14="LAIT DE LACTARIUM + HMF 4%",REA!F15="LAIT DE LACTARIUM + HMF 4%"),((REA!T14*REA!V14)+(REA!T15*REA!V15))*4.6/100,"0")</f>
        <v>0</v>
      </c>
      <c r="P55" s="461" t="str">
        <f>IF(OR(REA!F14="LAIT DE LACTARIUM + HMF 4%",REA!F15="LAIT DE LACTARIUM + HMF 4%"),((REA!T14*REA!V14)+(REA!T15*REA!V15))*1.57/100,"0")</f>
        <v>0</v>
      </c>
    </row>
    <row r="56" spans="1:16">
      <c r="A56" t="s">
        <v>681</v>
      </c>
      <c r="C56" s="37" t="str">
        <f>IF(REA!F14="NAN HA 1",(1.28*REA!T14*REA!V14/100),"0")</f>
        <v>0</v>
      </c>
      <c r="D56" s="37" t="str">
        <f>IF(REA!F14="NAN HA 1",(67*REA!T14*REA!V14/100),"0")</f>
        <v>0</v>
      </c>
      <c r="E56" s="37" t="str">
        <f>IF(REA!F14="NAN HA 1",(7.85*REA!T14*REA!V14/100),"0")</f>
        <v>0</v>
      </c>
      <c r="F56" s="37" t="str">
        <f>IF(REA!F14="NAN HA 1",(3.41*REA!T14*REA!V14/100),"0")</f>
        <v>0</v>
      </c>
      <c r="G56" s="37" t="str">
        <f>IF(REA!F14="NAN HA 1",(0.74*REA!T14*REA!V14/100),"0")</f>
        <v>0</v>
      </c>
      <c r="I56" s="1354" t="s">
        <v>673</v>
      </c>
      <c r="J56" s="1354"/>
      <c r="K56" s="1354"/>
      <c r="L56" s="37" t="str">
        <f>IF(OR(REA!F14="NUTRILON PREMA",REA!F15="NUTRILON PREMA"),((REA!T14*REA!V14)+(REA!T15*REA!V15))*2.6/100,"0")</f>
        <v>0</v>
      </c>
      <c r="M56" s="37" t="str">
        <f>IF(OR(REA!F14="NUTRILON PREMA",REA!F15="NUTRILON PREMA"),((REA!T14*REA!V14)+(REA!T15*REA!V15))*80/100,"0")</f>
        <v>0</v>
      </c>
      <c r="N56" s="37" t="str">
        <f>IF(OR(REA!F14="NUTRILON PREMA",REA!F15="NUTRILON PREMA"),((REA!T14*REA!V14)+(REA!T15*REA!V15))*8.4/100,"0")</f>
        <v>0</v>
      </c>
      <c r="O56" s="37" t="str">
        <f>IF(OR(REA!F14="NUTRILON PREMA",REA!F15="NUTRILON PREMA"),((REA!T14*REA!V14)+(REA!T15*REA!V15))*3.9/100,"0")</f>
        <v>0</v>
      </c>
      <c r="P56" s="37" t="str">
        <f>IF(OR(REA!F14="NUTRILON PREMA",REA!F15="NUTRILON PREMA"),((REA!T14*REA!V14)+(REA!T15*REA!V15))*3.04/100,"0")</f>
        <v>0</v>
      </c>
    </row>
    <row r="57" spans="1:16">
      <c r="A57" t="s">
        <v>682</v>
      </c>
      <c r="C57" s="37" t="str">
        <f>IF(REA!F14="NAN AR 1",(1.28*REA!T14*REA!V14/100),"0")</f>
        <v>0</v>
      </c>
      <c r="D57" s="37" t="str">
        <f>IF(REA!F14="NAN AR 1",(67*REA!T14*REA!V14/100),"0")</f>
        <v>0</v>
      </c>
      <c r="E57" s="37" t="str">
        <f>IF(REA!F14="NAN AR 1",(7.8*REA!T14*REA!V14/100),"0")</f>
        <v>0</v>
      </c>
      <c r="F57" s="37" t="str">
        <f>IF(REA!F14="NAN AR 1",(3.41*REA!T14*REA!V14/100),"0")</f>
        <v>0</v>
      </c>
      <c r="G57" s="37" t="str">
        <f>IF(REA!F14="NAN AR 1",(0.87*REA!T14*REA!V14/100),"0")</f>
        <v>0</v>
      </c>
      <c r="I57" s="1354" t="s">
        <v>674</v>
      </c>
      <c r="J57" s="1354"/>
      <c r="K57" s="1354"/>
      <c r="L57" s="37" t="str">
        <f>IF(OR(REA!F14="PRENAN Stage 1",REA!F15="PRENAN Stage 1"),((REA!T14*REA!V14)+(REA!T15*REA!V15))*2.88/100,"0")</f>
        <v>0</v>
      </c>
      <c r="M57" s="37" t="str">
        <f>IF(OR(REA!F14="PRENAN Stage 1",REA!F15="PRENAN Stage 1"),((REA!T14*REA!V14)+(REA!T15*REA!V15))*80/100,"0")</f>
        <v>0</v>
      </c>
      <c r="N57" s="37" t="str">
        <f>IF(OR(REA!F14="PRENAN Stage 1",REA!F15="PRENAN Stage 1"),((REA!T14*REA!V14)+(REA!T15*REA!V15))*8.41/100,"0")</f>
        <v>0</v>
      </c>
      <c r="O57" s="37" t="str">
        <f>IF(OR(REA!F14="PRENAN Stage 1",REA!F15="PRENAN Stage 1"),((REA!T14*REA!V14)+(REA!T15*REA!V15))*4/100,"0")</f>
        <v>0</v>
      </c>
      <c r="P57" s="37" t="str">
        <f>IF(OR(REA!F14="PRENAN Stage 1",REA!F15="PRENAN Stage 1"),((REA!T14*REA!V14)+(REA!T15*REA!V15))*2.22/100,"0")</f>
        <v>0</v>
      </c>
    </row>
    <row r="58" spans="1:16">
      <c r="A58" t="s">
        <v>683</v>
      </c>
      <c r="C58" s="37" t="str">
        <f>IF(REA!F14="GUIGOZ 1",(1.24*REA!T14*REA!V14/100),"0")</f>
        <v>0</v>
      </c>
      <c r="D58" s="37" t="str">
        <f>IF(REA!F14="GUIGOZ 1",(67*REA!T14*REA!V14/100),"0")</f>
        <v>0</v>
      </c>
      <c r="E58" s="37" t="str">
        <f>IF(REA!F14="GUIGOZ 1",(7.48*REA!T14*REA!V14/100),"0")</f>
        <v>0</v>
      </c>
      <c r="F58" s="37" t="str">
        <f>IF(REA!F14="GUIGOZ 1",(3.57*REA!T14*REA!V14/100),"0")</f>
        <v>0</v>
      </c>
      <c r="G58" s="37" t="str">
        <f>IF(REA!F14="GUIGOZ 1",(0.83*REA!T14*REA!V14/100),"0")</f>
        <v>0</v>
      </c>
      <c r="I58" s="1354" t="s">
        <v>675</v>
      </c>
      <c r="J58" s="1354"/>
      <c r="K58" s="1354"/>
      <c r="L58" s="37" t="str">
        <f>IF(OR(REA!F14="NUTRILON EX PREMA",REA!F15="NUTRILON EX PREMA"),((REA!T14*REA!V14)+(REA!T15*REA!V15))*2/100,"0")</f>
        <v>0</v>
      </c>
      <c r="M58" s="37" t="str">
        <f>IF(OR(REA!F14="NUTRILON EX PREMA",REA!F15="NUTRILON EX PREMA"),((REA!T14*REA!V14)+(REA!T15*REA!V15))*75/100,"0")</f>
        <v>0</v>
      </c>
      <c r="N58" s="37" t="str">
        <f>IF(OR(REA!F14="NUTRILON EX PREMA",REA!F15="NUTRILON EX PREMA"),((REA!T14*REA!V14)+(REA!T15*REA!V15))*7.5/100,"0")</f>
        <v>0</v>
      </c>
      <c r="O58" s="37" t="str">
        <f>IF(OR(REA!F14="NUTRILON EX PREMA",REA!F15="NUTRILON EX PREMA"),((REA!T14*REA!V14)+(REA!T15*REA!V15))*4/100,"0")</f>
        <v>0</v>
      </c>
      <c r="P58" s="37" t="str">
        <f>IF(OR(REA!F14="NUTRILON EX PREMA",REA!F15="NUTRILON EX PREMA"),((REA!T14*REA!V14)+(REA!T15*REA!V15))*1.22/100,"0")</f>
        <v>0</v>
      </c>
    </row>
    <row r="59" spans="1:16">
      <c r="A59" t="s">
        <v>684</v>
      </c>
      <c r="C59" s="37" t="str">
        <f>IF(REA!F14="BEBA 1",(1.24*REA!T14*REA!V14/100),"0")</f>
        <v>0</v>
      </c>
      <c r="D59" s="37" t="str">
        <f>IF(REA!F14="BEBA 1",(67*REA!T14*REA!V14/100),"0")</f>
        <v>0</v>
      </c>
      <c r="E59" s="37" t="str">
        <f>IF(REA!F14="BEBA 1",(7.99*REA!T14*REA!V14/100),"0")</f>
        <v>0</v>
      </c>
      <c r="F59" s="37" t="str">
        <f>IF(REA!F14="BEBA 1",(3.37*REA!T14*REA!V14/100),"0")</f>
        <v>0</v>
      </c>
      <c r="G59" s="37" t="str">
        <f>IF(REA!F14="BEBA 1",(0.87*REA!T14*REA!V14/100),"0")</f>
        <v>0</v>
      </c>
      <c r="I59" s="1354" t="s">
        <v>676</v>
      </c>
      <c r="J59" s="1354"/>
      <c r="K59" s="1354"/>
      <c r="L59" s="37" t="str">
        <f>IF(OR(REA!F14="PRENAN Stage 2",REA!F15="PRENAN Stage 2"),((REA!T14*REA!V14)+(REA!T15*REA!V15))*2.04/100,"0")</f>
        <v>0</v>
      </c>
      <c r="M59" s="37" t="str">
        <f>IF(OR(REA!F14="PRENAN Stage 2",REA!F15="PRENAN Stage 2"),((REA!T14*REA!V14)+(REA!T15*REA!V15))*73/100,"0")</f>
        <v>0</v>
      </c>
      <c r="N59" s="37" t="str">
        <f>IF(OR(REA!F14="PRENAN Stage 2",REA!F15="PRENAN Stage 2"),((REA!T14*REA!V14)+(REA!T15*REA!V15))*7.67/100,"0")</f>
        <v>0</v>
      </c>
      <c r="O59" s="37" t="str">
        <f>IF(OR(REA!F14="PRENAN Stage 2",REA!F15="PRENAN Stage 2"),((REA!T14*REA!V14)+(REA!T15*REA!V15))*3.8/100,"0")</f>
        <v>0</v>
      </c>
      <c r="P59" s="37" t="str">
        <f>IF(OR(REA!F14="PRENAN Stage 2",REA!F15="PRENAN Stage 2"),((REA!T14*REA!V14)+(REA!T15*REA!V15))*1.48/100,"0")</f>
        <v>0</v>
      </c>
    </row>
    <row r="60" spans="1:16">
      <c r="A60" t="s">
        <v>677</v>
      </c>
      <c r="C60" s="37" t="str">
        <f>IF(REA!F14="NUTRILON 1",(1.3*REA!T14*REA!V14/100),"0")</f>
        <v>0</v>
      </c>
      <c r="D60" s="37" t="str">
        <f>IF(REA!F14="NUTRILON 1",(66*REA!T14*REA!V14/100),"0")</f>
        <v>0</v>
      </c>
      <c r="E60" s="37" t="str">
        <f>IF(REA!F14="NUTRILON 1",(7.3*REA!T14*REA!V14/100),"0")</f>
        <v>0</v>
      </c>
      <c r="F60" s="37" t="str">
        <f>IF(REA!F14="NUTRILON 1",(3.4*REA!T14*REA!V14/100),"0")</f>
        <v>0</v>
      </c>
      <c r="G60" s="37" t="str">
        <f>IF(REA!F14="NUTRILON 1",(1*REA!T14*REA!V14/100),"0")</f>
        <v>0</v>
      </c>
      <c r="I60" s="1354" t="s">
        <v>678</v>
      </c>
      <c r="J60" s="1354"/>
      <c r="K60" s="1354"/>
      <c r="L60" s="37" t="str">
        <f>IF(OR(REA!F14="NAN PRO 1",REA!F15="NAN PRO 1"),((REA!T14*REA!V14)+(REA!T15*REA!V15))*1.24/100,"0")</f>
        <v>0</v>
      </c>
      <c r="M60" s="37" t="str">
        <f>IF(OR(REA!F14="NAN PRO 1",REA!F15="NAN PRO 1"),((REA!T14*REA!V14)+(REA!T15*REA!V15))*67/100,"0")</f>
        <v>0</v>
      </c>
      <c r="N60" s="37" t="str">
        <f>IF(OR(REA!F14="NAN PRO 1",REA!F15="NAN PRO 1"),((REA!T14*REA!V14)+(REA!T15*REA!V15))*7.46/100,"0")</f>
        <v>0</v>
      </c>
      <c r="O60" s="37" t="str">
        <f>IF(OR(REA!F14="NAN PRO 1",REA!F15="NAN PRO 1"),((REA!T14*REA!V14)+(REA!T15*REA!V15))*3.57/100,"0")</f>
        <v>0</v>
      </c>
      <c r="P60" s="37" t="str">
        <f>IF(OR(REA!F14="NAN PRO 1",REA!F15="NAN PRO 1"),((REA!T14*REA!V14)+(REA!T15*REA!V15))*0.74/100,"0")</f>
        <v>0</v>
      </c>
    </row>
    <row r="61" spans="1:16">
      <c r="A61" t="s">
        <v>685</v>
      </c>
      <c r="C61" s="37" t="str">
        <f>IF(REA!F14="NUTRILON HA 1",(1.5*REA!T14*REA!V14/100),"0")</f>
        <v>0</v>
      </c>
      <c r="D61" s="37" t="str">
        <f>IF(REA!F14="NUTRILON HA 1",(66*REA!T14*REA!V14/100),"0")</f>
        <v>0</v>
      </c>
      <c r="E61" s="37" t="str">
        <f>IF(REA!F14="NUTRILON HA 1",(7.2*REA!T14*REA!V14/100),"0")</f>
        <v>0</v>
      </c>
      <c r="F61" s="37" t="str">
        <f>IF(REA!F14="NUTRILON HA 1",(3.4*REA!T14*REA!V14/100),"0")</f>
        <v>0</v>
      </c>
      <c r="G61" s="37" t="str">
        <f>IF(REA!F14="NUTRILON HA 1",(1.09*REA!T14*REA!V14/100),"0")</f>
        <v>0</v>
      </c>
      <c r="I61" s="1354" t="s">
        <v>681</v>
      </c>
      <c r="J61" s="1354"/>
      <c r="K61" s="1354"/>
      <c r="L61" s="37" t="str">
        <f>IF(OR(REA!F14="NAN HA 1",REA!F15="NAN HA 1"),((REA!T14*REA!V14)+(REA!T15*REA!V15))*1.28/100,"0")</f>
        <v>0</v>
      </c>
      <c r="M61" s="37" t="str">
        <f>IF(OR(REA!F14="NAN HA 1",REA!F15="NAN HA 1"),((REA!T14*REA!V14)+(REA!T15*REA!V15))*67/100,"0")</f>
        <v>0</v>
      </c>
      <c r="N61" s="37" t="str">
        <f>IF(OR(REA!F14="NAN HA 1",REA!F15="NAN HA 1"),((REA!T14*REA!V14)+(REA!T15*REA!V15))*7.85/100,"0")</f>
        <v>0</v>
      </c>
      <c r="O61" s="37" t="str">
        <f>IF(OR(REA!F14="NAN HA 1",REA!F15="NAN HA 1"),((REA!T14*REA!V14)+(REA!T15*REA!V15))*3.41/100,"0")</f>
        <v>0</v>
      </c>
      <c r="P61" s="37" t="str">
        <f>IF(OR(REA!F14="NAN HA 1",REA!F15="NAN HA 1"),((REA!T14*REA!V14)+(REA!T15*REA!V15))*0.74/100,"0")</f>
        <v>0</v>
      </c>
    </row>
    <row r="62" spans="1:16">
      <c r="A62" t="s">
        <v>686</v>
      </c>
      <c r="C62" s="37" t="str">
        <f>IF(REA!F14="NUTRILON AR 1",(1.6*REA!T14*REA!V14/100),"0")</f>
        <v>0</v>
      </c>
      <c r="D62" s="37" t="str">
        <f>IF(REA!F14="NUTRILON AR 1",(66*REA!T14*REA!V14/100),"0")</f>
        <v>0</v>
      </c>
      <c r="E62" s="37" t="str">
        <f>IF(REA!F14="NUTRILON AR 1",(6.8*REA!T14*REA!V14/100),"0")</f>
        <v>0</v>
      </c>
      <c r="F62" s="37" t="str">
        <f>IF(REA!F14="NUTRILON AR 1",(3.5*REA!T14*REA!V14/100),"0")</f>
        <v>0</v>
      </c>
      <c r="G62" s="37" t="str">
        <f>IF(REA!F14="NUTRILON AR 1",(1.04*REA!T14*REA!V14/100),"0")</f>
        <v>0</v>
      </c>
      <c r="I62" s="1354" t="s">
        <v>682</v>
      </c>
      <c r="J62" s="1354"/>
      <c r="K62" s="1354"/>
      <c r="L62" s="37" t="str">
        <f>IF(OR(REA!F14="NAN AR 1",REA!F15="NAN AR 1"),((REA!T14*REA!V14)+(REA!T15*REA!V15))*1.28/100,"0")</f>
        <v>0</v>
      </c>
      <c r="M62" s="37" t="str">
        <f>IF(OR(REA!F14="NAN AR 1",REA!F15="NAN AR 1"),((REA!T14*REA!V14)+(REA!T15*REA!V15))*67/100,"0")</f>
        <v>0</v>
      </c>
      <c r="N62" s="37" t="str">
        <f>IF(OR(REA!F14="NAN AR 1",REA!F15="NAN AR 1"),((REA!T14*REA!V14)+(REA!T15*REA!V15))*7.8/100,"0")</f>
        <v>0</v>
      </c>
      <c r="O62" s="37" t="str">
        <f>IF(OR(REA!F14="NAN AR 1",REA!F15="NAN AR 1"),((REA!T14*REA!V14)+(REA!T15*REA!V15))*3.41/100,"0")</f>
        <v>0</v>
      </c>
      <c r="P62" s="37" t="str">
        <f>IF(OR(REA!F14="NAN AR 1",REA!F15="NAN AR 1"),((REA!T14*REA!V14)+(REA!T15*REA!V15))*0.87/100,"0")</f>
        <v>0</v>
      </c>
    </row>
    <row r="63" spans="1:16">
      <c r="A63" t="s">
        <v>707</v>
      </c>
      <c r="C63" s="37" t="str">
        <f>IF(REA!F14="ENFAMIL AR 1",(1.72*REA!T14*REA!V14/100),"0")</f>
        <v>0</v>
      </c>
      <c r="D63" s="37" t="str">
        <f>IF(REA!F14="ENFAMIL AR 1",(69*REA!T14*REA!V14/100),"0")</f>
        <v>0</v>
      </c>
      <c r="E63" s="37" t="str">
        <f>IF(REA!F14="ENFAMIL AR 1",(7.6*REA!T14*REA!V14/100),"0")</f>
        <v>0</v>
      </c>
      <c r="F63" s="37" t="str">
        <f>IF(REA!F14="ENFAMIL AR 1",(3.5*REA!T14*REA!V14/100),"0")</f>
        <v>0</v>
      </c>
      <c r="G63" s="37" t="str">
        <f>IF(REA!F14="ENFAMIL AR 1",(1.09*REA!T14*REA!V14/100),"0")</f>
        <v>0</v>
      </c>
      <c r="I63" s="1354" t="s">
        <v>683</v>
      </c>
      <c r="J63" s="1354"/>
      <c r="K63" s="1354"/>
      <c r="L63" s="37" t="str">
        <f>IF(OR(REA!F14="GUIGOZ 1",REA!F15="GUIGOZ 1"),((REA!T14*REA!V14)+(REA!T15*REA!V15))*1.24/100,"0")</f>
        <v>0</v>
      </c>
      <c r="M63" s="37" t="str">
        <f>IF(OR(REA!F14="GUIGOZ 1",REA!F15="GUIGOZ 1"),((REA!T14*REA!V14)+(REA!T15*REA!V15))*67/100,"0")</f>
        <v>0</v>
      </c>
      <c r="N63" s="37" t="str">
        <f>IF(OR(REA!F14="GUIGOZ 1",REA!F15="GUIGOZ 1"),((REA!T14*REA!V14)+(REA!T15*REA!V15))*7.48/100,"0")</f>
        <v>0</v>
      </c>
      <c r="O63" s="37" t="str">
        <f>IF(OR(REA!F14="GUIGOZ 1",REA!F15="GUIGOZ 1"),((REA!T14*REA!V14)+(REA!T15*REA!V15))*3.57/100,"0")</f>
        <v>0</v>
      </c>
      <c r="P63" s="37" t="str">
        <f>IF(OR(REA!F14="GUIGOZ 1",REA!F15="GUIGOZ 1"),((REA!T14*REA!V14)+(REA!T15*REA!V15))*0.83/100,"0")</f>
        <v>0</v>
      </c>
    </row>
    <row r="64" spans="1:16">
      <c r="A64" t="s">
        <v>687</v>
      </c>
      <c r="C64" s="37" t="str">
        <f>IF(REA!F14="NUTRAMIGEN",(1.91*REA!T14*REA!V14/100),"0")</f>
        <v>0</v>
      </c>
      <c r="D64" s="37" t="str">
        <f>IF(REA!F14="NUTRAMIGEN",(68*REA!T14*REA!V14/100),"0")</f>
        <v>0</v>
      </c>
      <c r="E64" s="37" t="str">
        <f>IF(REA!F14="NUTRAMIGEN",(7.5*REA!T14*REA!V14/100),"0")</f>
        <v>0</v>
      </c>
      <c r="F64" s="37" t="str">
        <f>IF(REA!F14="NUTRAMIGEN",(3.4*REA!T14*REA!V14/100),"0")</f>
        <v>0</v>
      </c>
      <c r="G64" s="37" t="str">
        <f>IF(REA!F14="NUTRAMIGEN",(1.39*REA!T14*REA!V14/100),"0")</f>
        <v>0</v>
      </c>
      <c r="I64" s="1354" t="s">
        <v>684</v>
      </c>
      <c r="J64" s="1354"/>
      <c r="K64" s="1354"/>
      <c r="L64" s="37" t="str">
        <f>IF(OR(REA!F14="BEBA 1",REA!F15="BEBA 1"),((REA!T14*REA!V14)+(REA!T15*REA!V15))*1.24/100,"0")</f>
        <v>0</v>
      </c>
      <c r="M64" s="37" t="str">
        <f>IF(OR(REA!F14="BEBA 1",REA!F15="BEBA 1"),((REA!T14*REA!V14)+(REA!T15*REA!V15))*67/100,"0")</f>
        <v>0</v>
      </c>
      <c r="N64" s="37" t="str">
        <f>IF(OR(REA!F14="BEBA 1",REA!F15="BEBA 1"),((REA!T14*REA!V14)+(REA!T15*REA!V15))*7.99/100,"0")</f>
        <v>0</v>
      </c>
      <c r="O64" s="37" t="str">
        <f>IF(OR(REA!F14="BEBA 1",REA!F15="BEBA 1"),((REA!T14*REA!V14)+(REA!T15*REA!V15))*3.37/100,"0")</f>
        <v>0</v>
      </c>
      <c r="P64" s="37" t="str">
        <f>IF(OR(REA!F14="BEBA 1",REA!F15="BEBA 1"),((REA!T14*REA!V14)+(REA!T15*REA!V15))*0.87/100,"0")</f>
        <v>0</v>
      </c>
    </row>
    <row r="65" spans="1:16">
      <c r="A65" t="s">
        <v>688</v>
      </c>
      <c r="C65" s="37" t="str">
        <f>IF(REA!F14="NEOCATE",(1.8*REA!T14*REA!V14/100),"0")</f>
        <v>0</v>
      </c>
      <c r="D65" s="37" t="str">
        <f>IF(REA!F14="NEOCATE",(67*REA!T14*REA!V14/100),"0")</f>
        <v>0</v>
      </c>
      <c r="E65" s="37" t="str">
        <f>IF(REA!F14="NEOCATE",(7.2*REA!T14*REA!V14/100),"0")</f>
        <v>0</v>
      </c>
      <c r="F65" s="37" t="str">
        <f>IF(REA!F14="NEOCATE",(3.4*REA!T14*REA!V14/100),"0")</f>
        <v>0</v>
      </c>
      <c r="G65" s="37" t="str">
        <f>IF(REA!F14="NEOCATE",(1.35*REA!T14*REA!V14/100),"0")</f>
        <v>0</v>
      </c>
      <c r="I65" s="1354" t="s">
        <v>677</v>
      </c>
      <c r="J65" s="1354"/>
      <c r="K65" s="1354"/>
      <c r="L65" s="37" t="str">
        <f>IF(OR(REA!F14="NUTRILON 1",REA!F15="NUTRILON 1"),((REA!T14*REA!V14)+(REA!T15*REA!V15))*1.3/100,"0")</f>
        <v>0</v>
      </c>
      <c r="M65" s="37" t="str">
        <f>IF(OR(REA!F14="NUTRILON 1",REA!F15="NUTRILON 1"),((REA!T14*REA!V14)+(REA!T15*REA!V15))*66/100,"0")</f>
        <v>0</v>
      </c>
      <c r="N65" s="37" t="str">
        <f>IF(OR(REA!F14="NUTRILON 1",REA!F15="NUTRILON 1"),((REA!T14*REA!V14)+(REA!T15*REA!V15))*7.3/100,"0")</f>
        <v>0</v>
      </c>
      <c r="O65" s="37" t="str">
        <f>IF(OR(REA!F14="NUTRILON 1",REA!F15="NUTRILON 1"),((REA!T14*REA!V14)+(REA!T15*REA!V15))*3.4/100,"0")</f>
        <v>0</v>
      </c>
      <c r="P65" s="37" t="str">
        <f>IF(OR(REA!F14="NUTRILON 1",REA!F15="NUTRILON 1"),((REA!T14*REA!V14)+(REA!T15*REA!V15))*1/100,"0")</f>
        <v>0</v>
      </c>
    </row>
    <row r="66" spans="1:16">
      <c r="A66" t="s">
        <v>690</v>
      </c>
      <c r="C66" s="37" t="str">
        <f>IF(REA!F14="CYSTILAC",(2.9*REA!T14*REA!V14/100),"0")</f>
        <v>0</v>
      </c>
      <c r="D66" s="37" t="str">
        <f>IF(REA!F14="CYSTILAC",(83*REA!T14*REA!V14/100),"0")</f>
        <v>0</v>
      </c>
      <c r="E66" s="37" t="str">
        <f>IF(REA!F14="CYSTILAC",(12.1*REA!T14*REA!V14/100),"0")</f>
        <v>0</v>
      </c>
      <c r="F66" s="37" t="str">
        <f>IF(REA!F14="CYSTILAC",(4.93*REA!T14*REA!V14/100),"0")</f>
        <v>0</v>
      </c>
      <c r="G66" s="37" t="str">
        <f>IF(REA!F14="CYSTILAC",(3.48*REA!T14*REA!V14/100),"0")</f>
        <v>0</v>
      </c>
      <c r="I66" s="1354" t="s">
        <v>685</v>
      </c>
      <c r="J66" s="1354"/>
      <c r="K66" s="1354"/>
      <c r="L66" s="37" t="str">
        <f>IF(OR(REA!F14="NUTRILON HA 1",REA!F15="NUTRILON HA 1"),((REA!T14*REA!V14)+(REA!T15*REA!V15))*1.5/100,"0")</f>
        <v>0</v>
      </c>
      <c r="M66" s="37" t="str">
        <f>IF(OR(REA!F14="NUTRILON HA 1",REA!F15="NUTRILON HA 1"),((REA!T14*REA!V14)+(REA!T15*REA!V15))*66/100,"0")</f>
        <v>0</v>
      </c>
      <c r="N66" s="37" t="str">
        <f>IF(OR(REA!F14="NUTRILON HA 1",REA!F15="NUTRILON HA 1"),((REA!T14*REA!V14)+(REA!T15*REA!V15))*7.2/100,"0")</f>
        <v>0</v>
      </c>
      <c r="O66" s="37" t="str">
        <f>IF(OR(REA!F14="NUTRILON HA 1",REA!F15="NUTRILON HA 1"),((REA!T14*REA!V14)+(REA!T15*REA!V15))*3.4/100,"0")</f>
        <v>0</v>
      </c>
      <c r="P66" s="37" t="str">
        <f>IF(OR(REA!F14="NUTRILON HA 1",REA!F15="NUTRILON HA 1"),((REA!T14*REA!V14)+(REA!T15*REA!V15))*1.09/100,"0")</f>
        <v>0</v>
      </c>
    </row>
    <row r="67" spans="1:16">
      <c r="C67" s="37"/>
      <c r="D67" s="37"/>
      <c r="I67" s="1354" t="s">
        <v>686</v>
      </c>
      <c r="J67" s="1354"/>
      <c r="K67" s="1354"/>
      <c r="L67" s="37" t="str">
        <f>IF(OR(REA!F14="NUTRILON AR 1",REA!F15="NUTRILON AR 1"),((REA!T14*REA!V14)+(REA!T15*REA!V15))*1.6/100,"0")</f>
        <v>0</v>
      </c>
      <c r="M67" s="37" t="str">
        <f>IF(OR(REA!F14="NUTRILON AR 1",REA!F15="NUTRILON AR 1"),((REA!T14*REA!V14)+(REA!T15*REA!V15))*66/100,"0")</f>
        <v>0</v>
      </c>
      <c r="N67" s="37" t="str">
        <f>IF(OR(REA!F14="NUTRILON AR 1",REA!F15="NUTRILON AR 1"),((REA!T14*REA!V14)+(REA!T15*REA!V15))*6.8/100,"0")</f>
        <v>0</v>
      </c>
      <c r="O67" s="37" t="str">
        <f>IF(OR(REA!F14="NUTRILON AR 1",REA!F15="NUTRILON AR 1"),((REA!T14*REA!V14)+(REA!T15*REA!V15))*3.5/100,"0")</f>
        <v>0</v>
      </c>
      <c r="P67" s="37" t="str">
        <f>IF(OR(REA!F14="NUTRILON AR 1",REA!F15="NUTRILON AR 1"),((REA!T14*REA!V14)+(REA!T15*REA!V15))*1.04/100,"0")</f>
        <v>0</v>
      </c>
    </row>
    <row r="68" spans="1:16">
      <c r="A68" s="400" t="s">
        <v>719</v>
      </c>
      <c r="I68" s="1354" t="s">
        <v>707</v>
      </c>
      <c r="J68" s="1354"/>
      <c r="K68" s="1354"/>
      <c r="L68" s="37" t="str">
        <f>IF(OR(REA!F14="ENFAMIL AR 1",REA!F15="ENFAMIL AR 1"),((REA!T14*REA!V14)+(REA!T15*REA!V15))*1.72/100,"0")</f>
        <v>0</v>
      </c>
      <c r="M68" s="37" t="str">
        <f>IF(OR(REA!F14="ENFAMIL AR 1",REA!F15="ENFAMIL AR 1"),((REA!T14*REA!V14)+(REA!T15*REA!V15))*69/100,"0")</f>
        <v>0</v>
      </c>
      <c r="N68" s="37" t="str">
        <f>IF(OR(REA!F14="ENFAMIL AR 1",REA!F15="ENFAMIL AR 1"),((REA!T14*REA!V14)+(REA!T15*REA!V15))*7.6/100,"0")</f>
        <v>0</v>
      </c>
      <c r="O68" s="37" t="str">
        <f>IF(OR(REA!F14="ENFAMIL AR 1",REA!F15="ENFAMIL AR 1"),((REA!T14*REA!V14)+(REA!T15*REA!V15))*3.5/100,"0")</f>
        <v>0</v>
      </c>
      <c r="P68" s="37" t="str">
        <f>IF(OR(REA!F14="ENFAMIL AR 1",REA!F15="ENFAMIL AR 1"),((REA!T14*REA!V14)+(REA!T15*REA!V15))*1.09/100,"0")</f>
        <v>0</v>
      </c>
    </row>
    <row r="69" spans="1:16">
      <c r="A69" t="s">
        <v>668</v>
      </c>
      <c r="C69" s="37" t="str">
        <f>IF(OR(REA!F15="LAIT de MERE",REA!F15="LAIT de LACTARIUM"),(1.5*REA!T15*REA!V15/100),"0")</f>
        <v>0</v>
      </c>
      <c r="D69" s="37" t="str">
        <f>IF(OR(REA!F15="LAIT de MERE",REA!F15="LAIT de LACTARIUM"),(66*REA!T15*REA!V15/100),"0")</f>
        <v>0</v>
      </c>
      <c r="E69" s="37" t="str">
        <f>IF(OR(REA!F15="LAIT de MERE",REA!F15="LAIT de LACTARIUM"),(6.8*REA!T15*REA!V15/100),"0")</f>
        <v>0</v>
      </c>
      <c r="F69" s="37" t="str">
        <f>IF(OR(REA!F15="LAIT de MERE",REA!F15="LAIT de LACTARIUM"),(3.6*REA!T15*REA!V15/100),"0")</f>
        <v>0</v>
      </c>
      <c r="G69" s="461" t="str">
        <f>IF(OR(REA!F15="LAIT de MERE",REA!F15="LAIT de LACTARIUM"),(0.97*REA!T15*REA!V15/100),"0")</f>
        <v>0</v>
      </c>
      <c r="I69" s="1354" t="s">
        <v>687</v>
      </c>
      <c r="J69" s="1354"/>
      <c r="K69" s="1354"/>
      <c r="L69" s="37" t="str">
        <f>IF(OR(REA!F14="NUTRAMIGEN",REA!F15="NUTRAMIGEN"),((REA!T14*REA!V14)+(REA!T15*REA!V15))*1.91/100,"0")</f>
        <v>0</v>
      </c>
      <c r="M69" s="37" t="str">
        <f>IF(OR(REA!F14="NUTRAMIGEN",REA!F15="NUTRAMIGEN"),((REA!T14*REA!V14)+(REA!T15*REA!V15))*68/100,"0")</f>
        <v>0</v>
      </c>
      <c r="N69" s="37" t="str">
        <f>IF(OR(REA!F14="NUTRAMIGEN",REA!F15="NUTRAMIGEN"),((REA!T14*REA!V14)+(REA!T15*REA!V15))*7.5/100,"0")</f>
        <v>0</v>
      </c>
      <c r="O69" s="37" t="str">
        <f>IF(OR(REA!F14="NUTRAMIGEN",REA!F15="NUTRAMIGEN"),((REA!T14*REA!V14)+(REA!T15*REA!V15))*3.4/1000,"0")</f>
        <v>0</v>
      </c>
      <c r="P69" s="37" t="str">
        <f>IF(OR(REA!F14="NUTRAMIGEN",REA!F15="NUTRAMIGEN"),((REA!T14*REA!V14)+(REA!T15*REA!V15))*1.39/100,"0")</f>
        <v>0</v>
      </c>
    </row>
    <row r="70" spans="1:16">
      <c r="A70" t="s">
        <v>669</v>
      </c>
      <c r="C70" s="37" t="str">
        <f>IF(OR(REA!F15="LAIT de MERE + HMF 1%",REA!F15="LAIT de LACTARIUM + HMF 1%"),(1.8*REA!T15*REA!V15/100),"0")</f>
        <v>0</v>
      </c>
      <c r="D70" s="37" t="str">
        <f>IF(OR(REA!F15="LAIT de MERE + HMF 1%",REA!F15="LAIT de LACTARIUM + HMF 1%"),(71*REA!T15*REA!V15/100),"0")</f>
        <v>0</v>
      </c>
      <c r="E70" s="37" t="str">
        <f>IF(OR(REA!F15="LAIT de MERE + HMF 1%",REA!F15="LAIT de LACTARIUM + HMF 1%"),(6.9*REA!T15*REA!V15/100),"0")</f>
        <v>0</v>
      </c>
      <c r="F70" s="37" t="str">
        <f>IF(OR(REA!F15="LAIT de MERE + HMF 1%",REA!F15="LAIT de LACTARIUM + HMF 1%"),(3.9*REA!T15*REA!V15/100),"0")</f>
        <v>0</v>
      </c>
      <c r="G70" s="461" t="str">
        <f>IF(OR(REA!F15="LAIT de MERE + HMF 1%",REA!F15="LAIT de LACTARIUM + HMF 1%"),(1.04*REA!T15*REA!V15/100),"0")</f>
        <v>0</v>
      </c>
      <c r="I70" s="1354" t="s">
        <v>688</v>
      </c>
      <c r="J70" s="1354"/>
      <c r="K70" s="1354"/>
      <c r="L70" s="37" t="str">
        <f>IF(OR(REA!F14="NEOCATE",REA!F15="NEOCATE"),((REA!T14*REA!V14)+(REA!T15*REA!V15))*1.8/100,"0")</f>
        <v>0</v>
      </c>
      <c r="M70" s="37" t="str">
        <f>IF(OR(REA!F14="NEOCATE",REA!F15="NEOCATE"),((REA!T14*REA!V14)+(REA!T15*REA!V15))*67/100,"0")</f>
        <v>0</v>
      </c>
      <c r="N70" s="37" t="str">
        <f>IF(OR(REA!F14="NEOCATE",REA!F15="NEOCATE"),((REA!T14*REA!V14)+(REA!T15*REA!V15))*7.2/100,"0")</f>
        <v>0</v>
      </c>
      <c r="O70" s="37" t="str">
        <f>IF(OR(REA!F14="NEOCATE",REA!F15="NEOCATE"),((REA!T14*REA!V14)+(REA!T15*REA!V15))*3.4/100,"0")</f>
        <v>0</v>
      </c>
      <c r="P70" s="37" t="str">
        <f>IF(OR(REA!F14="NEOCATE",REA!F15="NEOCATE"),((REA!T14*REA!V14)+(REA!T15*REA!V15))*1.35/100,"0")</f>
        <v>0</v>
      </c>
    </row>
    <row r="71" spans="1:16">
      <c r="A71" t="s">
        <v>670</v>
      </c>
      <c r="C71" s="37" t="str">
        <f>IF(OR(REA!F15="LAIT de MERE + HMF 2%",REA!F15="LAIT de LACTARIUM + HMF 2%"),(2.1*REA!T15*REA!V15/100),"0")</f>
        <v>0</v>
      </c>
      <c r="D71" s="37" t="str">
        <f>IF(OR(REA!F15="LAIT de MERE + HMF 2%",REA!F15="LAIT de LACTARIUM + HMF 2%"),(74*REA!T15*REA!V15/100),"0")</f>
        <v>0</v>
      </c>
      <c r="E71" s="37" t="str">
        <f>IF(OR(REA!F15="LAIT de MERE + HMF 2%",REA!F15="LAIT de LACTARIUM + HMF 2%"),(7*REA!T15*REA!V15/100),"0")</f>
        <v>0</v>
      </c>
      <c r="F71" s="37" t="str">
        <f>IF(OR(REA!F15="LAIT de MERE + HMF 2%",REA!F15="LAIT de LACTARIUM + HMF 2%"),(4.1*REA!T15*REA!V15/100),"0")</f>
        <v>0</v>
      </c>
      <c r="G71" s="461" t="str">
        <f>IF(OR(REA!F15="LAIT de MERE + HMF 2%",REA!F15="LAIT de LACTARIUM + HMF 2%"),(1.22*REA!T15*REA!V15/100),"0")</f>
        <v>0</v>
      </c>
      <c r="I71" s="1354" t="s">
        <v>690</v>
      </c>
      <c r="J71" s="1354"/>
      <c r="K71" s="1354"/>
      <c r="L71" s="37" t="str">
        <f>IF(OR(REA!F14="CYSTILAC",REA!F15="CYSTILAC"),((REA!T14*REA!V14)+(REA!T15*REA!V15))*2.9/100,"0")</f>
        <v>0</v>
      </c>
      <c r="M71" s="37" t="str">
        <f>IF(OR(REA!F14="CYSTILAC",REA!F15="CYSTILAC"),((REA!T14*REA!V14)+(REA!T15*REA!V15))*83/100,"0")</f>
        <v>0</v>
      </c>
      <c r="N71" s="37" t="str">
        <f>IF(OR(REA!F14="CYSTILAC",REA!F15="CYSTILAC"),((REA!T14*REA!V14)+(REA!T15*REA!V15))*12.1/100,"0")</f>
        <v>0</v>
      </c>
      <c r="O71" s="37" t="str">
        <f>IF(OR(REA!F14="CYSTILAC",REA!F15="CYSTILAC"),((REA!T14*REA!V14)+(REA!T15*REA!V15))*4.93/100,"0")</f>
        <v>0</v>
      </c>
      <c r="P71" s="37" t="str">
        <f>IF(OR(REA!F14="CYSTILAC",REA!F15="CYSTILAC"),((REA!T14*REA!V14)+(REA!T15*REA!V15))*3.48/100,"0")</f>
        <v>0</v>
      </c>
    </row>
    <row r="72" spans="1:16">
      <c r="A72" t="s">
        <v>671</v>
      </c>
      <c r="C72" s="37" t="str">
        <f>IF(OR(REA!F15="LAIT de MERE + HMF 3%",REA!F15="LAIT de LACTARIUM + HMF 3%"),(2.3*REA!T15*REA!V15/100),"0")</f>
        <v>0</v>
      </c>
      <c r="D72" s="37" t="str">
        <f>IF(OR(REA!F15="LAIT de MERE + HMF 3%",REA!F15="LAIT de LACTARIUM + HMF 3%"),(78*REA!T15*REA!V15/100),"0")</f>
        <v>0</v>
      </c>
      <c r="E72" s="37" t="str">
        <f>IF(OR(REA!F15="LAIT de MERE + HMF 3%",REA!F15="LAIT de LACTARIUM + HMF 3%"),(7.1*REA!T15*REA!V15/100),"0")</f>
        <v>0</v>
      </c>
      <c r="F72" s="37" t="str">
        <f>IF(OR(REA!F15="LAIT de MERE + HMF 3%",REA!F15="LAIT de LACTARIUM + HMF 3%"),(4.4*REA!T15*REA!V15/100),"0")</f>
        <v>0</v>
      </c>
      <c r="G72" s="461" t="str">
        <f>IF(OR(REA!F15="LAIT de MERE + HMF 3%",REA!F15="LAIT de LACTARIUM + HMF 3%"),(1.39*REA!T15*REA!V15/100),"0")</f>
        <v>0</v>
      </c>
    </row>
    <row r="73" spans="1:16">
      <c r="A73" t="s">
        <v>672</v>
      </c>
      <c r="C73" s="37" t="str">
        <f>IF(OR(REA!F15="LAIT de MERE + HMF 4%",REA!F15="LAIT de LACTARIUM + HMF 4%"),(2.6*REA!T15*REA!V15/100),"0")</f>
        <v>0</v>
      </c>
      <c r="D73" s="37" t="str">
        <f>IF(OR(REA!F15="LAIT de MERE + HMF 4%",REA!F15="LAIT de LACTARIUM + HMF 4%"),(80*REA!T15*REA!V15/100),"0")</f>
        <v>0</v>
      </c>
      <c r="E73" s="37" t="str">
        <f>IF(OR(REA!F15="LAIT de MERE + HMF 4%",REA!F15="LAIT de LACTARIUM + HMF 4%",REA!F15="LAIT de MERE CARTE"),(7.2*REA!T15*REA!V15/100),"0")</f>
        <v>0</v>
      </c>
      <c r="F73" s="37" t="str">
        <f>IF(OR(REA!F15="LAIT de MERE + HMF 4%",REA!F15="LAIT de LACTARIUM + HMF 4%"),(4.6*REA!T15*REA!V15/100),"0")</f>
        <v>0</v>
      </c>
      <c r="G73" s="461" t="str">
        <f>IF(OR(REA!F15="LAIT de MERE + HMF 4%",REA!F15="LAIT de LACTARIUM + HMF 4%"),(1.57*REA!T15*REA!V15/100),"0")</f>
        <v>0</v>
      </c>
      <c r="I73" s="462" t="s">
        <v>739</v>
      </c>
      <c r="J73" s="462"/>
      <c r="K73" s="462"/>
      <c r="L73" s="59">
        <f>SUM(L46:L71)</f>
        <v>0</v>
      </c>
      <c r="M73" s="59">
        <f>SUM(M46:M71)</f>
        <v>0</v>
      </c>
      <c r="N73" s="59">
        <f>SUM(N46:N71)</f>
        <v>0</v>
      </c>
      <c r="O73" s="59">
        <f>SUM(O46:O71)</f>
        <v>0</v>
      </c>
      <c r="P73" s="59">
        <f>SUM(P46:P71)</f>
        <v>0</v>
      </c>
    </row>
    <row r="74" spans="1:16">
      <c r="A74" t="s">
        <v>673</v>
      </c>
      <c r="C74" s="37" t="str">
        <f>IF(REA!F15="NUTRILON PREMA",(2.6*REA!T15*REA!V15/100),"0")</f>
        <v>0</v>
      </c>
      <c r="D74" s="37" t="str">
        <f>IF(REA!F15="NUTRILON PREMA",(80*REA!T15*REA!V15/100),"0")</f>
        <v>0</v>
      </c>
      <c r="E74" s="37" t="str">
        <f>IF(REA!F15="NUTRILON PREMA",(8.4*REA!T15*REA!V15/100),"0")</f>
        <v>0</v>
      </c>
      <c r="F74" s="37" t="str">
        <f>IF(REA!F15="NUTRILON PREMA",(3.9*REA!T15*REA!V15/100),"0")</f>
        <v>0</v>
      </c>
      <c r="G74" s="37" t="str">
        <f>IF(REA!F15="NUTRILON PREMA",(3.04*REA!T15*REA!V15/100),"0")</f>
        <v>0</v>
      </c>
    </row>
    <row r="75" spans="1:16">
      <c r="A75" t="s">
        <v>674</v>
      </c>
      <c r="C75" s="37" t="str">
        <f>IF(REA!F15="PRENAN Stage 1",(2.88*REA!T15*REA!V15/100),"0")</f>
        <v>0</v>
      </c>
      <c r="D75" s="37" t="str">
        <f>IF(REA!F15="PRENAN Stage 1",(80*REA!T15*REA!V15/100),"0")</f>
        <v>0</v>
      </c>
      <c r="E75" s="37" t="str">
        <f>IF(REA!F15="PRENAN Stage 1",(8.41*REA!T15*REA!V15/100),"0")</f>
        <v>0</v>
      </c>
      <c r="F75" s="37" t="str">
        <f>IF(REA!F15="PRENAN Stage 1",(4*REA!T15*REA!V15/100),"0")</f>
        <v>0</v>
      </c>
      <c r="G75" s="37" t="str">
        <f>IF(REA!F15="PRENAN Stage 1",(2.22*REA!T15*REA!V15/100),"0")</f>
        <v>0</v>
      </c>
    </row>
    <row r="76" spans="1:16">
      <c r="A76" t="s">
        <v>675</v>
      </c>
      <c r="C76" s="37" t="str">
        <f>IF(REA!F15="NUTRILON EX PREMA",(2*REA!T15*REA!V15/100),"0")</f>
        <v>0</v>
      </c>
      <c r="D76" s="37" t="str">
        <f>IF(REA!F15="NUTRILON EX PREMA",(75*REA!T15*REA!V15/100),"0")</f>
        <v>0</v>
      </c>
      <c r="E76" s="37" t="str">
        <f>IF(REA!F15="NUTRILON EX PREMA",(7.5*REA!T15*REA!V15/100),"0")</f>
        <v>0</v>
      </c>
      <c r="F76" s="37" t="str">
        <f>IF(REA!F15="NUTRILON EX PREMA",(4*REA!T15*REA!V15/100),"0")</f>
        <v>0</v>
      </c>
      <c r="G76" s="37" t="str">
        <f>IF(REA!F15="NUTRILON EX PREMA",(1.22*REA!T15*REA!V15/100),"0")</f>
        <v>0</v>
      </c>
    </row>
    <row r="77" spans="1:16">
      <c r="A77" t="s">
        <v>676</v>
      </c>
      <c r="C77" s="37" t="str">
        <f>IF(REA!F15="PRENAN Stage 2",(2.04*REA!T15*REA!V15/100),"0")</f>
        <v>0</v>
      </c>
      <c r="D77" s="37" t="str">
        <f>IF(REA!F15="PRENAN Stage 2",(73*REA!T15*REA!V15/100),"0")</f>
        <v>0</v>
      </c>
      <c r="E77" s="37" t="str">
        <f>IF(REA!F15="PRENAN Stage 2",(7.67*REA!T15*REA!V15/100),"0")</f>
        <v>0</v>
      </c>
      <c r="F77" s="37" t="str">
        <f>IF(REA!F15="PRENAN Stage 2",(3.8*REA!T15*REA!V15/100),"0")</f>
        <v>0</v>
      </c>
      <c r="G77" s="37" t="str">
        <f>IF(REA!F15="PRENAN Stage 2",(1.48*REA!T15*REA!V15/100),"0")</f>
        <v>0</v>
      </c>
    </row>
    <row r="78" spans="1:16">
      <c r="A78" t="s">
        <v>678</v>
      </c>
      <c r="C78" s="37" t="str">
        <f>IF(REA!F15="NAN PRO 1",(1.24*REA!T15*REA!V15/100),"0")</f>
        <v>0</v>
      </c>
      <c r="D78" s="37" t="str">
        <f>IF(REA!F15="NAN PRO 1",(67*REA!T15*REA!V15/100),"0")</f>
        <v>0</v>
      </c>
      <c r="E78" s="37" t="str">
        <f>IF(REA!F15="NAN PRO 1",(7.46*REA!T15*REA!V15/100),"0")</f>
        <v>0</v>
      </c>
      <c r="F78" s="37" t="str">
        <f>IF(REA!F15="NAN PRO 1",(3.57*REA!T15*REA!V15/100),"0")</f>
        <v>0</v>
      </c>
      <c r="G78" s="37" t="str">
        <f>IF(REA!F15="NAN PRO 1",(0.74*REA!T15*REA!V15/100),"0")</f>
        <v>0</v>
      </c>
    </row>
    <row r="79" spans="1:16">
      <c r="A79" t="s">
        <v>681</v>
      </c>
      <c r="C79" s="37" t="str">
        <f>IF(REA!F15="NAN HA 1",(1.28*REA!T15*REA!V15/100),"0")</f>
        <v>0</v>
      </c>
      <c r="D79" s="37" t="str">
        <f>IF(REA!F15="NAN HA 1",(67*REA!T15*REA!V15/100),"0")</f>
        <v>0</v>
      </c>
      <c r="E79" s="37" t="str">
        <f>IF(REA!F15="NAN HA 1",(7.85*REA!T15*REA!V15/100),"0")</f>
        <v>0</v>
      </c>
      <c r="F79" s="37" t="str">
        <f>IF(REA!F15="NAN HA 1",(3.41*REA!T15*REA!V15/100),"0")</f>
        <v>0</v>
      </c>
      <c r="G79" s="37" t="str">
        <f>IF(REA!F15="NAN HA 1",(0.74*REA!T15*REA!V15/100),"0")</f>
        <v>0</v>
      </c>
    </row>
    <row r="80" spans="1:16">
      <c r="A80" t="s">
        <v>682</v>
      </c>
      <c r="C80" s="37" t="str">
        <f>IF(REA!F15="NAN AR 1",(1.28*REA!T15*REA!V15/100),"0")</f>
        <v>0</v>
      </c>
      <c r="D80" s="37" t="str">
        <f>IF(REA!F15="NAN AR 1",(67*REA!T15*REA!V15/100),"0")</f>
        <v>0</v>
      </c>
      <c r="E80" s="37" t="str">
        <f>IF(REA!F15="NAN AR 1",(7.8*REA!T15*REA!V15/100),"0")</f>
        <v>0</v>
      </c>
      <c r="F80" s="37" t="str">
        <f>IF(REA!F15="NAN AR 1",(3.41*REA!T15*REA!V15/100),"0")</f>
        <v>0</v>
      </c>
      <c r="G80" s="37" t="str">
        <f>IF(REA!F15="NAN AR 1",(0.87*REA!T15*REA!V15/100),"0")</f>
        <v>0</v>
      </c>
    </row>
    <row r="81" spans="1:7">
      <c r="A81" t="s">
        <v>683</v>
      </c>
      <c r="C81" s="37" t="str">
        <f>IF(REA!F15="GUIGOZ 1",(1.24*REA!T15*REA!V15/100),"0")</f>
        <v>0</v>
      </c>
      <c r="D81" s="37" t="str">
        <f>IF(REA!F15="GUIGOZ 1",(67*REA!T15*REA!V15/100),"0")</f>
        <v>0</v>
      </c>
      <c r="E81" s="37" t="str">
        <f>IF(REA!F15="GUIGOZ 1",(7.48*REA!T15*REA!V15/100),"0")</f>
        <v>0</v>
      </c>
      <c r="F81" s="37" t="str">
        <f>IF(REA!F15="GUIGOZ 1",(3.57*REA!T15*REA!V15/100),"0")</f>
        <v>0</v>
      </c>
      <c r="G81" s="37" t="str">
        <f>IF(REA!F15="GUIGOZ 1",(0.83*REA!T15*REA!V15/100),"0")</f>
        <v>0</v>
      </c>
    </row>
    <row r="82" spans="1:7">
      <c r="A82" t="s">
        <v>684</v>
      </c>
      <c r="C82" s="37" t="str">
        <f>IF(REA!F15="BEBA 1",(1.24*REA!T15*REA!V15/100),"0")</f>
        <v>0</v>
      </c>
      <c r="D82" s="37" t="str">
        <f>IF(REA!F15="BEBA 1",(67*REA!T15*REA!V15/100),"0")</f>
        <v>0</v>
      </c>
      <c r="E82" s="37" t="str">
        <f>IF(REA!F15="BEBA 1",(7.99*REA!T15*REA!V15/100),"0")</f>
        <v>0</v>
      </c>
      <c r="F82" s="37" t="str">
        <f>IF(REA!F15="BEBA 1",(3.37*REA!T15*REA!V15/100),"0")</f>
        <v>0</v>
      </c>
      <c r="G82" s="37" t="str">
        <f>IF(REA!F15="BEBA 1",(0.87*REA!T15*REA!V15/100),"0")</f>
        <v>0</v>
      </c>
    </row>
    <row r="83" spans="1:7">
      <c r="A83" t="s">
        <v>677</v>
      </c>
      <c r="C83" s="37" t="str">
        <f>IF(REA!F15="NUTRILON 1",(1.3*REA!T15*REA!V15/100),"0")</f>
        <v>0</v>
      </c>
      <c r="D83" s="37" t="str">
        <f>IF(REA!F15="NUTRILON 1",(66*REA!T15*REA!V15/100),"0")</f>
        <v>0</v>
      </c>
      <c r="E83" s="37" t="str">
        <f>IF(REA!F15="NUTRILON 1",(7.3*REA!T15*REA!V15/100),"0")</f>
        <v>0</v>
      </c>
      <c r="F83" s="37" t="str">
        <f>IF(REA!F15="NUTRILON 1",(3.4*REA!T15*REA!V15/100),"0")</f>
        <v>0</v>
      </c>
      <c r="G83" s="37" t="str">
        <f>IF(REA!F15="NUTRILON 1",(1*REA!T15*REA!V15/100),"0")</f>
        <v>0</v>
      </c>
    </row>
    <row r="84" spans="1:7">
      <c r="A84" t="s">
        <v>685</v>
      </c>
      <c r="C84" s="37" t="str">
        <f>IF(REA!F15="NUTRILON HA 1",(1.5*REA!T15*REA!V15/100),"0")</f>
        <v>0</v>
      </c>
      <c r="D84" s="37" t="str">
        <f>IF(REA!F15="NUTRILON HA 1",(66*REA!T15*REA!V15/100),"0")</f>
        <v>0</v>
      </c>
      <c r="E84" s="37" t="str">
        <f>IF(REA!F15="NUTRILON HA 1",(7.2*REA!T15*REA!V15/100),"0")</f>
        <v>0</v>
      </c>
      <c r="F84" s="37" t="str">
        <f>IF(REA!F15="NUTRILON HA 1",(3.4*REA!T15*REA!V15/100),"0")</f>
        <v>0</v>
      </c>
      <c r="G84" s="37" t="str">
        <f>IF(REA!F15="NUTRILON HA 1",(1.09*REA!T15*REA!V15/100),"0")</f>
        <v>0</v>
      </c>
    </row>
    <row r="85" spans="1:7">
      <c r="A85" t="s">
        <v>686</v>
      </c>
      <c r="C85" s="37" t="str">
        <f>IF(REA!F15="NUTRILON AR 1",(1.6*REA!T15*REA!V15/100),"0")</f>
        <v>0</v>
      </c>
      <c r="D85" s="37" t="str">
        <f>IF(REA!F15="NUTRILON AR 1",(66*REA!T15*REA!V15/100),"0")</f>
        <v>0</v>
      </c>
      <c r="E85" s="37" t="str">
        <f>IF(REA!F15="NUTRILON AR 1",(6.8*REA!T15*REA!V15/100),"0")</f>
        <v>0</v>
      </c>
      <c r="F85" s="37" t="str">
        <f>IF(REA!F15="NUTRILON AR 1",(3.5*REA!T15*REA!V15/100),"0")</f>
        <v>0</v>
      </c>
      <c r="G85" s="37" t="str">
        <f>IF(REA!F15="NUTRILON AR 1",(1.04*REA!T15*REA!V15/100),"0")</f>
        <v>0</v>
      </c>
    </row>
    <row r="86" spans="1:7">
      <c r="A86" t="s">
        <v>707</v>
      </c>
      <c r="C86" s="37" t="str">
        <f>IF(REA!F15="ENFAMIL AR 1",(1.72*REA!T36*REA!V36/100),"0")</f>
        <v>0</v>
      </c>
      <c r="D86" s="37" t="str">
        <f>IF(REA!F15="ENFAMIL AR 1",(69*REA!T14*REA!V14/100),"0")</f>
        <v>0</v>
      </c>
      <c r="E86" s="37" t="str">
        <f>IF(REA!F15="ENFAMIL AR 1",(7.6*REA!T15*REA!V15/100),"0")</f>
        <v>0</v>
      </c>
      <c r="F86" s="37" t="str">
        <f>IF(REA!F15="ENFAMIL AR 1",(3.5*REA!T15*REA!V15/100),"0")</f>
        <v>0</v>
      </c>
      <c r="G86" s="37" t="str">
        <f>IF(REA!F15="ENFAMIL AR 1",(1.09*REA!T15*REA!V15/100),"0")</f>
        <v>0</v>
      </c>
    </row>
    <row r="87" spans="1:7">
      <c r="A87" t="s">
        <v>687</v>
      </c>
      <c r="C87" s="37" t="str">
        <f>IF(REA!F15="NUTRAMIGEN",(1.91*REA!T15*REA!V15/100),"0")</f>
        <v>0</v>
      </c>
      <c r="D87" s="37" t="str">
        <f>IF(REA!F15="NUTRAMIGEN",(68*REA!T15*REA!V15/100),"0")</f>
        <v>0</v>
      </c>
      <c r="E87" s="37" t="str">
        <f>IF(REA!F15="NUTRAMIGEN",(7.5*REA!T15*REA!V15/100),"0")</f>
        <v>0</v>
      </c>
      <c r="F87" s="37" t="str">
        <f>IF(REA!F15="NUTRAMIGEN",(3.4*REA!T15*REA!V15/100),"0")</f>
        <v>0</v>
      </c>
      <c r="G87" s="37" t="str">
        <f>IF(REA!F15="NUTRAMIGEN",(1.39*REA!T15*REA!V15/100),"0")</f>
        <v>0</v>
      </c>
    </row>
    <row r="88" spans="1:7">
      <c r="A88" t="s">
        <v>688</v>
      </c>
      <c r="C88" s="37" t="str">
        <f>IF(REA!F15="NEOCATE",(1.8*REA!T15*REA!V15/100),"0")</f>
        <v>0</v>
      </c>
      <c r="D88" s="37" t="str">
        <f>IF(REA!F15="NEOCATE",(67*REA!T15*REA!V15/100),"0")</f>
        <v>0</v>
      </c>
      <c r="E88" s="37" t="str">
        <f>IF(REA!F15="NEOCATE",(7.2*REA!T15*REA!V15/100),"0")</f>
        <v>0</v>
      </c>
      <c r="F88" s="37" t="str">
        <f>IF(REA!F15="NEOCATE",(3.4*REA!T15*REA!V15/100),"0")</f>
        <v>0</v>
      </c>
      <c r="G88" s="37" t="str">
        <f>IF(REA!F15="NEOCATE",(1.35*REA!T15*REA!V15/100),"0")</f>
        <v>0</v>
      </c>
    </row>
    <row r="89" spans="1:7">
      <c r="A89" t="s">
        <v>690</v>
      </c>
      <c r="C89" s="37" t="str">
        <f>IF(REA!F15="CYSTILAC",(2.9*REA!T15*REA!V15/100),"0")</f>
        <v>0</v>
      </c>
      <c r="D89" s="37" t="str">
        <f>IF(REA!F15="CYSTILAC",(83*REA!T15*REA!V15/100),"0")</f>
        <v>0</v>
      </c>
      <c r="E89" s="37" t="str">
        <f>IF(REA!F15="CYSTILAC",(12.1*REA!T15*REA!V15/100),"0")</f>
        <v>0</v>
      </c>
      <c r="F89" s="37" t="str">
        <f>IF(REA!F15="CYSTILAC",(4.93*REA!T15*REA!V15/100),"0")</f>
        <v>0</v>
      </c>
      <c r="G89" s="37" t="str">
        <f>IF(REA!F15="CYSTILAC",(3.48*REA!T15*REA!V15/100),"0")</f>
        <v>0</v>
      </c>
    </row>
    <row r="90" spans="1:7">
      <c r="C90" s="37"/>
      <c r="D90" s="37"/>
      <c r="E90" s="37"/>
      <c r="F90" s="37"/>
      <c r="G90" s="37"/>
    </row>
    <row r="91" spans="1:7">
      <c r="A91" s="462" t="s">
        <v>740</v>
      </c>
      <c r="B91" s="462"/>
      <c r="C91" s="59">
        <f>SUM(C46:C90)</f>
        <v>0</v>
      </c>
      <c r="D91" s="59">
        <f>SUM(D46:D90)</f>
        <v>0</v>
      </c>
      <c r="E91" s="59">
        <f>SUM(E46:E90)</f>
        <v>0</v>
      </c>
      <c r="F91" s="59">
        <f>SUM(F46:F90)</f>
        <v>0</v>
      </c>
      <c r="G91" s="59">
        <f>SUM(G46:G90)</f>
        <v>0</v>
      </c>
    </row>
  </sheetData>
  <mergeCells count="29">
    <mergeCell ref="I57:K57"/>
    <mergeCell ref="I58:K58"/>
    <mergeCell ref="I59:K59"/>
    <mergeCell ref="I52:K52"/>
    <mergeCell ref="I53:K53"/>
    <mergeCell ref="I54:K54"/>
    <mergeCell ref="I55:K55"/>
    <mergeCell ref="I56:K56"/>
    <mergeCell ref="I47:K47"/>
    <mergeCell ref="I48:K48"/>
    <mergeCell ref="I49:K49"/>
    <mergeCell ref="I50:K50"/>
    <mergeCell ref="I51:K51"/>
    <mergeCell ref="A4:G4"/>
    <mergeCell ref="A28:G28"/>
    <mergeCell ref="A36:G36"/>
    <mergeCell ref="I70:K70"/>
    <mergeCell ref="I71:K71"/>
    <mergeCell ref="I65:K65"/>
    <mergeCell ref="I66:K66"/>
    <mergeCell ref="I67:K67"/>
    <mergeCell ref="I68:K68"/>
    <mergeCell ref="I69:K69"/>
    <mergeCell ref="I60:K60"/>
    <mergeCell ref="I61:K61"/>
    <mergeCell ref="I62:K62"/>
    <mergeCell ref="I63:K63"/>
    <mergeCell ref="I64:K64"/>
    <mergeCell ref="I46:K46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A17"/>
  <sheetViews>
    <sheetView workbookViewId="0">
      <selection activeCell="A17" sqref="A17"/>
    </sheetView>
  </sheetViews>
  <sheetFormatPr baseColWidth="10" defaultRowHeight="15"/>
  <sheetData>
    <row r="1" spans="1:1">
      <c r="A1" t="s">
        <v>812</v>
      </c>
    </row>
    <row r="3" spans="1:1">
      <c r="A3" t="s">
        <v>818</v>
      </c>
    </row>
    <row r="4" spans="1:1">
      <c r="A4" t="s">
        <v>817</v>
      </c>
    </row>
    <row r="5" spans="1:1">
      <c r="A5" t="s">
        <v>816</v>
      </c>
    </row>
    <row r="6" spans="1:1">
      <c r="A6" t="s">
        <v>820</v>
      </c>
    </row>
    <row r="7" spans="1:1">
      <c r="A7" t="s">
        <v>815</v>
      </c>
    </row>
    <row r="8" spans="1:1">
      <c r="A8" s="496" t="s">
        <v>823</v>
      </c>
    </row>
    <row r="9" spans="1:1">
      <c r="A9" t="s">
        <v>819</v>
      </c>
    </row>
    <row r="10" spans="1:1">
      <c r="A10" t="s">
        <v>824</v>
      </c>
    </row>
    <row r="11" spans="1:1">
      <c r="A11" t="s">
        <v>825</v>
      </c>
    </row>
    <row r="12" spans="1:1">
      <c r="A12" t="s">
        <v>814</v>
      </c>
    </row>
    <row r="13" spans="1:1">
      <c r="A13" t="s">
        <v>821</v>
      </c>
    </row>
    <row r="14" spans="1:1">
      <c r="A14" t="s">
        <v>826</v>
      </c>
    </row>
    <row r="15" spans="1:1">
      <c r="A15" t="s">
        <v>822</v>
      </c>
    </row>
    <row r="16" spans="1:1">
      <c r="A16" t="s">
        <v>827</v>
      </c>
    </row>
    <row r="17" spans="1:1">
      <c r="A17" t="s">
        <v>813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A5"/>
  <sheetViews>
    <sheetView workbookViewId="0">
      <selection activeCell="A3" sqref="A3"/>
    </sheetView>
  </sheetViews>
  <sheetFormatPr baseColWidth="10" defaultRowHeight="15"/>
  <sheetData>
    <row r="1" spans="1:1">
      <c r="A1" s="400" t="s">
        <v>831</v>
      </c>
    </row>
    <row r="3" spans="1:1">
      <c r="A3" t="s">
        <v>834</v>
      </c>
    </row>
    <row r="4" spans="1:1">
      <c r="A4" t="s">
        <v>832</v>
      </c>
    </row>
    <row r="5" spans="1:1">
      <c r="A5" t="s">
        <v>833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40</vt:i4>
      </vt:variant>
    </vt:vector>
  </HeadingPairs>
  <TitlesOfParts>
    <vt:vector size="62" baseType="lpstr">
      <vt:lpstr>Dérivés Sanguins</vt:lpstr>
      <vt:lpstr>&lt;-------&gt;</vt:lpstr>
      <vt:lpstr>MIDDLE</vt:lpstr>
      <vt:lpstr>REA</vt:lpstr>
      <vt:lpstr>IV Continue</vt:lpstr>
      <vt:lpstr>IV Discontinue</vt:lpstr>
      <vt:lpstr>Per Os</vt:lpstr>
      <vt:lpstr>TPN</vt:lpstr>
      <vt:lpstr>Parentérale</vt:lpstr>
      <vt:lpstr>Autre Perfusion</vt:lpstr>
      <vt:lpstr>Compléments TPN</vt:lpstr>
      <vt:lpstr>Entérale</vt:lpstr>
      <vt:lpstr>Autres Médicaments</vt:lpstr>
      <vt:lpstr>Intervalle</vt:lpstr>
      <vt:lpstr>Composition</vt:lpstr>
      <vt:lpstr>Laits</vt:lpstr>
      <vt:lpstr>&lt;------&gt;</vt:lpstr>
      <vt:lpstr>AIDE</vt:lpstr>
      <vt:lpstr>Autres Traitements</vt:lpstr>
      <vt:lpstr>Apports</vt:lpstr>
      <vt:lpstr>Liste Médecins</vt:lpstr>
      <vt:lpstr>Codes</vt:lpstr>
      <vt:lpstr>ajouts_TPN</vt:lpstr>
      <vt:lpstr>Ajouts_TPN_matrice</vt:lpstr>
      <vt:lpstr>APNEO_et_NUMETZAH</vt:lpstr>
      <vt:lpstr>Autre_perfusion_matrice</vt:lpstr>
      <vt:lpstr>Autre_perfusion_solutés</vt:lpstr>
      <vt:lpstr>Autres_produits</vt:lpstr>
      <vt:lpstr>autres_produits_matrice</vt:lpstr>
      <vt:lpstr>Autres_traitements</vt:lpstr>
      <vt:lpstr>CLINOLEIC_SMOF</vt:lpstr>
      <vt:lpstr>codes</vt:lpstr>
      <vt:lpstr>Compléments_TPN</vt:lpstr>
      <vt:lpstr>Dérivés_sanguins</vt:lpstr>
      <vt:lpstr>Entérale</vt:lpstr>
      <vt:lpstr>Enterale_Fréquence</vt:lpstr>
      <vt:lpstr>Entérale_intervalle</vt:lpstr>
      <vt:lpstr>entérale_modalité</vt:lpstr>
      <vt:lpstr>Fréquence</vt:lpstr>
      <vt:lpstr>I.V._Continue</vt:lpstr>
      <vt:lpstr>I.V._Discontinue_intervalle</vt:lpstr>
      <vt:lpstr>intervalle_entérale</vt:lpstr>
      <vt:lpstr>IV_discontinue_matrice</vt:lpstr>
      <vt:lpstr>KT_TPN</vt:lpstr>
      <vt:lpstr>Laits</vt:lpstr>
      <vt:lpstr>Lipides</vt:lpstr>
      <vt:lpstr>parentérale</vt:lpstr>
      <vt:lpstr>produit_autres_médicaments</vt:lpstr>
      <vt:lpstr>Produit_entérale</vt:lpstr>
      <vt:lpstr>produit_fréquence</vt:lpstr>
      <vt:lpstr>produit_intervalle</vt:lpstr>
      <vt:lpstr>Produit_IV_continu_mL</vt:lpstr>
      <vt:lpstr>Produit_IV_Continue</vt:lpstr>
      <vt:lpstr>Produit_IV_discontinue</vt:lpstr>
      <vt:lpstr>produit_parentérale</vt:lpstr>
      <vt:lpstr>Produit_per_os</vt:lpstr>
      <vt:lpstr>Produit_per_os_matrice</vt:lpstr>
      <vt:lpstr>produits_compléments_TPN</vt:lpstr>
      <vt:lpstr>produits_dérivés</vt:lpstr>
      <vt:lpstr>Laits!Type_de_lait</vt:lpstr>
      <vt:lpstr>MIDDLE!Zone_d_impression</vt:lpstr>
      <vt:lpstr>REA!Zone_d_impression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Olivier</cp:lastModifiedBy>
  <cp:lastPrinted>2014-11-07T11:39:28Z</cp:lastPrinted>
  <dcterms:created xsi:type="dcterms:W3CDTF">2013-05-09T16:32:02Z</dcterms:created>
  <dcterms:modified xsi:type="dcterms:W3CDTF">2014-11-08T22:51:11Z</dcterms:modified>
</cp:coreProperties>
</file>