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832" firstSheet="2" activeTab="2"/>
  </bookViews>
  <sheets>
    <sheet name="Volumes" sheetId="8" state="hidden" r:id="rId1"/>
    <sheet name="Inv-Financement" sheetId="6" state="hidden" r:id="rId2"/>
    <sheet name="Volume Local_Export" sheetId="43" r:id="rId3"/>
    <sheet name="Assumptions" sheetId="45" r:id="rId4"/>
    <sheet name="Volume" sheetId="13" r:id="rId5"/>
    <sheet name="Energie_ Poutrelles" sheetId="22" state="hidden" r:id="rId6"/>
    <sheet name="hierarchie" sheetId="26" state="hidden" r:id="rId7"/>
    <sheet name="P&amp;L" sheetId="18" state="hidden" r:id="rId8"/>
    <sheet name="Chiffre Affaires" sheetId="14" state="hidden" r:id="rId9"/>
    <sheet name="Matiéres Consommables" sheetId="11" state="hidden" r:id="rId10"/>
    <sheet name="T.S. Structure" sheetId="2" state="hidden" r:id="rId11"/>
    <sheet name="Coupé façonné" sheetId="5" state="hidden" r:id="rId12"/>
    <sheet name="Armatures STD" sheetId="7" state="hidden" r:id="rId13"/>
    <sheet name="Feuil1" sheetId="9" state="hidden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Base_MP">'[1]Base Famille MP &amp; EMB'!$A$6:$N$147</definedName>
    <definedName name="Hierarchie_PF">'[1]Base Famille PF'!$A$1:$K$41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85" i="43" l="1"/>
  <c r="X185" i="43" s="1"/>
  <c r="W184" i="43"/>
  <c r="X184" i="43" s="1"/>
  <c r="W183" i="43"/>
  <c r="X183" i="43" s="1"/>
  <c r="W182" i="43"/>
  <c r="X182" i="43" s="1"/>
  <c r="W174" i="43"/>
  <c r="X174" i="43" s="1"/>
  <c r="W173" i="43"/>
  <c r="X173" i="43" s="1"/>
  <c r="W172" i="43"/>
  <c r="X172" i="43" s="1"/>
  <c r="W175" i="43" l="1"/>
  <c r="X175" i="43" s="1"/>
  <c r="R25" i="45" l="1"/>
  <c r="S25" i="45"/>
  <c r="T25" i="45"/>
  <c r="X14" i="13" l="1"/>
  <c r="E18" i="45" l="1"/>
  <c r="M25" i="43" l="1"/>
  <c r="L25" i="43"/>
  <c r="K25" i="43"/>
  <c r="J25" i="43"/>
  <c r="I25" i="43"/>
  <c r="H25" i="43"/>
  <c r="G25" i="43"/>
  <c r="G23" i="43"/>
  <c r="G22" i="43"/>
  <c r="G21" i="43"/>
  <c r="F42" i="45"/>
  <c r="G42" i="45"/>
  <c r="H42" i="45"/>
  <c r="I42" i="45"/>
  <c r="J42" i="45"/>
  <c r="K42" i="45"/>
  <c r="L23" i="43"/>
  <c r="J23" i="43"/>
  <c r="H23" i="43"/>
  <c r="L22" i="43"/>
  <c r="J22" i="43"/>
  <c r="H22" i="43"/>
  <c r="H18" i="45"/>
  <c r="O86" i="45"/>
  <c r="P86" i="45"/>
  <c r="Q86" i="45"/>
  <c r="O87" i="45"/>
  <c r="P87" i="45"/>
  <c r="Q87" i="45"/>
  <c r="O88" i="45"/>
  <c r="P88" i="45"/>
  <c r="Q88" i="45"/>
  <c r="O89" i="45"/>
  <c r="P89" i="45"/>
  <c r="Q89" i="45"/>
  <c r="N87" i="45"/>
  <c r="N88" i="45"/>
  <c r="N89" i="45"/>
  <c r="N86" i="45"/>
  <c r="T86" i="45"/>
  <c r="U86" i="45"/>
  <c r="V86" i="45"/>
  <c r="T87" i="45"/>
  <c r="U87" i="45"/>
  <c r="V87" i="45"/>
  <c r="T88" i="45"/>
  <c r="U88" i="45"/>
  <c r="V88" i="45"/>
  <c r="T89" i="45"/>
  <c r="U89" i="45"/>
  <c r="V89" i="45"/>
  <c r="S87" i="45"/>
  <c r="S88" i="45"/>
  <c r="S89" i="45"/>
  <c r="S86" i="45"/>
  <c r="P123" i="43"/>
  <c r="V23" i="43"/>
  <c r="U23" i="43"/>
  <c r="T23" i="43"/>
  <c r="S23" i="43"/>
  <c r="R23" i="43"/>
  <c r="Q23" i="43"/>
  <c r="P23" i="43"/>
  <c r="Q22" i="43"/>
  <c r="R22" i="43"/>
  <c r="S22" i="43"/>
  <c r="T22" i="43"/>
  <c r="U22" i="43"/>
  <c r="V22" i="43"/>
  <c r="P22" i="43"/>
  <c r="Q21" i="43"/>
  <c r="R21" i="43"/>
  <c r="S21" i="43"/>
  <c r="T21" i="43"/>
  <c r="U21" i="43"/>
  <c r="V21" i="43"/>
  <c r="P21" i="43"/>
  <c r="V25" i="43"/>
  <c r="U25" i="43"/>
  <c r="T25" i="43"/>
  <c r="S25" i="43"/>
  <c r="R25" i="43"/>
  <c r="Q25" i="43"/>
  <c r="P25" i="43"/>
  <c r="I23" i="43"/>
  <c r="K23" i="43"/>
  <c r="M23" i="43"/>
  <c r="I22" i="43"/>
  <c r="K22" i="43"/>
  <c r="M22" i="43"/>
  <c r="H21" i="43"/>
  <c r="I21" i="43"/>
  <c r="J21" i="43"/>
  <c r="K21" i="43"/>
  <c r="L21" i="43"/>
  <c r="M21" i="43"/>
  <c r="T42" i="45"/>
  <c r="S42" i="45"/>
  <c r="R42" i="45"/>
  <c r="Q42" i="45"/>
  <c r="P42" i="45"/>
  <c r="O42" i="45"/>
  <c r="N42" i="45"/>
  <c r="F27" i="45"/>
  <c r="F29" i="45"/>
  <c r="E29" i="45" l="1"/>
  <c r="E42" i="45"/>
  <c r="V182" i="43"/>
  <c r="U182" i="43"/>
  <c r="T182" i="43"/>
  <c r="S182" i="43"/>
  <c r="R182" i="43"/>
  <c r="Q182" i="43"/>
  <c r="P182" i="43"/>
  <c r="M182" i="43"/>
  <c r="L182" i="43"/>
  <c r="K182" i="43"/>
  <c r="J182" i="43"/>
  <c r="I182" i="43"/>
  <c r="H182" i="43"/>
  <c r="G182" i="43"/>
  <c r="M172" i="43"/>
  <c r="L172" i="43"/>
  <c r="K172" i="43"/>
  <c r="J172" i="43"/>
  <c r="I172" i="43"/>
  <c r="H172" i="43"/>
  <c r="G172" i="43"/>
  <c r="AF74" i="43"/>
  <c r="AE74" i="43"/>
  <c r="AD74" i="43"/>
  <c r="AC74" i="43"/>
  <c r="AB74" i="43"/>
  <c r="AA74" i="43"/>
  <c r="Z74" i="43"/>
  <c r="AF106" i="43"/>
  <c r="AE106" i="43"/>
  <c r="AD106" i="43"/>
  <c r="AC106" i="43"/>
  <c r="AB106" i="43"/>
  <c r="AA106" i="43"/>
  <c r="Z106" i="43"/>
  <c r="AF56" i="43"/>
  <c r="AE56" i="43"/>
  <c r="AD56" i="43"/>
  <c r="AC56" i="43"/>
  <c r="AB56" i="43"/>
  <c r="AA56" i="43"/>
  <c r="Z56" i="43"/>
  <c r="AA12" i="13"/>
  <c r="T36" i="45" s="1"/>
  <c r="Z12" i="13"/>
  <c r="R36" i="45" s="1"/>
  <c r="Y12" i="13"/>
  <c r="X12" i="13"/>
  <c r="N36" i="45" s="1"/>
  <c r="P12" i="43" s="1"/>
  <c r="P174" i="43" s="1"/>
  <c r="V12" i="13"/>
  <c r="U12" i="13"/>
  <c r="T12" i="13"/>
  <c r="S12" i="13"/>
  <c r="G12" i="43" l="1"/>
  <c r="P34" i="43"/>
  <c r="P164" i="43"/>
  <c r="P36" i="45"/>
  <c r="Q36" i="45"/>
  <c r="S36" i="45"/>
  <c r="O36" i="45"/>
  <c r="P154" i="43"/>
  <c r="P93" i="43"/>
  <c r="T12" i="43" l="1"/>
  <c r="K12" i="43" s="1"/>
  <c r="Q12" i="43"/>
  <c r="R12" i="43"/>
  <c r="I12" i="43" s="1"/>
  <c r="U12" i="43"/>
  <c r="L12" i="43" s="1"/>
  <c r="V12" i="43"/>
  <c r="M12" i="43" s="1"/>
  <c r="S12" i="43"/>
  <c r="J12" i="43" s="1"/>
  <c r="J12" i="13" s="1"/>
  <c r="G164" i="43"/>
  <c r="G34" i="43"/>
  <c r="G12" i="13"/>
  <c r="J34" i="43" l="1"/>
  <c r="L164" i="43"/>
  <c r="L34" i="43"/>
  <c r="L12" i="13"/>
  <c r="I34" i="43"/>
  <c r="I154" i="43" s="1"/>
  <c r="I12" i="13"/>
  <c r="I54" i="13" s="1"/>
  <c r="I164" i="43"/>
  <c r="M164" i="43"/>
  <c r="M34" i="43"/>
  <c r="M12" i="13"/>
  <c r="K164" i="43"/>
  <c r="K34" i="43"/>
  <c r="K12" i="13"/>
  <c r="K44" i="43" s="1"/>
  <c r="Q174" i="43"/>
  <c r="Q164" i="43"/>
  <c r="Q34" i="43"/>
  <c r="S164" i="43"/>
  <c r="S174" i="43"/>
  <c r="S34" i="43"/>
  <c r="H12" i="43"/>
  <c r="U174" i="43"/>
  <c r="U164" i="43"/>
  <c r="U34" i="43"/>
  <c r="J164" i="43"/>
  <c r="V174" i="43"/>
  <c r="V164" i="43"/>
  <c r="V34" i="43"/>
  <c r="M34" i="13" s="1"/>
  <c r="R174" i="43"/>
  <c r="R164" i="43"/>
  <c r="R34" i="43"/>
  <c r="T34" i="43"/>
  <c r="T174" i="43"/>
  <c r="T164" i="43"/>
  <c r="J54" i="13"/>
  <c r="G44" i="43"/>
  <c r="G54" i="13"/>
  <c r="J44" i="43"/>
  <c r="S44" i="43"/>
  <c r="J112" i="13"/>
  <c r="J130" i="13"/>
  <c r="I93" i="43"/>
  <c r="K154" i="43"/>
  <c r="K93" i="43"/>
  <c r="G112" i="13"/>
  <c r="G130" i="13"/>
  <c r="P44" i="43"/>
  <c r="M154" i="43"/>
  <c r="M93" i="43"/>
  <c r="G154" i="43"/>
  <c r="G34" i="13"/>
  <c r="G93" i="43"/>
  <c r="L154" i="43"/>
  <c r="L93" i="43"/>
  <c r="J93" i="43"/>
  <c r="J34" i="13"/>
  <c r="J154" i="43"/>
  <c r="M112" i="13"/>
  <c r="V44" i="43"/>
  <c r="L44" i="43"/>
  <c r="L130" i="13"/>
  <c r="M44" i="43" l="1"/>
  <c r="I34" i="13"/>
  <c r="M130" i="13"/>
  <c r="K34" i="13"/>
  <c r="M54" i="13"/>
  <c r="I112" i="13"/>
  <c r="I130" i="13"/>
  <c r="K130" i="13"/>
  <c r="I44" i="43"/>
  <c r="R44" i="43"/>
  <c r="U154" i="43"/>
  <c r="U93" i="43"/>
  <c r="U44" i="43"/>
  <c r="K112" i="13"/>
  <c r="L54" i="13"/>
  <c r="V154" i="43"/>
  <c r="V93" i="43"/>
  <c r="H34" i="43"/>
  <c r="H164" i="43"/>
  <c r="H12" i="13"/>
  <c r="L112" i="13"/>
  <c r="T44" i="43"/>
  <c r="AD44" i="43" s="1"/>
  <c r="L34" i="13"/>
  <c r="K54" i="13"/>
  <c r="R93" i="43"/>
  <c r="R154" i="43"/>
  <c r="S154" i="43"/>
  <c r="S93" i="43"/>
  <c r="T154" i="43"/>
  <c r="T93" i="43"/>
  <c r="Q154" i="43"/>
  <c r="Q93" i="43"/>
  <c r="Z44" i="43"/>
  <c r="G101" i="13"/>
  <c r="G169" i="13"/>
  <c r="M101" i="13"/>
  <c r="M169" i="13"/>
  <c r="M83" i="43" s="1"/>
  <c r="K101" i="13"/>
  <c r="K169" i="13"/>
  <c r="I101" i="13"/>
  <c r="J169" i="13"/>
  <c r="J83" i="43" s="1"/>
  <c r="J101" i="13"/>
  <c r="L101" i="13"/>
  <c r="AC44" i="43"/>
  <c r="AE44" i="43"/>
  <c r="AF44" i="43"/>
  <c r="K32" i="45"/>
  <c r="J32" i="45"/>
  <c r="I32" i="45"/>
  <c r="H32" i="45"/>
  <c r="G32" i="45"/>
  <c r="F32" i="45"/>
  <c r="E32" i="45"/>
  <c r="E27" i="45"/>
  <c r="H21" i="45"/>
  <c r="H20" i="45"/>
  <c r="H19" i="45"/>
  <c r="H17" i="45"/>
  <c r="H15" i="45"/>
  <c r="H14" i="45"/>
  <c r="H13" i="45"/>
  <c r="H12" i="45"/>
  <c r="H10" i="45"/>
  <c r="F17" i="45"/>
  <c r="E22" i="45"/>
  <c r="E21" i="45"/>
  <c r="E20" i="45"/>
  <c r="F19" i="45"/>
  <c r="E19" i="45" s="1"/>
  <c r="F15" i="45"/>
  <c r="F14" i="45"/>
  <c r="F13" i="45"/>
  <c r="F12" i="45"/>
  <c r="A15" i="45"/>
  <c r="A14" i="45"/>
  <c r="A13" i="45"/>
  <c r="A12" i="45"/>
  <c r="A11" i="45"/>
  <c r="A10" i="45"/>
  <c r="A9" i="45"/>
  <c r="AB44" i="43" l="1"/>
  <c r="L169" i="13"/>
  <c r="I169" i="13"/>
  <c r="H93" i="43"/>
  <c r="H34" i="13"/>
  <c r="H154" i="43"/>
  <c r="Q44" i="43"/>
  <c r="H54" i="13"/>
  <c r="H130" i="13"/>
  <c r="H44" i="43"/>
  <c r="H112" i="13"/>
  <c r="L83" i="43"/>
  <c r="U83" i="43"/>
  <c r="T83" i="43"/>
  <c r="K83" i="43"/>
  <c r="P83" i="43"/>
  <c r="G83" i="43"/>
  <c r="R83" i="43"/>
  <c r="I83" i="43"/>
  <c r="S83" i="43"/>
  <c r="V83" i="43"/>
  <c r="G91" i="13"/>
  <c r="J91" i="13"/>
  <c r="I91" i="13"/>
  <c r="L91" i="13"/>
  <c r="H91" i="13"/>
  <c r="M91" i="13"/>
  <c r="K91" i="13"/>
  <c r="F16" i="45"/>
  <c r="F8" i="45"/>
  <c r="E16" i="45"/>
  <c r="E9" i="45"/>
  <c r="E10" i="45"/>
  <c r="F11" i="45"/>
  <c r="E11" i="45"/>
  <c r="AA44" i="43" l="1"/>
  <c r="H101" i="13"/>
  <c r="H169" i="13"/>
  <c r="AC83" i="43"/>
  <c r="Z83" i="43"/>
  <c r="AF83" i="43"/>
  <c r="AB83" i="43"/>
  <c r="AD83" i="43"/>
  <c r="AE83" i="43"/>
  <c r="F23" i="45"/>
  <c r="E8" i="45"/>
  <c r="E23" i="45" s="1"/>
  <c r="P138" i="43"/>
  <c r="P136" i="43"/>
  <c r="P134" i="43"/>
  <c r="P129" i="43"/>
  <c r="Q126" i="43"/>
  <c r="Q125" i="43"/>
  <c r="R125" i="43" s="1"/>
  <c r="S125" i="43" s="1"/>
  <c r="T125" i="43" s="1"/>
  <c r="U125" i="43" s="1"/>
  <c r="V125" i="43" s="1"/>
  <c r="Q124" i="43"/>
  <c r="R124" i="43" s="1"/>
  <c r="Q122" i="43"/>
  <c r="R122" i="43" s="1"/>
  <c r="G138" i="43"/>
  <c r="G136" i="43"/>
  <c r="G134" i="43"/>
  <c r="G129" i="43"/>
  <c r="H126" i="43"/>
  <c r="H138" i="43" s="1"/>
  <c r="H125" i="43"/>
  <c r="I125" i="43" s="1"/>
  <c r="J125" i="43" s="1"/>
  <c r="K125" i="43" s="1"/>
  <c r="L125" i="43" s="1"/>
  <c r="M125" i="43" s="1"/>
  <c r="H124" i="43"/>
  <c r="H136" i="43" s="1"/>
  <c r="G123" i="43"/>
  <c r="H122" i="43"/>
  <c r="H134" i="43" s="1"/>
  <c r="H83" i="43" l="1"/>
  <c r="Q83" i="43"/>
  <c r="I122" i="43"/>
  <c r="I134" i="43" s="1"/>
  <c r="P140" i="43"/>
  <c r="S124" i="43"/>
  <c r="R136" i="43"/>
  <c r="Q138" i="43"/>
  <c r="R126" i="43"/>
  <c r="R129" i="43" s="1"/>
  <c r="R134" i="43"/>
  <c r="S122" i="43"/>
  <c r="Q136" i="43"/>
  <c r="Q129" i="43"/>
  <c r="Q134" i="43"/>
  <c r="H129" i="43"/>
  <c r="I124" i="43"/>
  <c r="J124" i="43" s="1"/>
  <c r="G140" i="43"/>
  <c r="G127" i="43"/>
  <c r="H127" i="43" s="1"/>
  <c r="I127" i="43" s="1"/>
  <c r="J127" i="43" s="1"/>
  <c r="K127" i="43" s="1"/>
  <c r="L127" i="43" s="1"/>
  <c r="M127" i="43" s="1"/>
  <c r="H123" i="43"/>
  <c r="I123" i="43" s="1"/>
  <c r="J123" i="43" s="1"/>
  <c r="K123" i="43" s="1"/>
  <c r="L123" i="43" s="1"/>
  <c r="M123" i="43" s="1"/>
  <c r="H140" i="43"/>
  <c r="I126" i="43"/>
  <c r="V14" i="13"/>
  <c r="H140" i="13"/>
  <c r="I140" i="13" s="1"/>
  <c r="J140" i="13" s="1"/>
  <c r="K140" i="13" s="1"/>
  <c r="L140" i="13" s="1"/>
  <c r="M140" i="13" s="1"/>
  <c r="G153" i="13"/>
  <c r="G155" i="13" s="1"/>
  <c r="G151" i="13"/>
  <c r="G149" i="13"/>
  <c r="G144" i="13"/>
  <c r="G138" i="13"/>
  <c r="G142" i="13" s="1"/>
  <c r="H142" i="13" s="1"/>
  <c r="I142" i="13" s="1"/>
  <c r="J142" i="13" s="1"/>
  <c r="K142" i="13" s="1"/>
  <c r="L142" i="13" s="1"/>
  <c r="M142" i="13" s="1"/>
  <c r="H141" i="13"/>
  <c r="I141" i="13" s="1"/>
  <c r="J141" i="13" s="1"/>
  <c r="K141" i="13" s="1"/>
  <c r="L141" i="13" s="1"/>
  <c r="M141" i="13" s="1"/>
  <c r="M153" i="13" s="1"/>
  <c r="H139" i="13"/>
  <c r="H151" i="13" s="1"/>
  <c r="H137" i="13"/>
  <c r="H149" i="13" s="1"/>
  <c r="P114" i="13"/>
  <c r="AA83" i="43" l="1"/>
  <c r="I137" i="13"/>
  <c r="I149" i="13" s="1"/>
  <c r="H138" i="13"/>
  <c r="I138" i="13" s="1"/>
  <c r="J138" i="13" s="1"/>
  <c r="K138" i="13" s="1"/>
  <c r="L138" i="13" s="1"/>
  <c r="M138" i="13" s="1"/>
  <c r="H153" i="13"/>
  <c r="H155" i="13" s="1"/>
  <c r="N163" i="13"/>
  <c r="I153" i="13"/>
  <c r="J153" i="13"/>
  <c r="J137" i="13"/>
  <c r="L153" i="13"/>
  <c r="K153" i="13"/>
  <c r="J122" i="43"/>
  <c r="J134" i="43" s="1"/>
  <c r="I136" i="43"/>
  <c r="P127" i="43"/>
  <c r="Q127" i="43" s="1"/>
  <c r="R127" i="43" s="1"/>
  <c r="S127" i="43" s="1"/>
  <c r="T127" i="43" s="1"/>
  <c r="U127" i="43" s="1"/>
  <c r="V127" i="43" s="1"/>
  <c r="Q123" i="43"/>
  <c r="R123" i="43" s="1"/>
  <c r="S123" i="43" s="1"/>
  <c r="T123" i="43" s="1"/>
  <c r="U123" i="43" s="1"/>
  <c r="V123" i="43" s="1"/>
  <c r="Q140" i="43"/>
  <c r="S134" i="43"/>
  <c r="T122" i="43"/>
  <c r="T124" i="43"/>
  <c r="S136" i="43"/>
  <c r="S126" i="43"/>
  <c r="S129" i="43" s="1"/>
  <c r="R138" i="43"/>
  <c r="R140" i="43" s="1"/>
  <c r="K122" i="43"/>
  <c r="J126" i="43"/>
  <c r="I138" i="43"/>
  <c r="I129" i="43"/>
  <c r="K124" i="43"/>
  <c r="J136" i="43"/>
  <c r="I139" i="13"/>
  <c r="I151" i="13" s="1"/>
  <c r="H144" i="13"/>
  <c r="I144" i="13"/>
  <c r="J129" i="43" l="1"/>
  <c r="I155" i="13"/>
  <c r="K137" i="13"/>
  <c r="J149" i="13"/>
  <c r="I140" i="43"/>
  <c r="U122" i="43"/>
  <c r="T134" i="43"/>
  <c r="T126" i="43"/>
  <c r="S138" i="43"/>
  <c r="S140" i="43" s="1"/>
  <c r="T136" i="43"/>
  <c r="U124" i="43"/>
  <c r="L122" i="43"/>
  <c r="K134" i="43"/>
  <c r="K126" i="43"/>
  <c r="K129" i="43" s="1"/>
  <c r="J138" i="43"/>
  <c r="J140" i="43" s="1"/>
  <c r="K136" i="43"/>
  <c r="L124" i="43"/>
  <c r="J139" i="13"/>
  <c r="J151" i="13" s="1"/>
  <c r="J155" i="13" s="1"/>
  <c r="L137" i="13" l="1"/>
  <c r="K149" i="13"/>
  <c r="V124" i="43"/>
  <c r="V136" i="43" s="1"/>
  <c r="W146" i="43" s="1"/>
  <c r="U136" i="43"/>
  <c r="T138" i="43"/>
  <c r="T140" i="43" s="1"/>
  <c r="U126" i="43"/>
  <c r="T129" i="43"/>
  <c r="U134" i="43"/>
  <c r="V122" i="43"/>
  <c r="L136" i="43"/>
  <c r="M124" i="43"/>
  <c r="M136" i="43" s="1"/>
  <c r="N146" i="43" s="1"/>
  <c r="L134" i="43"/>
  <c r="M122" i="43"/>
  <c r="K138" i="43"/>
  <c r="K140" i="43" s="1"/>
  <c r="L126" i="43"/>
  <c r="K139" i="13"/>
  <c r="K151" i="13" s="1"/>
  <c r="K155" i="13" s="1"/>
  <c r="J144" i="13"/>
  <c r="Z14" i="13"/>
  <c r="M137" i="13" l="1"/>
  <c r="M149" i="13" s="1"/>
  <c r="N159" i="13" s="1"/>
  <c r="L149" i="13"/>
  <c r="Z11" i="13"/>
  <c r="V11" i="13"/>
  <c r="U138" i="43"/>
  <c r="U140" i="43" s="1"/>
  <c r="V126" i="43"/>
  <c r="V138" i="43" s="1"/>
  <c r="V134" i="43"/>
  <c r="W144" i="43" s="1"/>
  <c r="U129" i="43"/>
  <c r="M134" i="43"/>
  <c r="N144" i="43" s="1"/>
  <c r="L138" i="43"/>
  <c r="L140" i="43" s="1"/>
  <c r="M126" i="43"/>
  <c r="M138" i="43" s="1"/>
  <c r="L129" i="43"/>
  <c r="L139" i="13"/>
  <c r="L151" i="13" s="1"/>
  <c r="L155" i="13" s="1"/>
  <c r="K144" i="13"/>
  <c r="AA14" i="13"/>
  <c r="Y14" i="13"/>
  <c r="N29" i="45"/>
  <c r="AA11" i="13"/>
  <c r="Y11" i="13"/>
  <c r="X11" i="13"/>
  <c r="U14" i="13"/>
  <c r="T14" i="13"/>
  <c r="S14" i="13"/>
  <c r="U11" i="13"/>
  <c r="T11" i="13"/>
  <c r="S11" i="13"/>
  <c r="R29" i="45" l="1"/>
  <c r="T29" i="45"/>
  <c r="S29" i="45"/>
  <c r="Q29" i="45"/>
  <c r="P29" i="45"/>
  <c r="O29" i="45"/>
  <c r="V129" i="43"/>
  <c r="V140" i="43"/>
  <c r="W148" i="43"/>
  <c r="M140" i="43"/>
  <c r="N148" i="43"/>
  <c r="M129" i="43"/>
  <c r="M139" i="13"/>
  <c r="M151" i="13" s="1"/>
  <c r="L144" i="13"/>
  <c r="L73" i="13" l="1"/>
  <c r="M73" i="13"/>
  <c r="H73" i="13"/>
  <c r="G73" i="13"/>
  <c r="J73" i="13"/>
  <c r="I73" i="13"/>
  <c r="K73" i="13"/>
  <c r="N161" i="13"/>
  <c r="M155" i="13"/>
  <c r="M144" i="13"/>
  <c r="Q38" i="22"/>
  <c r="N34" i="22"/>
  <c r="O34" i="22" s="1"/>
  <c r="L34" i="22"/>
  <c r="M34" i="22" s="1"/>
  <c r="J34" i="22"/>
  <c r="K34" i="22" s="1"/>
  <c r="H34" i="22"/>
  <c r="I34" i="22" s="1"/>
  <c r="F34" i="22"/>
  <c r="G34" i="22" s="1"/>
  <c r="D34" i="22"/>
  <c r="E34" i="22" s="1"/>
  <c r="F32" i="22"/>
  <c r="E31" i="22"/>
  <c r="D31" i="22"/>
  <c r="C31" i="22"/>
  <c r="N29" i="22"/>
  <c r="O29" i="22" s="1"/>
  <c r="L29" i="22"/>
  <c r="M29" i="22" s="1"/>
  <c r="J29" i="22"/>
  <c r="K29" i="22" s="1"/>
  <c r="H29" i="22"/>
  <c r="I29" i="22" s="1"/>
  <c r="F29" i="22"/>
  <c r="G29" i="22" s="1"/>
  <c r="D29" i="22"/>
  <c r="E29" i="22" s="1"/>
  <c r="N28" i="22"/>
  <c r="O28" i="22" s="1"/>
  <c r="L28" i="22"/>
  <c r="M28" i="22" s="1"/>
  <c r="J28" i="22"/>
  <c r="K28" i="22" s="1"/>
  <c r="H28" i="22"/>
  <c r="I28" i="22" s="1"/>
  <c r="F28" i="22"/>
  <c r="G28" i="22" s="1"/>
  <c r="D28" i="22"/>
  <c r="E28" i="22" s="1"/>
  <c r="N27" i="22"/>
  <c r="O27" i="22" s="1"/>
  <c r="L27" i="22"/>
  <c r="M27" i="22" s="1"/>
  <c r="J27" i="22"/>
  <c r="K27" i="22" s="1"/>
  <c r="H27" i="22"/>
  <c r="I27" i="22" s="1"/>
  <c r="F27" i="22"/>
  <c r="G27" i="22" s="1"/>
  <c r="D27" i="22"/>
  <c r="E27" i="22" s="1"/>
  <c r="P24" i="22"/>
  <c r="P23" i="22"/>
  <c r="P22" i="22"/>
  <c r="E13" i="22"/>
  <c r="E12" i="22"/>
  <c r="E9" i="22"/>
  <c r="E7" i="22"/>
  <c r="I37" i="22" s="1"/>
  <c r="E15" i="22" l="1"/>
  <c r="O36" i="22" s="1"/>
  <c r="P27" i="22"/>
  <c r="Q27" i="22" s="1"/>
  <c r="P29" i="22"/>
  <c r="P34" i="22"/>
  <c r="Q34" i="22" s="1"/>
  <c r="K37" i="22"/>
  <c r="F31" i="22"/>
  <c r="J32" i="22"/>
  <c r="L32" i="22" s="1"/>
  <c r="E37" i="22"/>
  <c r="M37" i="22"/>
  <c r="P28" i="22"/>
  <c r="G37" i="22"/>
  <c r="O37" i="22"/>
  <c r="K32" i="22" l="1"/>
  <c r="K36" i="22"/>
  <c r="M32" i="22"/>
  <c r="O32" i="22"/>
  <c r="I32" i="22"/>
  <c r="G36" i="22"/>
  <c r="M36" i="22"/>
  <c r="I36" i="22"/>
  <c r="G32" i="22"/>
  <c r="E36" i="22"/>
  <c r="E32" i="22"/>
  <c r="Q28" i="22"/>
  <c r="Q29" i="22"/>
  <c r="P32" i="22"/>
  <c r="H31" i="22"/>
  <c r="G31" i="22"/>
  <c r="Q37" i="22"/>
  <c r="E40" i="22" l="1"/>
  <c r="Q36" i="22"/>
  <c r="Q32" i="22"/>
  <c r="G40" i="22"/>
  <c r="J31" i="22"/>
  <c r="I31" i="22"/>
  <c r="I40" i="22" s="1"/>
  <c r="L31" i="22" l="1"/>
  <c r="K31" i="22"/>
  <c r="K40" i="22" s="1"/>
  <c r="N31" i="22" l="1"/>
  <c r="M31" i="22"/>
  <c r="M40" i="22" s="1"/>
  <c r="O31" i="22" l="1"/>
  <c r="O40" i="22" s="1"/>
  <c r="P31" i="22"/>
  <c r="Q31" i="22" s="1"/>
  <c r="Q40" i="22" s="1"/>
  <c r="H20" i="18" l="1"/>
  <c r="G20" i="18"/>
  <c r="F20" i="18"/>
  <c r="E20" i="18"/>
  <c r="D20" i="18"/>
  <c r="C20" i="18"/>
  <c r="B20" i="18"/>
  <c r="H17" i="18"/>
  <c r="G17" i="18"/>
  <c r="F17" i="18"/>
  <c r="E17" i="18"/>
  <c r="D17" i="18"/>
  <c r="C17" i="18"/>
  <c r="B17" i="18"/>
  <c r="H16" i="18"/>
  <c r="G16" i="18"/>
  <c r="F16" i="18"/>
  <c r="E16" i="18"/>
  <c r="D16" i="18"/>
  <c r="C16" i="18"/>
  <c r="B16" i="18"/>
  <c r="H14" i="18"/>
  <c r="G14" i="18"/>
  <c r="F14" i="18"/>
  <c r="E14" i="18"/>
  <c r="D14" i="18"/>
  <c r="C14" i="18"/>
  <c r="B14" i="18"/>
  <c r="H12" i="18"/>
  <c r="G12" i="18"/>
  <c r="F12" i="18"/>
  <c r="E12" i="18"/>
  <c r="D12" i="18"/>
  <c r="C12" i="18"/>
  <c r="B12" i="18"/>
  <c r="H11" i="18"/>
  <c r="G11" i="18"/>
  <c r="F11" i="18"/>
  <c r="E11" i="18"/>
  <c r="D11" i="18"/>
  <c r="C11" i="18"/>
  <c r="B11" i="18"/>
  <c r="H9" i="18"/>
  <c r="G9" i="18"/>
  <c r="F9" i="18"/>
  <c r="E9" i="18"/>
  <c r="D9" i="18"/>
  <c r="C9" i="18"/>
  <c r="B9" i="18"/>
  <c r="H8" i="18"/>
  <c r="G8" i="18"/>
  <c r="F8" i="18"/>
  <c r="E8" i="18"/>
  <c r="D8" i="18"/>
  <c r="C8" i="18"/>
  <c r="B8" i="18"/>
  <c r="H7" i="18"/>
  <c r="G7" i="18"/>
  <c r="F7" i="18"/>
  <c r="E7" i="18"/>
  <c r="D7" i="18"/>
  <c r="C7" i="18"/>
  <c r="B7" i="18"/>
  <c r="H5" i="18"/>
  <c r="G5" i="18"/>
  <c r="F5" i="18"/>
  <c r="E5" i="18"/>
  <c r="D5" i="18"/>
  <c r="C5" i="18"/>
  <c r="B5" i="18"/>
  <c r="B18" i="18" l="1"/>
  <c r="V10" i="13"/>
  <c r="V16" i="13" s="1"/>
  <c r="B10" i="18"/>
  <c r="B24" i="18" s="1"/>
  <c r="F10" i="18"/>
  <c r="F24" i="18" s="1"/>
  <c r="C10" i="18"/>
  <c r="C24" i="18" s="1"/>
  <c r="G10" i="18"/>
  <c r="G24" i="18" s="1"/>
  <c r="F18" i="18"/>
  <c r="C18" i="18"/>
  <c r="G18" i="18"/>
  <c r="D10" i="18"/>
  <c r="D24" i="18" s="1"/>
  <c r="D18" i="18"/>
  <c r="E10" i="18"/>
  <c r="E24" i="18" s="1"/>
  <c r="E18" i="18"/>
  <c r="H10" i="18"/>
  <c r="H24" i="18" s="1"/>
  <c r="H18" i="18"/>
  <c r="C13" i="18" l="1"/>
  <c r="C15" i="18" s="1"/>
  <c r="B13" i="18"/>
  <c r="B15" i="18" s="1"/>
  <c r="F13" i="18"/>
  <c r="F25" i="18" s="1"/>
  <c r="H13" i="18"/>
  <c r="H25" i="18" s="1"/>
  <c r="G13" i="18"/>
  <c r="G25" i="18" s="1"/>
  <c r="AA10" i="13"/>
  <c r="Z10" i="13"/>
  <c r="R34" i="45" s="1"/>
  <c r="X10" i="13"/>
  <c r="N34" i="45" s="1"/>
  <c r="T10" i="13"/>
  <c r="T16" i="13" s="1"/>
  <c r="U10" i="13"/>
  <c r="U16" i="13" s="1"/>
  <c r="S10" i="13"/>
  <c r="S16" i="13" s="1"/>
  <c r="Y10" i="13"/>
  <c r="F15" i="18"/>
  <c r="F26" i="18" s="1"/>
  <c r="D13" i="18"/>
  <c r="D25" i="18" s="1"/>
  <c r="E13" i="18"/>
  <c r="E25" i="18" s="1"/>
  <c r="F19" i="18"/>
  <c r="F22" i="18" s="1"/>
  <c r="F27" i="18" s="1"/>
  <c r="C25" i="18"/>
  <c r="T34" i="45" l="1"/>
  <c r="AC10" i="13"/>
  <c r="AD10" i="13" s="1"/>
  <c r="Y16" i="13"/>
  <c r="O25" i="45" s="1"/>
  <c r="P34" i="45"/>
  <c r="N27" i="45"/>
  <c r="P10" i="43"/>
  <c r="B25" i="18"/>
  <c r="H15" i="18"/>
  <c r="H26" i="18" s="1"/>
  <c r="G15" i="18"/>
  <c r="G26" i="18" s="1"/>
  <c r="X16" i="13"/>
  <c r="N25" i="45" s="1"/>
  <c r="D15" i="18"/>
  <c r="D19" i="18" s="1"/>
  <c r="D22" i="18" s="1"/>
  <c r="D27" i="18" s="1"/>
  <c r="E15" i="18"/>
  <c r="E19" i="18" s="1"/>
  <c r="E22" i="18" s="1"/>
  <c r="E27" i="18" s="1"/>
  <c r="Z16" i="13"/>
  <c r="P25" i="45" s="1"/>
  <c r="AA16" i="13"/>
  <c r="Q25" i="45" s="1"/>
  <c r="C26" i="18"/>
  <c r="C19" i="18"/>
  <c r="C22" i="18" s="1"/>
  <c r="C27" i="18" s="1"/>
  <c r="B19" i="18"/>
  <c r="B22" i="18" s="1"/>
  <c r="B27" i="18" s="1"/>
  <c r="B26" i="18"/>
  <c r="G10" i="43" l="1"/>
  <c r="P172" i="43"/>
  <c r="P162" i="43"/>
  <c r="P32" i="43"/>
  <c r="P144" i="43"/>
  <c r="P143" i="43" s="1"/>
  <c r="P113" i="43" s="1"/>
  <c r="D26" i="18"/>
  <c r="G19" i="18"/>
  <c r="G22" i="18" s="1"/>
  <c r="G27" i="18" s="1"/>
  <c r="H19" i="18"/>
  <c r="H22" i="18" s="1"/>
  <c r="H27" i="18" s="1"/>
  <c r="E26" i="18"/>
  <c r="P91" i="43" l="1"/>
  <c r="M45" i="11" l="1"/>
  <c r="L45" i="11"/>
  <c r="K45" i="11"/>
  <c r="J45" i="11"/>
  <c r="I45" i="11"/>
  <c r="H45" i="11"/>
  <c r="G45" i="11"/>
  <c r="F45" i="11"/>
  <c r="E45" i="11"/>
  <c r="P43" i="11"/>
  <c r="O43" i="11"/>
  <c r="N43" i="11"/>
  <c r="M43" i="11"/>
  <c r="L43" i="11"/>
  <c r="K43" i="11"/>
  <c r="J43" i="11"/>
  <c r="I43" i="11"/>
  <c r="H43" i="11"/>
  <c r="G43" i="11"/>
  <c r="F43" i="11"/>
  <c r="E43" i="11"/>
  <c r="C43" i="11"/>
  <c r="P42" i="11"/>
  <c r="O42" i="11"/>
  <c r="N42" i="11"/>
  <c r="M42" i="11"/>
  <c r="L42" i="11"/>
  <c r="K42" i="11"/>
  <c r="J42" i="11"/>
  <c r="I42" i="11"/>
  <c r="H42" i="11"/>
  <c r="G42" i="11"/>
  <c r="F42" i="11"/>
  <c r="E42" i="11"/>
  <c r="C42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C41" i="11"/>
  <c r="P40" i="11"/>
  <c r="O40" i="11"/>
  <c r="N40" i="11"/>
  <c r="M40" i="11"/>
  <c r="L40" i="11"/>
  <c r="K40" i="11"/>
  <c r="J40" i="11"/>
  <c r="I40" i="11"/>
  <c r="H40" i="11"/>
  <c r="G40" i="11"/>
  <c r="F40" i="11"/>
  <c r="E40" i="11"/>
  <c r="C40" i="11"/>
  <c r="C38" i="11"/>
  <c r="B38" i="11"/>
  <c r="C36" i="11"/>
  <c r="B36" i="11"/>
  <c r="R34" i="11"/>
  <c r="P34" i="11"/>
  <c r="O34" i="11"/>
  <c r="N34" i="11"/>
  <c r="M34" i="11"/>
  <c r="L34" i="11"/>
  <c r="K34" i="11"/>
  <c r="J34" i="11"/>
  <c r="I34" i="11"/>
  <c r="H34" i="11"/>
  <c r="G34" i="11"/>
  <c r="F34" i="11"/>
  <c r="E34" i="11"/>
  <c r="C34" i="11"/>
  <c r="R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C33" i="11"/>
  <c r="R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C32" i="11"/>
  <c r="R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C31" i="11"/>
  <c r="R30" i="11"/>
  <c r="P30" i="11"/>
  <c r="O30" i="11"/>
  <c r="N30" i="11"/>
  <c r="M30" i="11"/>
  <c r="L30" i="11"/>
  <c r="K30" i="11"/>
  <c r="J30" i="11"/>
  <c r="I30" i="11"/>
  <c r="H30" i="11"/>
  <c r="G30" i="11"/>
  <c r="F30" i="11"/>
  <c r="E30" i="11"/>
  <c r="C30" i="11"/>
  <c r="R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C29" i="11"/>
  <c r="R28" i="11"/>
  <c r="P28" i="11"/>
  <c r="P26" i="11" s="1"/>
  <c r="O28" i="11"/>
  <c r="N28" i="11"/>
  <c r="M28" i="11"/>
  <c r="L28" i="11"/>
  <c r="K28" i="11"/>
  <c r="J28" i="11"/>
  <c r="I28" i="11"/>
  <c r="H28" i="11"/>
  <c r="G28" i="11"/>
  <c r="F28" i="11"/>
  <c r="E28" i="11"/>
  <c r="C28" i="11"/>
  <c r="C26" i="11"/>
  <c r="B26" i="11"/>
  <c r="C24" i="11"/>
  <c r="B24" i="11"/>
  <c r="P22" i="11"/>
  <c r="O22" i="11"/>
  <c r="N22" i="11"/>
  <c r="M22" i="11"/>
  <c r="L22" i="11"/>
  <c r="K22" i="11"/>
  <c r="J22" i="11"/>
  <c r="I22" i="11"/>
  <c r="H22" i="11"/>
  <c r="G22" i="11"/>
  <c r="F22" i="11"/>
  <c r="E22" i="11"/>
  <c r="C22" i="11"/>
  <c r="P21" i="11"/>
  <c r="O21" i="11"/>
  <c r="N21" i="11"/>
  <c r="C21" i="11"/>
  <c r="P20" i="11"/>
  <c r="O20" i="11"/>
  <c r="N20" i="11"/>
  <c r="C20" i="11"/>
  <c r="C18" i="11"/>
  <c r="B18" i="11"/>
  <c r="P16" i="11"/>
  <c r="O16" i="11"/>
  <c r="N16" i="11"/>
  <c r="M16" i="11"/>
  <c r="L16" i="11"/>
  <c r="K16" i="11"/>
  <c r="J16" i="11"/>
  <c r="I16" i="11"/>
  <c r="H16" i="11"/>
  <c r="G16" i="11"/>
  <c r="F16" i="11"/>
  <c r="E16" i="11"/>
  <c r="C16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C15" i="11"/>
  <c r="Q14" i="11"/>
  <c r="C14" i="11"/>
  <c r="C12" i="11"/>
  <c r="B12" i="11"/>
  <c r="C10" i="11"/>
  <c r="B10" i="11"/>
  <c r="R150" i="14"/>
  <c r="Q150" i="14"/>
  <c r="P150" i="14"/>
  <c r="O150" i="14"/>
  <c r="N150" i="14"/>
  <c r="M150" i="14"/>
  <c r="L150" i="14"/>
  <c r="J150" i="14"/>
  <c r="I150" i="14"/>
  <c r="H150" i="14"/>
  <c r="G150" i="14"/>
  <c r="F150" i="14"/>
  <c r="D150" i="14"/>
  <c r="F148" i="14"/>
  <c r="E148" i="14"/>
  <c r="B148" i="14" s="1"/>
  <c r="F147" i="14"/>
  <c r="E147" i="14"/>
  <c r="B147" i="14" s="1"/>
  <c r="F146" i="14"/>
  <c r="E146" i="14"/>
  <c r="B146" i="14" s="1"/>
  <c r="F145" i="14"/>
  <c r="E145" i="14"/>
  <c r="B145" i="14" s="1"/>
  <c r="R143" i="14"/>
  <c r="Q143" i="14"/>
  <c r="P143" i="14"/>
  <c r="O143" i="14"/>
  <c r="N143" i="14"/>
  <c r="M143" i="14"/>
  <c r="L143" i="14"/>
  <c r="J143" i="14"/>
  <c r="I143" i="14"/>
  <c r="H143" i="14"/>
  <c r="G143" i="14"/>
  <c r="F143" i="14"/>
  <c r="D143" i="14"/>
  <c r="F141" i="14"/>
  <c r="E141" i="14"/>
  <c r="B141" i="14" s="1"/>
  <c r="F140" i="14"/>
  <c r="E140" i="14"/>
  <c r="B140" i="14" s="1"/>
  <c r="F139" i="14"/>
  <c r="E139" i="14"/>
  <c r="B139" i="14" s="1"/>
  <c r="F138" i="14"/>
  <c r="E138" i="14"/>
  <c r="B138" i="14" s="1"/>
  <c r="O136" i="14"/>
  <c r="G136" i="14"/>
  <c r="F136" i="14"/>
  <c r="D136" i="14"/>
  <c r="R134" i="14"/>
  <c r="R136" i="14" s="1"/>
  <c r="Q134" i="14"/>
  <c r="P134" i="14"/>
  <c r="P136" i="14" s="1"/>
  <c r="O134" i="14"/>
  <c r="N134" i="14"/>
  <c r="N136" i="14" s="1"/>
  <c r="M134" i="14"/>
  <c r="L134" i="14"/>
  <c r="L136" i="14" s="1"/>
  <c r="J134" i="14"/>
  <c r="J136" i="14" s="1"/>
  <c r="I134" i="14"/>
  <c r="H134" i="14"/>
  <c r="H136" i="14" s="1"/>
  <c r="G134" i="14"/>
  <c r="F134" i="14"/>
  <c r="D134" i="14"/>
  <c r="F132" i="14"/>
  <c r="E132" i="14"/>
  <c r="B132" i="14" s="1"/>
  <c r="F131" i="14"/>
  <c r="E131" i="14"/>
  <c r="B131" i="14" s="1"/>
  <c r="F130" i="14"/>
  <c r="E130" i="14"/>
  <c r="B130" i="14" s="1"/>
  <c r="F129" i="14"/>
  <c r="E129" i="14"/>
  <c r="B129" i="14" s="1"/>
  <c r="R127" i="14"/>
  <c r="Q127" i="14"/>
  <c r="Q136" i="14" s="1"/>
  <c r="P127" i="14"/>
  <c r="O127" i="14"/>
  <c r="N127" i="14"/>
  <c r="M127" i="14"/>
  <c r="M136" i="14" s="1"/>
  <c r="L127" i="14"/>
  <c r="J127" i="14"/>
  <c r="I127" i="14"/>
  <c r="I136" i="14" s="1"/>
  <c r="H127" i="14"/>
  <c r="G127" i="14"/>
  <c r="F127" i="14"/>
  <c r="D127" i="14"/>
  <c r="S126" i="14"/>
  <c r="F125" i="14"/>
  <c r="E125" i="14"/>
  <c r="B125" i="14" s="1"/>
  <c r="F124" i="14"/>
  <c r="E124" i="14"/>
  <c r="B124" i="14" s="1"/>
  <c r="F123" i="14"/>
  <c r="E123" i="14"/>
  <c r="B123" i="14" s="1"/>
  <c r="F122" i="14"/>
  <c r="E122" i="14"/>
  <c r="B122" i="14" s="1"/>
  <c r="R120" i="14"/>
  <c r="Q120" i="14"/>
  <c r="N120" i="14"/>
  <c r="M120" i="14"/>
  <c r="J120" i="14"/>
  <c r="I120" i="14"/>
  <c r="F120" i="14"/>
  <c r="D120" i="14"/>
  <c r="R118" i="14"/>
  <c r="Q118" i="14"/>
  <c r="P118" i="14"/>
  <c r="P120" i="14" s="1"/>
  <c r="O118" i="14"/>
  <c r="O120" i="14" s="1"/>
  <c r="N118" i="14"/>
  <c r="M118" i="14"/>
  <c r="L118" i="14"/>
  <c r="L120" i="14" s="1"/>
  <c r="J118" i="14"/>
  <c r="I118" i="14"/>
  <c r="H118" i="14"/>
  <c r="H120" i="14" s="1"/>
  <c r="G118" i="14"/>
  <c r="F118" i="14"/>
  <c r="D118" i="14"/>
  <c r="F116" i="14"/>
  <c r="E116" i="14"/>
  <c r="B116" i="14" s="1"/>
  <c r="F115" i="14"/>
  <c r="E115" i="14"/>
  <c r="B115" i="14" s="1"/>
  <c r="F114" i="14"/>
  <c r="E114" i="14"/>
  <c r="B114" i="14" s="1"/>
  <c r="F113" i="14"/>
  <c r="E113" i="14"/>
  <c r="B113" i="14" s="1"/>
  <c r="F112" i="14"/>
  <c r="E112" i="14"/>
  <c r="B112" i="14" s="1"/>
  <c r="F111" i="14"/>
  <c r="E111" i="14"/>
  <c r="B111" i="14" s="1"/>
  <c r="F110" i="14"/>
  <c r="E110" i="14"/>
  <c r="B110" i="14" s="1"/>
  <c r="O108" i="14"/>
  <c r="N108" i="14"/>
  <c r="K108" i="14"/>
  <c r="J108" i="14"/>
  <c r="G108" i="14"/>
  <c r="F108" i="14"/>
  <c r="D108" i="14"/>
  <c r="R106" i="14"/>
  <c r="O106" i="14"/>
  <c r="N106" i="14"/>
  <c r="K106" i="14"/>
  <c r="J106" i="14"/>
  <c r="G106" i="14"/>
  <c r="R104" i="14"/>
  <c r="Q104" i="14"/>
  <c r="Q106" i="14" s="1"/>
  <c r="P104" i="14"/>
  <c r="P106" i="14" s="1"/>
  <c r="O104" i="14"/>
  <c r="N104" i="14"/>
  <c r="M104" i="14"/>
  <c r="M106" i="14" s="1"/>
  <c r="L104" i="14"/>
  <c r="L106" i="14" s="1"/>
  <c r="K104" i="14"/>
  <c r="J104" i="14"/>
  <c r="I104" i="14"/>
  <c r="I106" i="14" s="1"/>
  <c r="H104" i="14"/>
  <c r="H106" i="14" s="1"/>
  <c r="G104" i="14"/>
  <c r="S104" i="14" s="1"/>
  <c r="F104" i="14"/>
  <c r="D104" i="14"/>
  <c r="S102" i="14"/>
  <c r="S101" i="14"/>
  <c r="S100" i="14"/>
  <c r="S99" i="14"/>
  <c r="S98" i="14"/>
  <c r="S97" i="14"/>
  <c r="S96" i="14"/>
  <c r="S95" i="14"/>
  <c r="R93" i="14"/>
  <c r="Q93" i="14"/>
  <c r="P93" i="14"/>
  <c r="O93" i="14"/>
  <c r="N93" i="14"/>
  <c r="M93" i="14"/>
  <c r="M108" i="14" s="1"/>
  <c r="L93" i="14"/>
  <c r="K93" i="14"/>
  <c r="J93" i="14"/>
  <c r="I93" i="14"/>
  <c r="I108" i="14" s="1"/>
  <c r="H93" i="14"/>
  <c r="G93" i="14"/>
  <c r="S93" i="14" s="1"/>
  <c r="F93" i="14"/>
  <c r="D93" i="14"/>
  <c r="S91" i="14"/>
  <c r="F91" i="14"/>
  <c r="E91" i="14"/>
  <c r="B91" i="14" s="1"/>
  <c r="S90" i="14"/>
  <c r="F90" i="14"/>
  <c r="E90" i="14"/>
  <c r="B90" i="14" s="1"/>
  <c r="S89" i="14"/>
  <c r="F89" i="14"/>
  <c r="E89" i="14"/>
  <c r="B89" i="14" s="1"/>
  <c r="S88" i="14"/>
  <c r="F88" i="14"/>
  <c r="E88" i="14"/>
  <c r="B88" i="14" s="1"/>
  <c r="S87" i="14"/>
  <c r="F87" i="14"/>
  <c r="E87" i="14"/>
  <c r="B87" i="14" s="1"/>
  <c r="S86" i="14"/>
  <c r="F86" i="14"/>
  <c r="E86" i="14"/>
  <c r="B86" i="14" s="1"/>
  <c r="S85" i="14"/>
  <c r="F85" i="14"/>
  <c r="E85" i="14"/>
  <c r="B85" i="14" s="1"/>
  <c r="S84" i="14"/>
  <c r="F84" i="14"/>
  <c r="E84" i="14"/>
  <c r="B84" i="14" s="1"/>
  <c r="R82" i="14"/>
  <c r="R108" i="14" s="1"/>
  <c r="Q82" i="14"/>
  <c r="Q108" i="14" s="1"/>
  <c r="P82" i="14"/>
  <c r="P108" i="14" s="1"/>
  <c r="S77" i="14"/>
  <c r="F73" i="14"/>
  <c r="D73" i="14"/>
  <c r="Y71" i="14"/>
  <c r="X71" i="14"/>
  <c r="W71" i="14"/>
  <c r="V71" i="14"/>
  <c r="G71" i="14"/>
  <c r="F71" i="14"/>
  <c r="E71" i="14"/>
  <c r="B71" i="14" s="1"/>
  <c r="Y70" i="14"/>
  <c r="X70" i="14"/>
  <c r="W70" i="14"/>
  <c r="V70" i="14"/>
  <c r="G70" i="14"/>
  <c r="F70" i="14"/>
  <c r="E70" i="14"/>
  <c r="B70" i="14" s="1"/>
  <c r="Y69" i="14"/>
  <c r="X69" i="14"/>
  <c r="W69" i="14"/>
  <c r="V69" i="14"/>
  <c r="G69" i="14"/>
  <c r="F69" i="14"/>
  <c r="E69" i="14"/>
  <c r="B69" i="14" s="1"/>
  <c r="Y68" i="14"/>
  <c r="X68" i="14"/>
  <c r="W68" i="14"/>
  <c r="V68" i="14"/>
  <c r="G68" i="14"/>
  <c r="F68" i="14"/>
  <c r="E68" i="14"/>
  <c r="B68" i="14" s="1"/>
  <c r="U66" i="14"/>
  <c r="F66" i="14"/>
  <c r="D66" i="14"/>
  <c r="Y64" i="14"/>
  <c r="X64" i="14"/>
  <c r="W64" i="14"/>
  <c r="V64" i="14"/>
  <c r="G64" i="14"/>
  <c r="F64" i="14"/>
  <c r="E64" i="14"/>
  <c r="B64" i="14" s="1"/>
  <c r="Y63" i="14"/>
  <c r="X63" i="14"/>
  <c r="W63" i="14"/>
  <c r="V63" i="14"/>
  <c r="G63" i="14"/>
  <c r="F63" i="14"/>
  <c r="E63" i="14"/>
  <c r="B63" i="14" s="1"/>
  <c r="Y62" i="14"/>
  <c r="X62" i="14"/>
  <c r="W62" i="14"/>
  <c r="V62" i="14"/>
  <c r="G62" i="14"/>
  <c r="F62" i="14"/>
  <c r="E62" i="14"/>
  <c r="B62" i="14" s="1"/>
  <c r="Y61" i="14"/>
  <c r="X61" i="14"/>
  <c r="W61" i="14"/>
  <c r="V61" i="14"/>
  <c r="G61" i="14"/>
  <c r="F61" i="14"/>
  <c r="E61" i="14"/>
  <c r="B61" i="14" s="1"/>
  <c r="Y59" i="14"/>
  <c r="X59" i="14"/>
  <c r="W59" i="14"/>
  <c r="V59" i="14"/>
  <c r="U59" i="14"/>
  <c r="F59" i="14"/>
  <c r="D59" i="14"/>
  <c r="F57" i="14"/>
  <c r="D57" i="14"/>
  <c r="Y55" i="14"/>
  <c r="X55" i="14"/>
  <c r="W55" i="14"/>
  <c r="V55" i="14"/>
  <c r="G55" i="14"/>
  <c r="F55" i="14"/>
  <c r="E55" i="14"/>
  <c r="B55" i="14" s="1"/>
  <c r="Y54" i="14"/>
  <c r="X54" i="14"/>
  <c r="W54" i="14"/>
  <c r="V54" i="14"/>
  <c r="G54" i="14"/>
  <c r="F54" i="14"/>
  <c r="E54" i="14"/>
  <c r="B54" i="14" s="1"/>
  <c r="Y53" i="14"/>
  <c r="X53" i="14"/>
  <c r="W53" i="14"/>
  <c r="V53" i="14"/>
  <c r="G53" i="14"/>
  <c r="F53" i="14"/>
  <c r="E53" i="14"/>
  <c r="B53" i="14" s="1"/>
  <c r="Y52" i="14"/>
  <c r="X52" i="14"/>
  <c r="W52" i="14"/>
  <c r="V52" i="14"/>
  <c r="G52" i="14"/>
  <c r="F52" i="14"/>
  <c r="E52" i="14"/>
  <c r="B52" i="14" s="1"/>
  <c r="F50" i="14"/>
  <c r="D50" i="14"/>
  <c r="Y48" i="14"/>
  <c r="X48" i="14"/>
  <c r="W48" i="14"/>
  <c r="V48" i="14"/>
  <c r="G48" i="14"/>
  <c r="F48" i="14"/>
  <c r="E48" i="14"/>
  <c r="B48" i="14" s="1"/>
  <c r="Y47" i="14"/>
  <c r="X47" i="14"/>
  <c r="W47" i="14"/>
  <c r="V47" i="14"/>
  <c r="G47" i="14"/>
  <c r="F47" i="14"/>
  <c r="E47" i="14"/>
  <c r="B47" i="14" s="1"/>
  <c r="Y46" i="14"/>
  <c r="X46" i="14"/>
  <c r="W46" i="14"/>
  <c r="V46" i="14"/>
  <c r="G46" i="14"/>
  <c r="F46" i="14"/>
  <c r="E46" i="14"/>
  <c r="B46" i="14" s="1"/>
  <c r="Y45" i="14"/>
  <c r="X45" i="14"/>
  <c r="W45" i="14"/>
  <c r="V45" i="14"/>
  <c r="G45" i="14"/>
  <c r="F45" i="14"/>
  <c r="E45" i="14"/>
  <c r="B45" i="14" s="1"/>
  <c r="F43" i="14"/>
  <c r="D43" i="14"/>
  <c r="F41" i="14"/>
  <c r="D41" i="14"/>
  <c r="Y39" i="14"/>
  <c r="X39" i="14"/>
  <c r="W39" i="14"/>
  <c r="V39" i="14"/>
  <c r="G39" i="14"/>
  <c r="F39" i="14"/>
  <c r="E39" i="14"/>
  <c r="B39" i="14" s="1"/>
  <c r="Y38" i="14"/>
  <c r="X38" i="14"/>
  <c r="W38" i="14"/>
  <c r="V38" i="14"/>
  <c r="G38" i="14"/>
  <c r="F38" i="14"/>
  <c r="E38" i="14"/>
  <c r="B38" i="14" s="1"/>
  <c r="Y37" i="14"/>
  <c r="X37" i="14"/>
  <c r="W37" i="14"/>
  <c r="V37" i="14"/>
  <c r="G37" i="14"/>
  <c r="F37" i="14"/>
  <c r="E37" i="14"/>
  <c r="B37" i="14" s="1"/>
  <c r="Y36" i="14"/>
  <c r="X36" i="14"/>
  <c r="W36" i="14"/>
  <c r="V36" i="14"/>
  <c r="G36" i="14"/>
  <c r="F36" i="14"/>
  <c r="E36" i="14"/>
  <c r="B36" i="14" s="1"/>
  <c r="Y35" i="14"/>
  <c r="X35" i="14"/>
  <c r="W35" i="14"/>
  <c r="V35" i="14"/>
  <c r="G35" i="14"/>
  <c r="F35" i="14"/>
  <c r="E35" i="14"/>
  <c r="B35" i="14" s="1"/>
  <c r="Y34" i="14"/>
  <c r="X34" i="14"/>
  <c r="W34" i="14"/>
  <c r="V34" i="14"/>
  <c r="G34" i="14"/>
  <c r="F34" i="14"/>
  <c r="E34" i="14"/>
  <c r="B34" i="14" s="1"/>
  <c r="Y33" i="14"/>
  <c r="X33" i="14"/>
  <c r="W33" i="14"/>
  <c r="V33" i="14"/>
  <c r="G33" i="14"/>
  <c r="F33" i="14"/>
  <c r="E33" i="14"/>
  <c r="B33" i="14" s="1"/>
  <c r="Y31" i="14"/>
  <c r="X31" i="14"/>
  <c r="W31" i="14"/>
  <c r="V31" i="14"/>
  <c r="U31" i="14"/>
  <c r="F31" i="14"/>
  <c r="D31" i="14"/>
  <c r="F29" i="14"/>
  <c r="D29" i="14"/>
  <c r="R27" i="14"/>
  <c r="Q27" i="14"/>
  <c r="P27" i="14"/>
  <c r="O27" i="14"/>
  <c r="N27" i="14"/>
  <c r="M27" i="14"/>
  <c r="L27" i="14"/>
  <c r="K27" i="14"/>
  <c r="J27" i="14"/>
  <c r="I27" i="14"/>
  <c r="H27" i="14"/>
  <c r="G27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R25" i="14"/>
  <c r="Q25" i="14"/>
  <c r="P25" i="14"/>
  <c r="O25" i="14"/>
  <c r="N25" i="14"/>
  <c r="M25" i="14"/>
  <c r="L25" i="14"/>
  <c r="K25" i="14"/>
  <c r="J25" i="14"/>
  <c r="I25" i="14"/>
  <c r="H25" i="14"/>
  <c r="G25" i="14"/>
  <c r="R24" i="14"/>
  <c r="Q24" i="14"/>
  <c r="P24" i="14"/>
  <c r="O24" i="14"/>
  <c r="N24" i="14"/>
  <c r="M24" i="14"/>
  <c r="L24" i="14"/>
  <c r="K24" i="14"/>
  <c r="J24" i="14"/>
  <c r="I24" i="14"/>
  <c r="H24" i="14"/>
  <c r="G24" i="14"/>
  <c r="R23" i="14"/>
  <c r="Q23" i="14"/>
  <c r="P23" i="14"/>
  <c r="O23" i="14"/>
  <c r="N23" i="14"/>
  <c r="M23" i="14"/>
  <c r="L23" i="14"/>
  <c r="K23" i="14"/>
  <c r="J23" i="14"/>
  <c r="I23" i="14"/>
  <c r="H23" i="14"/>
  <c r="G23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R21" i="14"/>
  <c r="Q21" i="14"/>
  <c r="P21" i="14"/>
  <c r="O21" i="14"/>
  <c r="N21" i="14"/>
  <c r="M21" i="14"/>
  <c r="L21" i="14"/>
  <c r="K21" i="14"/>
  <c r="J21" i="14"/>
  <c r="I21" i="14"/>
  <c r="H21" i="14"/>
  <c r="G21" i="14"/>
  <c r="R20" i="14"/>
  <c r="Q20" i="14"/>
  <c r="Q29" i="14" s="1"/>
  <c r="P20" i="14"/>
  <c r="O20" i="14"/>
  <c r="N20" i="14"/>
  <c r="M20" i="14"/>
  <c r="M29" i="14" s="1"/>
  <c r="L20" i="14"/>
  <c r="K20" i="14"/>
  <c r="J20" i="14"/>
  <c r="I20" i="14"/>
  <c r="I29" i="14" s="1"/>
  <c r="H20" i="14"/>
  <c r="G20" i="14"/>
  <c r="F18" i="14"/>
  <c r="D18" i="14"/>
  <c r="R16" i="14"/>
  <c r="Q16" i="14"/>
  <c r="P16" i="14"/>
  <c r="O16" i="14"/>
  <c r="N16" i="14"/>
  <c r="M16" i="14"/>
  <c r="L16" i="14"/>
  <c r="K16" i="14"/>
  <c r="J16" i="14"/>
  <c r="I16" i="14"/>
  <c r="H16" i="14"/>
  <c r="G16" i="14"/>
  <c r="F16" i="14"/>
  <c r="E16" i="14"/>
  <c r="B16" i="14" s="1"/>
  <c r="R15" i="14"/>
  <c r="Q15" i="14"/>
  <c r="P15" i="14"/>
  <c r="O15" i="14"/>
  <c r="N15" i="14"/>
  <c r="M15" i="14"/>
  <c r="L15" i="14"/>
  <c r="K15" i="14"/>
  <c r="J15" i="14"/>
  <c r="I15" i="14"/>
  <c r="H15" i="14"/>
  <c r="G15" i="14"/>
  <c r="F15" i="14"/>
  <c r="E15" i="14"/>
  <c r="B15" i="14" s="1"/>
  <c r="R14" i="14"/>
  <c r="Q14" i="14"/>
  <c r="P14" i="14"/>
  <c r="O14" i="14"/>
  <c r="N14" i="14"/>
  <c r="M14" i="14"/>
  <c r="L14" i="14"/>
  <c r="K14" i="14"/>
  <c r="J14" i="14"/>
  <c r="I14" i="14"/>
  <c r="H14" i="14"/>
  <c r="G14" i="14"/>
  <c r="F14" i="14"/>
  <c r="E14" i="14"/>
  <c r="B14" i="14" s="1"/>
  <c r="R13" i="14"/>
  <c r="Q13" i="14"/>
  <c r="P13" i="14"/>
  <c r="O13" i="14"/>
  <c r="N13" i="14"/>
  <c r="M13" i="14"/>
  <c r="L13" i="14"/>
  <c r="K13" i="14"/>
  <c r="J13" i="14"/>
  <c r="I13" i="14"/>
  <c r="H13" i="14"/>
  <c r="G13" i="14"/>
  <c r="F13" i="14"/>
  <c r="E13" i="14"/>
  <c r="B13" i="14" s="1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E12" i="14"/>
  <c r="B12" i="14" s="1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B11" i="14" s="1"/>
  <c r="R10" i="14"/>
  <c r="Q10" i="14"/>
  <c r="P10" i="14"/>
  <c r="O10" i="14"/>
  <c r="N10" i="14"/>
  <c r="M10" i="14"/>
  <c r="L10" i="14"/>
  <c r="K10" i="14"/>
  <c r="J10" i="14"/>
  <c r="I10" i="14"/>
  <c r="H10" i="14"/>
  <c r="G10" i="14"/>
  <c r="F10" i="14"/>
  <c r="E10" i="14"/>
  <c r="B10" i="14" s="1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B9" i="14" s="1"/>
  <c r="H26" i="11" l="1"/>
  <c r="H54" i="14"/>
  <c r="I54" i="14" s="1"/>
  <c r="J54" i="14" s="1"/>
  <c r="K54" i="14" s="1"/>
  <c r="K131" i="14" s="1"/>
  <c r="S131" i="14" s="1"/>
  <c r="G26" i="11"/>
  <c r="K26" i="11"/>
  <c r="H63" i="14"/>
  <c r="I63" i="14" s="1"/>
  <c r="J63" i="14" s="1"/>
  <c r="K63" i="14" s="1"/>
  <c r="L63" i="14" s="1"/>
  <c r="M63" i="14" s="1"/>
  <c r="N63" i="14" s="1"/>
  <c r="O63" i="14" s="1"/>
  <c r="P63" i="14" s="1"/>
  <c r="Q63" i="14" s="1"/>
  <c r="R63" i="14" s="1"/>
  <c r="K18" i="14"/>
  <c r="H61" i="14"/>
  <c r="S10" i="14"/>
  <c r="O18" i="14"/>
  <c r="F26" i="11"/>
  <c r="J26" i="11"/>
  <c r="J18" i="14"/>
  <c r="N18" i="14"/>
  <c r="R18" i="14"/>
  <c r="H45" i="14"/>
  <c r="H71" i="14"/>
  <c r="I71" i="14" s="1"/>
  <c r="J71" i="14" s="1"/>
  <c r="K71" i="14" s="1"/>
  <c r="L71" i="14" s="1"/>
  <c r="M71" i="14" s="1"/>
  <c r="N71" i="14" s="1"/>
  <c r="O71" i="14" s="1"/>
  <c r="P71" i="14" s="1"/>
  <c r="Q71" i="14" s="1"/>
  <c r="R71" i="14" s="1"/>
  <c r="H47" i="14"/>
  <c r="I47" i="14" s="1"/>
  <c r="J47" i="14" s="1"/>
  <c r="K47" i="14" s="1"/>
  <c r="L47" i="14" s="1"/>
  <c r="M47" i="14" s="1"/>
  <c r="N47" i="14" s="1"/>
  <c r="O47" i="14" s="1"/>
  <c r="P47" i="14" s="1"/>
  <c r="Q47" i="14" s="1"/>
  <c r="R47" i="14" s="1"/>
  <c r="H62" i="14"/>
  <c r="I62" i="14" s="1"/>
  <c r="J62" i="14" s="1"/>
  <c r="K62" i="14" s="1"/>
  <c r="K139" i="14" s="1"/>
  <c r="S139" i="14" s="1"/>
  <c r="G50" i="14"/>
  <c r="H48" i="14"/>
  <c r="I48" i="14" s="1"/>
  <c r="J48" i="14" s="1"/>
  <c r="K48" i="14" s="1"/>
  <c r="K125" i="14" s="1"/>
  <c r="S125" i="14" s="1"/>
  <c r="H68" i="14"/>
  <c r="I68" i="14" s="1"/>
  <c r="H69" i="14"/>
  <c r="I69" i="14" s="1"/>
  <c r="J69" i="14" s="1"/>
  <c r="K69" i="14" s="1"/>
  <c r="K146" i="14" s="1"/>
  <c r="S146" i="14" s="1"/>
  <c r="H70" i="14"/>
  <c r="I70" i="14" s="1"/>
  <c r="J70" i="14" s="1"/>
  <c r="K70" i="14" s="1"/>
  <c r="L70" i="14" s="1"/>
  <c r="M70" i="14" s="1"/>
  <c r="N70" i="14" s="1"/>
  <c r="O70" i="14" s="1"/>
  <c r="P70" i="14" s="1"/>
  <c r="Q70" i="14" s="1"/>
  <c r="R70" i="14" s="1"/>
  <c r="N26" i="11"/>
  <c r="S15" i="14"/>
  <c r="G57" i="14"/>
  <c r="Y66" i="14"/>
  <c r="Q15" i="11"/>
  <c r="I18" i="14"/>
  <c r="I31" i="14" s="1"/>
  <c r="M18" i="14"/>
  <c r="M31" i="14" s="1"/>
  <c r="Q18" i="14"/>
  <c r="Q31" i="14" s="1"/>
  <c r="S11" i="14"/>
  <c r="S14" i="14"/>
  <c r="G18" i="14"/>
  <c r="S23" i="14"/>
  <c r="H46" i="14"/>
  <c r="I46" i="14" s="1"/>
  <c r="J46" i="14" s="1"/>
  <c r="K46" i="14" s="1"/>
  <c r="L46" i="14" s="1"/>
  <c r="M46" i="14" s="1"/>
  <c r="N46" i="14" s="1"/>
  <c r="O46" i="14" s="1"/>
  <c r="P46" i="14" s="1"/>
  <c r="Q46" i="14" s="1"/>
  <c r="R46" i="14" s="1"/>
  <c r="H55" i="14"/>
  <c r="I55" i="14" s="1"/>
  <c r="J55" i="14" s="1"/>
  <c r="K55" i="14" s="1"/>
  <c r="K132" i="14" s="1"/>
  <c r="S132" i="14" s="1"/>
  <c r="V66" i="14"/>
  <c r="S82" i="14"/>
  <c r="S108" i="14" s="1"/>
  <c r="U99" i="14" s="1"/>
  <c r="L26" i="11"/>
  <c r="N29" i="14"/>
  <c r="J29" i="14"/>
  <c r="R29" i="14"/>
  <c r="S21" i="14"/>
  <c r="K29" i="14"/>
  <c r="S22" i="14"/>
  <c r="S24" i="14"/>
  <c r="G29" i="14"/>
  <c r="O29" i="14"/>
  <c r="S26" i="14"/>
  <c r="H33" i="14"/>
  <c r="I33" i="14" s="1"/>
  <c r="J33" i="14" s="1"/>
  <c r="H34" i="14"/>
  <c r="I34" i="14" s="1"/>
  <c r="J34" i="14" s="1"/>
  <c r="K34" i="14" s="1"/>
  <c r="H35" i="14"/>
  <c r="I35" i="14" s="1"/>
  <c r="J35" i="14" s="1"/>
  <c r="K35" i="14" s="1"/>
  <c r="L35" i="14" s="1"/>
  <c r="M35" i="14" s="1"/>
  <c r="N35" i="14" s="1"/>
  <c r="O35" i="14" s="1"/>
  <c r="P35" i="14" s="1"/>
  <c r="Q35" i="14" s="1"/>
  <c r="R35" i="14" s="1"/>
  <c r="H36" i="14"/>
  <c r="I36" i="14" s="1"/>
  <c r="J36" i="14" s="1"/>
  <c r="K36" i="14" s="1"/>
  <c r="H37" i="14"/>
  <c r="I37" i="14" s="1"/>
  <c r="J37" i="14" s="1"/>
  <c r="K37" i="14" s="1"/>
  <c r="L37" i="14" s="1"/>
  <c r="M37" i="14" s="1"/>
  <c r="N37" i="14" s="1"/>
  <c r="O37" i="14" s="1"/>
  <c r="P37" i="14" s="1"/>
  <c r="Q37" i="14" s="1"/>
  <c r="R37" i="14" s="1"/>
  <c r="H38" i="14"/>
  <c r="I38" i="14" s="1"/>
  <c r="J38" i="14" s="1"/>
  <c r="K38" i="14" s="1"/>
  <c r="H39" i="14"/>
  <c r="I39" i="14" s="1"/>
  <c r="J39" i="14" s="1"/>
  <c r="K39" i="14" s="1"/>
  <c r="L39" i="14" s="1"/>
  <c r="M39" i="14" s="1"/>
  <c r="N39" i="14" s="1"/>
  <c r="O39" i="14" s="1"/>
  <c r="P39" i="14" s="1"/>
  <c r="Q39" i="14" s="1"/>
  <c r="R39" i="14" s="1"/>
  <c r="H52" i="14"/>
  <c r="I52" i="14" s="1"/>
  <c r="J52" i="14" s="1"/>
  <c r="K52" i="14" s="1"/>
  <c r="H53" i="14"/>
  <c r="I53" i="14" s="1"/>
  <c r="J53" i="14" s="1"/>
  <c r="K53" i="14" s="1"/>
  <c r="L53" i="14" s="1"/>
  <c r="M53" i="14" s="1"/>
  <c r="N53" i="14" s="1"/>
  <c r="O53" i="14" s="1"/>
  <c r="P53" i="14" s="1"/>
  <c r="Q53" i="14" s="1"/>
  <c r="R53" i="14" s="1"/>
  <c r="X66" i="14"/>
  <c r="H64" i="14"/>
  <c r="I64" i="14" s="1"/>
  <c r="J64" i="14" s="1"/>
  <c r="K64" i="14" s="1"/>
  <c r="K141" i="14" s="1"/>
  <c r="S141" i="14" s="1"/>
  <c r="O26" i="11"/>
  <c r="Q29" i="11"/>
  <c r="Q31" i="11"/>
  <c r="Q33" i="11"/>
  <c r="Q40" i="11"/>
  <c r="Q16" i="11"/>
  <c r="Q41" i="11"/>
  <c r="Q20" i="11"/>
  <c r="Q28" i="11"/>
  <c r="I26" i="11"/>
  <c r="M26" i="11"/>
  <c r="Q30" i="11"/>
  <c r="Q32" i="11"/>
  <c r="Q34" i="11"/>
  <c r="Q42" i="11"/>
  <c r="Q21" i="11"/>
  <c r="Q22" i="11"/>
  <c r="Q43" i="11"/>
  <c r="R26" i="11"/>
  <c r="S29" i="11" s="1"/>
  <c r="K130" i="14"/>
  <c r="S130" i="14" s="1"/>
  <c r="S25" i="14"/>
  <c r="G41" i="14"/>
  <c r="S20" i="14"/>
  <c r="S27" i="14"/>
  <c r="I61" i="14"/>
  <c r="L69" i="14"/>
  <c r="M69" i="14" s="1"/>
  <c r="N69" i="14" s="1"/>
  <c r="O69" i="14" s="1"/>
  <c r="P69" i="14" s="1"/>
  <c r="Q69" i="14" s="1"/>
  <c r="R69" i="14" s="1"/>
  <c r="P152" i="14"/>
  <c r="J152" i="14"/>
  <c r="S9" i="14"/>
  <c r="S13" i="14"/>
  <c r="H18" i="14"/>
  <c r="L18" i="14"/>
  <c r="P18" i="14"/>
  <c r="S12" i="14"/>
  <c r="S16" i="14"/>
  <c r="H29" i="14"/>
  <c r="L29" i="14"/>
  <c r="P29" i="14"/>
  <c r="I152" i="14"/>
  <c r="S106" i="14"/>
  <c r="O152" i="14"/>
  <c r="W66" i="14"/>
  <c r="U84" i="14"/>
  <c r="H108" i="14"/>
  <c r="H152" i="14" s="1"/>
  <c r="L108" i="14"/>
  <c r="L152" i="14" s="1"/>
  <c r="N152" i="14"/>
  <c r="R152" i="14"/>
  <c r="M152" i="14"/>
  <c r="Q152" i="14"/>
  <c r="G66" i="14"/>
  <c r="G73" i="14"/>
  <c r="G120" i="14"/>
  <c r="G152" i="14" s="1"/>
  <c r="K147" i="14" l="1"/>
  <c r="S147" i="14" s="1"/>
  <c r="K124" i="14"/>
  <c r="S124" i="14" s="1"/>
  <c r="L48" i="14"/>
  <c r="M48" i="14" s="1"/>
  <c r="N48" i="14" s="1"/>
  <c r="O48" i="14" s="1"/>
  <c r="P48" i="14" s="1"/>
  <c r="Q48" i="14" s="1"/>
  <c r="R48" i="14" s="1"/>
  <c r="K140" i="14"/>
  <c r="S140" i="14" s="1"/>
  <c r="K148" i="14"/>
  <c r="S148" i="14" s="1"/>
  <c r="K123" i="14"/>
  <c r="S123" i="14" s="1"/>
  <c r="I57" i="14"/>
  <c r="L55" i="14"/>
  <c r="M55" i="14" s="1"/>
  <c r="N55" i="14" s="1"/>
  <c r="O55" i="14" s="1"/>
  <c r="P55" i="14" s="1"/>
  <c r="Q55" i="14" s="1"/>
  <c r="R55" i="14" s="1"/>
  <c r="O31" i="14"/>
  <c r="K31" i="14"/>
  <c r="N31" i="14"/>
  <c r="H50" i="14"/>
  <c r="K116" i="14"/>
  <c r="S116" i="14" s="1"/>
  <c r="G31" i="14"/>
  <c r="K112" i="14"/>
  <c r="S112" i="14" s="1"/>
  <c r="R31" i="14"/>
  <c r="L54" i="14"/>
  <c r="M54" i="14" s="1"/>
  <c r="N54" i="14" s="1"/>
  <c r="O54" i="14" s="1"/>
  <c r="P54" i="14" s="1"/>
  <c r="Q54" i="14" s="1"/>
  <c r="R54" i="14" s="1"/>
  <c r="H66" i="14"/>
  <c r="H41" i="14"/>
  <c r="H43" i="14" s="1"/>
  <c r="K114" i="14"/>
  <c r="S114" i="14" s="1"/>
  <c r="L62" i="14"/>
  <c r="M62" i="14" s="1"/>
  <c r="N62" i="14" s="1"/>
  <c r="O62" i="14" s="1"/>
  <c r="P62" i="14" s="1"/>
  <c r="Q62" i="14" s="1"/>
  <c r="R62" i="14" s="1"/>
  <c r="S62" i="14" s="1"/>
  <c r="S63" i="14"/>
  <c r="L31" i="14"/>
  <c r="G59" i="14"/>
  <c r="L64" i="14"/>
  <c r="M64" i="14" s="1"/>
  <c r="N64" i="14" s="1"/>
  <c r="O64" i="14" s="1"/>
  <c r="P64" i="14" s="1"/>
  <c r="Q64" i="14" s="1"/>
  <c r="R64" i="14" s="1"/>
  <c r="S39" i="14"/>
  <c r="J31" i="14"/>
  <c r="H73" i="14"/>
  <c r="I45" i="14"/>
  <c r="I50" i="14" s="1"/>
  <c r="J57" i="14"/>
  <c r="S47" i="14"/>
  <c r="S37" i="14"/>
  <c r="S53" i="14"/>
  <c r="H57" i="14"/>
  <c r="S32" i="11"/>
  <c r="U101" i="14"/>
  <c r="H31" i="14"/>
  <c r="S18" i="14"/>
  <c r="I41" i="14"/>
  <c r="I43" i="14" s="1"/>
  <c r="Q26" i="11"/>
  <c r="S33" i="11"/>
  <c r="S34" i="11"/>
  <c r="S30" i="11"/>
  <c r="S31" i="11"/>
  <c r="S28" i="11"/>
  <c r="E26" i="11" s="1"/>
  <c r="U91" i="14"/>
  <c r="U87" i="14"/>
  <c r="J68" i="14"/>
  <c r="I73" i="14"/>
  <c r="K57" i="14"/>
  <c r="K129" i="14"/>
  <c r="L52" i="14"/>
  <c r="K115" i="14"/>
  <c r="S115" i="14" s="1"/>
  <c r="L38" i="14"/>
  <c r="M38" i="14" s="1"/>
  <c r="N38" i="14" s="1"/>
  <c r="O38" i="14" s="1"/>
  <c r="P38" i="14" s="1"/>
  <c r="Q38" i="14" s="1"/>
  <c r="R38" i="14" s="1"/>
  <c r="U97" i="14"/>
  <c r="U95" i="14"/>
  <c r="S71" i="14"/>
  <c r="U90" i="14"/>
  <c r="S35" i="14"/>
  <c r="G43" i="14"/>
  <c r="U89" i="14"/>
  <c r="U100" i="14"/>
  <c r="U96" i="14"/>
  <c r="U102" i="14"/>
  <c r="U98" i="14"/>
  <c r="J41" i="14"/>
  <c r="J43" i="14" s="1"/>
  <c r="K33" i="14"/>
  <c r="S29" i="14"/>
  <c r="U88" i="14"/>
  <c r="U93" i="14" s="1"/>
  <c r="U85" i="14"/>
  <c r="U86" i="14"/>
  <c r="S69" i="14"/>
  <c r="P31" i="14"/>
  <c r="S46" i="14"/>
  <c r="J61" i="14"/>
  <c r="I66" i="14"/>
  <c r="S70" i="14"/>
  <c r="L36" i="14"/>
  <c r="K113" i="14"/>
  <c r="S113" i="14" s="1"/>
  <c r="K111" i="14"/>
  <c r="S111" i="14" s="1"/>
  <c r="L34" i="14"/>
  <c r="S48" i="14" l="1"/>
  <c r="S55" i="14"/>
  <c r="H59" i="14"/>
  <c r="H75" i="14" s="1"/>
  <c r="I59" i="14"/>
  <c r="I75" i="14" s="1"/>
  <c r="S54" i="14"/>
  <c r="J45" i="14"/>
  <c r="K45" i="14" s="1"/>
  <c r="S64" i="14"/>
  <c r="S31" i="14"/>
  <c r="S38" i="14"/>
  <c r="M34" i="14"/>
  <c r="N34" i="14" s="1"/>
  <c r="O34" i="14" s="1"/>
  <c r="P34" i="14" s="1"/>
  <c r="Q34" i="14" s="1"/>
  <c r="R34" i="14" s="1"/>
  <c r="U104" i="14"/>
  <c r="U106" i="14" s="1"/>
  <c r="K61" i="14"/>
  <c r="J66" i="14"/>
  <c r="L57" i="14"/>
  <c r="M52" i="14"/>
  <c r="K68" i="14"/>
  <c r="J73" i="14"/>
  <c r="S129" i="14"/>
  <c r="K134" i="14"/>
  <c r="M36" i="14"/>
  <c r="N36" i="14" s="1"/>
  <c r="O36" i="14" s="1"/>
  <c r="P36" i="14" s="1"/>
  <c r="Q36" i="14" s="1"/>
  <c r="R36" i="14" s="1"/>
  <c r="K110" i="14"/>
  <c r="L33" i="14"/>
  <c r="K41" i="14"/>
  <c r="K43" i="14" s="1"/>
  <c r="G75" i="14"/>
  <c r="J50" i="14" l="1"/>
  <c r="J59" i="14" s="1"/>
  <c r="J75" i="14" s="1"/>
  <c r="S34" i="14"/>
  <c r="S134" i="14"/>
  <c r="S36" i="14"/>
  <c r="K145" i="14"/>
  <c r="K73" i="14"/>
  <c r="L68" i="14"/>
  <c r="M57" i="14"/>
  <c r="N52" i="14"/>
  <c r="K66" i="14"/>
  <c r="L61" i="14"/>
  <c r="K138" i="14"/>
  <c r="K118" i="14"/>
  <c r="S110" i="14"/>
  <c r="K122" i="14"/>
  <c r="K50" i="14"/>
  <c r="K59" i="14" s="1"/>
  <c r="L45" i="14"/>
  <c r="M33" i="14"/>
  <c r="L41" i="14"/>
  <c r="L43" i="14" s="1"/>
  <c r="N57" i="14" l="1"/>
  <c r="O52" i="14"/>
  <c r="K75" i="14"/>
  <c r="M41" i="14"/>
  <c r="M43" i="14" s="1"/>
  <c r="N33" i="14"/>
  <c r="S122" i="14"/>
  <c r="K127" i="14"/>
  <c r="L66" i="14"/>
  <c r="M61" i="14"/>
  <c r="K150" i="14"/>
  <c r="S145" i="14"/>
  <c r="K143" i="14"/>
  <c r="S143" i="14" s="1"/>
  <c r="S138" i="14"/>
  <c r="L50" i="14"/>
  <c r="L59" i="14" s="1"/>
  <c r="M45" i="14"/>
  <c r="K120" i="14"/>
  <c r="S118" i="14"/>
  <c r="S120" i="14" s="1"/>
  <c r="L73" i="14"/>
  <c r="M68" i="14"/>
  <c r="N68" i="14" l="1"/>
  <c r="M73" i="14"/>
  <c r="S127" i="14"/>
  <c r="K136" i="14"/>
  <c r="S136" i="14" s="1"/>
  <c r="L75" i="14"/>
  <c r="N45" i="14"/>
  <c r="M50" i="14"/>
  <c r="M59" i="14" s="1"/>
  <c r="O57" i="14"/>
  <c r="P52" i="14"/>
  <c r="N61" i="14"/>
  <c r="M66" i="14"/>
  <c r="N41" i="14"/>
  <c r="O33" i="14"/>
  <c r="S150" i="14"/>
  <c r="K152" i="14" l="1"/>
  <c r="S152" i="14" s="1"/>
  <c r="P57" i="14"/>
  <c r="Q52" i="14"/>
  <c r="N43" i="14"/>
  <c r="M75" i="14"/>
  <c r="P33" i="14"/>
  <c r="O41" i="14"/>
  <c r="O43" i="14" s="1"/>
  <c r="O45" i="14"/>
  <c r="N50" i="14"/>
  <c r="N59" i="14" s="1"/>
  <c r="O68" i="14"/>
  <c r="N73" i="14"/>
  <c r="O61" i="14"/>
  <c r="N66" i="14"/>
  <c r="O73" i="14" l="1"/>
  <c r="P68" i="14"/>
  <c r="O66" i="14"/>
  <c r="P61" i="14"/>
  <c r="Q33" i="14"/>
  <c r="P41" i="14"/>
  <c r="P43" i="14" s="1"/>
  <c r="O50" i="14"/>
  <c r="O59" i="14" s="1"/>
  <c r="P45" i="14"/>
  <c r="Q57" i="14"/>
  <c r="R52" i="14"/>
  <c r="N75" i="14"/>
  <c r="P152" i="43" l="1"/>
  <c r="P66" i="14"/>
  <c r="Q61" i="14"/>
  <c r="R57" i="14"/>
  <c r="S52" i="14"/>
  <c r="Q41" i="14"/>
  <c r="Q43" i="14" s="1"/>
  <c r="R33" i="14"/>
  <c r="P73" i="14"/>
  <c r="Q68" i="14"/>
  <c r="P50" i="14"/>
  <c r="P59" i="14" s="1"/>
  <c r="Q45" i="14"/>
  <c r="O75" i="14"/>
  <c r="P75" i="14" l="1"/>
  <c r="R45" i="14"/>
  <c r="Q50" i="14"/>
  <c r="Q59" i="14" s="1"/>
  <c r="R61" i="14"/>
  <c r="Q66" i="14"/>
  <c r="R41" i="14"/>
  <c r="S33" i="14"/>
  <c r="S57" i="14"/>
  <c r="R68" i="14"/>
  <c r="Q73" i="14"/>
  <c r="R66" i="14" l="1"/>
  <c r="S66" i="14" s="1"/>
  <c r="S61" i="14"/>
  <c r="Q75" i="14"/>
  <c r="R73" i="14"/>
  <c r="S68" i="14"/>
  <c r="R43" i="14"/>
  <c r="S43" i="14" s="1"/>
  <c r="S41" i="14"/>
  <c r="R50" i="14"/>
  <c r="S45" i="14"/>
  <c r="S73" i="14" l="1"/>
  <c r="S50" i="14"/>
  <c r="R59" i="14"/>
  <c r="S59" i="14" s="1"/>
  <c r="R75" i="14" l="1"/>
  <c r="S75" i="14" s="1"/>
  <c r="E5" i="6" l="1"/>
  <c r="D5" i="6" s="1"/>
  <c r="I5" i="6"/>
  <c r="J16" i="8"/>
  <c r="I16" i="8"/>
  <c r="H16" i="8"/>
  <c r="G16" i="8"/>
  <c r="F16" i="8"/>
  <c r="E16" i="8"/>
  <c r="D16" i="8"/>
  <c r="K5" i="6" l="1"/>
  <c r="D6" i="8" l="1"/>
  <c r="J9" i="8"/>
  <c r="I9" i="8"/>
  <c r="H9" i="8"/>
  <c r="G9" i="8"/>
  <c r="F9" i="8"/>
  <c r="E9" i="8"/>
  <c r="D9" i="8"/>
  <c r="J11" i="8" l="1"/>
  <c r="I11" i="8"/>
  <c r="H11" i="8"/>
  <c r="G11" i="8"/>
  <c r="F11" i="8"/>
  <c r="E11" i="8"/>
  <c r="D11" i="8"/>
  <c r="J8" i="8"/>
  <c r="I8" i="8"/>
  <c r="H8" i="8"/>
  <c r="G8" i="8"/>
  <c r="F8" i="8"/>
  <c r="E8" i="8"/>
  <c r="D8" i="8"/>
  <c r="C16" i="7"/>
  <c r="D45" i="5"/>
  <c r="P10" i="8"/>
  <c r="J10" i="8" l="1"/>
  <c r="I10" i="8"/>
  <c r="H10" i="8"/>
  <c r="G10" i="8"/>
  <c r="F10" i="8"/>
  <c r="E10" i="8"/>
  <c r="D10" i="8"/>
  <c r="J53" i="7"/>
  <c r="I53" i="7"/>
  <c r="H53" i="7"/>
  <c r="G53" i="7"/>
  <c r="F53" i="7"/>
  <c r="E53" i="7"/>
  <c r="D53" i="7"/>
  <c r="J49" i="7"/>
  <c r="I49" i="7"/>
  <c r="H49" i="7"/>
  <c r="G49" i="7"/>
  <c r="F49" i="7"/>
  <c r="E49" i="7"/>
  <c r="D49" i="7"/>
  <c r="J45" i="7"/>
  <c r="I45" i="7"/>
  <c r="H45" i="7"/>
  <c r="G45" i="7"/>
  <c r="F45" i="7"/>
  <c r="E45" i="7"/>
  <c r="D45" i="7"/>
  <c r="J38" i="7"/>
  <c r="I38" i="7"/>
  <c r="H38" i="7"/>
  <c r="G38" i="7"/>
  <c r="F38" i="7"/>
  <c r="E38" i="7"/>
  <c r="D38" i="7"/>
  <c r="J31" i="7"/>
  <c r="I31" i="7"/>
  <c r="H31" i="7"/>
  <c r="G31" i="7"/>
  <c r="F31" i="7"/>
  <c r="E31" i="7"/>
  <c r="D31" i="7"/>
  <c r="J30" i="7"/>
  <c r="I30" i="7"/>
  <c r="H30" i="7"/>
  <c r="G30" i="7"/>
  <c r="F30" i="7"/>
  <c r="E30" i="7"/>
  <c r="D30" i="7"/>
  <c r="C28" i="7"/>
  <c r="E25" i="7"/>
  <c r="F25" i="7" s="1"/>
  <c r="G25" i="7" s="1"/>
  <c r="H25" i="7" s="1"/>
  <c r="I25" i="7" s="1"/>
  <c r="J25" i="7" s="1"/>
  <c r="E16" i="7"/>
  <c r="D13" i="7"/>
  <c r="H13" i="7" s="1"/>
  <c r="C9" i="7"/>
  <c r="I8" i="7"/>
  <c r="I7" i="7"/>
  <c r="J53" i="5"/>
  <c r="I53" i="5"/>
  <c r="H53" i="5"/>
  <c r="G53" i="5"/>
  <c r="F53" i="5"/>
  <c r="E53" i="5"/>
  <c r="D53" i="5"/>
  <c r="J49" i="5"/>
  <c r="I49" i="5"/>
  <c r="H49" i="5"/>
  <c r="G49" i="5"/>
  <c r="F49" i="5"/>
  <c r="E49" i="5"/>
  <c r="D49" i="5"/>
  <c r="J45" i="5"/>
  <c r="I45" i="5"/>
  <c r="H45" i="5"/>
  <c r="G45" i="5"/>
  <c r="F45" i="5"/>
  <c r="E45" i="5"/>
  <c r="J38" i="5"/>
  <c r="I38" i="5"/>
  <c r="H38" i="5"/>
  <c r="G38" i="5"/>
  <c r="F38" i="5"/>
  <c r="E38" i="5"/>
  <c r="D38" i="5"/>
  <c r="J31" i="5"/>
  <c r="I31" i="5"/>
  <c r="H31" i="5"/>
  <c r="G31" i="5"/>
  <c r="F31" i="5"/>
  <c r="E31" i="5"/>
  <c r="D31" i="5"/>
  <c r="J30" i="5"/>
  <c r="I30" i="5"/>
  <c r="H30" i="5"/>
  <c r="G30" i="5"/>
  <c r="F30" i="5"/>
  <c r="E30" i="5"/>
  <c r="D30" i="5"/>
  <c r="C28" i="5"/>
  <c r="J28" i="5" s="1"/>
  <c r="E25" i="5"/>
  <c r="F25" i="5" s="1"/>
  <c r="G25" i="5" s="1"/>
  <c r="H25" i="5" s="1"/>
  <c r="I25" i="5" s="1"/>
  <c r="J25" i="5" s="1"/>
  <c r="E16" i="5"/>
  <c r="H13" i="5"/>
  <c r="F13" i="5"/>
  <c r="I33" i="5" s="1"/>
  <c r="I34" i="5" s="1"/>
  <c r="D13" i="5"/>
  <c r="C9" i="5"/>
  <c r="I8" i="5"/>
  <c r="I7" i="5"/>
  <c r="J53" i="2"/>
  <c r="I53" i="2"/>
  <c r="H53" i="2"/>
  <c r="G53" i="2"/>
  <c r="F53" i="2"/>
  <c r="E53" i="2"/>
  <c r="D53" i="2"/>
  <c r="J49" i="2"/>
  <c r="I49" i="2"/>
  <c r="H49" i="2"/>
  <c r="G49" i="2"/>
  <c r="F49" i="2"/>
  <c r="E49" i="2"/>
  <c r="D49" i="2"/>
  <c r="J45" i="2"/>
  <c r="I45" i="2"/>
  <c r="H45" i="2"/>
  <c r="G45" i="2"/>
  <c r="F45" i="2"/>
  <c r="E45" i="2"/>
  <c r="D45" i="2"/>
  <c r="J38" i="2"/>
  <c r="I38" i="2"/>
  <c r="H38" i="2"/>
  <c r="G38" i="2"/>
  <c r="F38" i="2"/>
  <c r="E38" i="2"/>
  <c r="D38" i="2"/>
  <c r="J31" i="2"/>
  <c r="I31" i="2"/>
  <c r="H31" i="2"/>
  <c r="G31" i="2"/>
  <c r="F31" i="2"/>
  <c r="E31" i="2"/>
  <c r="D31" i="2"/>
  <c r="J30" i="2"/>
  <c r="I30" i="2"/>
  <c r="H30" i="2"/>
  <c r="G30" i="2"/>
  <c r="F30" i="2"/>
  <c r="E30" i="2"/>
  <c r="D30" i="2"/>
  <c r="C28" i="2"/>
  <c r="I28" i="2" s="1"/>
  <c r="F25" i="2"/>
  <c r="G25" i="2" s="1"/>
  <c r="H25" i="2" s="1"/>
  <c r="I25" i="2" s="1"/>
  <c r="J25" i="2" s="1"/>
  <c r="E25" i="2"/>
  <c r="E16" i="2"/>
  <c r="D13" i="2"/>
  <c r="C9" i="2"/>
  <c r="I8" i="2"/>
  <c r="I7" i="2"/>
  <c r="F13" i="7" l="1"/>
  <c r="F28" i="2"/>
  <c r="J28" i="2"/>
  <c r="I33" i="7"/>
  <c r="I34" i="7" s="1"/>
  <c r="E33" i="7"/>
  <c r="E34" i="7" s="1"/>
  <c r="H33" i="7"/>
  <c r="H34" i="7" s="1"/>
  <c r="D33" i="7"/>
  <c r="D34" i="7" s="1"/>
  <c r="G33" i="7"/>
  <c r="G34" i="7" s="1"/>
  <c r="J28" i="7"/>
  <c r="F28" i="7"/>
  <c r="I28" i="7"/>
  <c r="E28" i="7"/>
  <c r="H28" i="7"/>
  <c r="D28" i="7"/>
  <c r="F33" i="7"/>
  <c r="F34" i="7" s="1"/>
  <c r="G28" i="7"/>
  <c r="J33" i="7"/>
  <c r="J34" i="7" s="1"/>
  <c r="G28" i="5"/>
  <c r="J33" i="5"/>
  <c r="J34" i="5" s="1"/>
  <c r="D28" i="5"/>
  <c r="H28" i="5"/>
  <c r="G33" i="5"/>
  <c r="G34" i="5" s="1"/>
  <c r="E28" i="5"/>
  <c r="I28" i="5"/>
  <c r="D33" i="5"/>
  <c r="D34" i="5" s="1"/>
  <c r="H33" i="5"/>
  <c r="H34" i="5" s="1"/>
  <c r="F33" i="5"/>
  <c r="F34" i="5" s="1"/>
  <c r="F28" i="5"/>
  <c r="E33" i="5"/>
  <c r="E34" i="5" s="1"/>
  <c r="H13" i="2"/>
  <c r="F13" i="2"/>
  <c r="G28" i="2"/>
  <c r="D28" i="2"/>
  <c r="H28" i="2"/>
  <c r="E28" i="2"/>
  <c r="H33" i="2" l="1"/>
  <c r="H34" i="2" s="1"/>
  <c r="D33" i="2"/>
  <c r="D34" i="2" s="1"/>
  <c r="G33" i="2"/>
  <c r="G34" i="2" s="1"/>
  <c r="J33" i="2"/>
  <c r="J34" i="2" s="1"/>
  <c r="F33" i="2"/>
  <c r="F34" i="2" s="1"/>
  <c r="E33" i="2"/>
  <c r="E34" i="2" s="1"/>
  <c r="I33" i="2"/>
  <c r="I34" i="2" s="1"/>
  <c r="P11" i="8" l="1"/>
  <c r="P9" i="8"/>
  <c r="P8" i="8"/>
  <c r="J7" i="8"/>
  <c r="I7" i="8"/>
  <c r="H7" i="8"/>
  <c r="G7" i="8"/>
  <c r="F7" i="8"/>
  <c r="E7" i="8"/>
  <c r="D7" i="8"/>
  <c r="P6" i="8"/>
  <c r="E6" i="8"/>
  <c r="J6" i="8"/>
  <c r="I6" i="8"/>
  <c r="H6" i="8"/>
  <c r="G6" i="8"/>
  <c r="F6" i="8"/>
  <c r="I23" i="2" l="1"/>
  <c r="I23" i="5"/>
  <c r="I23" i="7"/>
  <c r="J23" i="5"/>
  <c r="J23" i="7"/>
  <c r="J23" i="2"/>
  <c r="H23" i="2"/>
  <c r="H23" i="5"/>
  <c r="H23" i="7"/>
  <c r="E23" i="7"/>
  <c r="E23" i="2"/>
  <c r="E23" i="5"/>
  <c r="F23" i="7"/>
  <c r="F23" i="2"/>
  <c r="F23" i="5"/>
  <c r="G23" i="2"/>
  <c r="G23" i="7"/>
  <c r="G23" i="5"/>
  <c r="D23" i="7"/>
  <c r="D23" i="5"/>
  <c r="D23" i="2"/>
  <c r="P7" i="8" l="1"/>
  <c r="N78" i="6"/>
  <c r="N76" i="6"/>
  <c r="B70" i="6"/>
  <c r="B69" i="6"/>
  <c r="E62" i="6"/>
  <c r="E88" i="6" s="1"/>
  <c r="D62" i="6"/>
  <c r="D88" i="6" s="1"/>
  <c r="C62" i="6"/>
  <c r="C88" i="6" s="1"/>
  <c r="N61" i="6"/>
  <c r="C60" i="6"/>
  <c r="D60" i="6" s="1"/>
  <c r="E60" i="6" s="1"/>
  <c r="N59" i="6"/>
  <c r="C53" i="6"/>
  <c r="G59" i="6" s="1"/>
  <c r="B53" i="6"/>
  <c r="C52" i="6"/>
  <c r="B52" i="6"/>
  <c r="E47" i="6"/>
  <c r="D47" i="6"/>
  <c r="C47" i="6"/>
  <c r="N46" i="6"/>
  <c r="C45" i="6"/>
  <c r="D45" i="6" s="1"/>
  <c r="E45" i="6" s="1"/>
  <c r="N44" i="6"/>
  <c r="C38" i="6"/>
  <c r="B38" i="6"/>
  <c r="C37" i="6"/>
  <c r="B37" i="6"/>
  <c r="N21" i="6"/>
  <c r="N19" i="6"/>
  <c r="B13" i="6"/>
  <c r="B12" i="6"/>
  <c r="P5" i="8" l="1"/>
  <c r="I59" i="6"/>
  <c r="L59" i="6"/>
  <c r="F61" i="6"/>
  <c r="J44" i="6"/>
  <c r="F44" i="6"/>
  <c r="F45" i="6" s="1"/>
  <c r="G46" i="6" s="1"/>
  <c r="K44" i="6"/>
  <c r="G44" i="6"/>
  <c r="L44" i="6"/>
  <c r="J59" i="6"/>
  <c r="F59" i="6"/>
  <c r="F60" i="6" s="1"/>
  <c r="G61" i="6" s="1"/>
  <c r="G62" i="6" s="1"/>
  <c r="G88" i="6" s="1"/>
  <c r="K59" i="6"/>
  <c r="H44" i="6"/>
  <c r="I44" i="6"/>
  <c r="F46" i="6"/>
  <c r="H59" i="6"/>
  <c r="Q11" i="8" l="1"/>
  <c r="J9" i="5"/>
  <c r="I9" i="5" s="1"/>
  <c r="J9" i="7"/>
  <c r="J9" i="2"/>
  <c r="I9" i="2" s="1"/>
  <c r="Q9" i="8"/>
  <c r="C6" i="6"/>
  <c r="Q7" i="8"/>
  <c r="Q13" i="8"/>
  <c r="Q6" i="8"/>
  <c r="Q12" i="8"/>
  <c r="Q10" i="8"/>
  <c r="Q8" i="8"/>
  <c r="G47" i="6"/>
  <c r="F62" i="6"/>
  <c r="F88" i="6" s="1"/>
  <c r="F47" i="6"/>
  <c r="G60" i="6"/>
  <c r="H61" i="6" s="1"/>
  <c r="H62" i="6" s="1"/>
  <c r="H88" i="6" s="1"/>
  <c r="G45" i="6"/>
  <c r="H46" i="6" s="1"/>
  <c r="H47" i="6" s="1"/>
  <c r="D6" i="6" l="1"/>
  <c r="D9" i="6" s="1"/>
  <c r="C7" i="5"/>
  <c r="N41" i="5" s="1"/>
  <c r="D41" i="5" s="1"/>
  <c r="I9" i="7"/>
  <c r="C7" i="7"/>
  <c r="N41" i="7" s="1"/>
  <c r="C8" i="5"/>
  <c r="N40" i="5" s="1"/>
  <c r="D40" i="5" s="1"/>
  <c r="I10" i="5"/>
  <c r="C7" i="2"/>
  <c r="C8" i="2"/>
  <c r="N40" i="2" s="1"/>
  <c r="D40" i="2" s="1"/>
  <c r="I10" i="2"/>
  <c r="H60" i="6"/>
  <c r="I61" i="6" s="1"/>
  <c r="I62" i="6" s="1"/>
  <c r="I88" i="6" s="1"/>
  <c r="H45" i="6"/>
  <c r="I46" i="6" s="1"/>
  <c r="I47" i="6" s="1"/>
  <c r="D41" i="2" l="1"/>
  <c r="N41" i="2"/>
  <c r="C12" i="6"/>
  <c r="C13" i="6"/>
  <c r="C21" i="6" s="1"/>
  <c r="C78" i="6" s="1"/>
  <c r="D41" i="7"/>
  <c r="D44" i="7"/>
  <c r="C8" i="7"/>
  <c r="N40" i="7" s="1"/>
  <c r="D40" i="7" s="1"/>
  <c r="I10" i="7"/>
  <c r="J40" i="5"/>
  <c r="F40" i="5"/>
  <c r="G40" i="5"/>
  <c r="I40" i="5"/>
  <c r="E40" i="5"/>
  <c r="H40" i="5"/>
  <c r="J41" i="5"/>
  <c r="F41" i="5"/>
  <c r="G41" i="5"/>
  <c r="I41" i="5"/>
  <c r="E41" i="5"/>
  <c r="H41" i="5"/>
  <c r="C10" i="2"/>
  <c r="C10" i="5"/>
  <c r="I41" i="2"/>
  <c r="E41" i="2"/>
  <c r="H41" i="2"/>
  <c r="G41" i="2"/>
  <c r="J41" i="2"/>
  <c r="F41" i="2"/>
  <c r="I40" i="2"/>
  <c r="E40" i="2"/>
  <c r="H40" i="2"/>
  <c r="G40" i="2"/>
  <c r="F40" i="2"/>
  <c r="J40" i="2"/>
  <c r="I45" i="6"/>
  <c r="J46" i="6" s="1"/>
  <c r="J47" i="6" s="1"/>
  <c r="I60" i="6"/>
  <c r="K19" i="6" l="1"/>
  <c r="K76" i="6" s="1"/>
  <c r="D19" i="6"/>
  <c r="D76" i="6" s="1"/>
  <c r="C19" i="6"/>
  <c r="C20" i="6" s="1"/>
  <c r="D21" i="6" s="1"/>
  <c r="J19" i="6"/>
  <c r="J76" i="6" s="1"/>
  <c r="H19" i="6"/>
  <c r="H76" i="6" s="1"/>
  <c r="L19" i="6"/>
  <c r="L76" i="6" s="1"/>
  <c r="G19" i="6"/>
  <c r="G76" i="6" s="1"/>
  <c r="D43" i="5"/>
  <c r="D44" i="5" s="1"/>
  <c r="D43" i="2"/>
  <c r="D44" i="2" s="1"/>
  <c r="D43" i="7"/>
  <c r="E19" i="6"/>
  <c r="E76" i="6" s="1"/>
  <c r="I19" i="6"/>
  <c r="I76" i="6" s="1"/>
  <c r="F19" i="6"/>
  <c r="F76" i="6" s="1"/>
  <c r="J45" i="6"/>
  <c r="K46" i="6" s="1"/>
  <c r="K47" i="6" s="1"/>
  <c r="J40" i="7"/>
  <c r="F40" i="7"/>
  <c r="I40" i="7"/>
  <c r="E40" i="7"/>
  <c r="H40" i="7"/>
  <c r="G40" i="7"/>
  <c r="C10" i="7"/>
  <c r="J41" i="7"/>
  <c r="F41" i="7"/>
  <c r="I41" i="7"/>
  <c r="E41" i="7"/>
  <c r="H41" i="7"/>
  <c r="G41" i="7"/>
  <c r="J61" i="6"/>
  <c r="J62" i="6" s="1"/>
  <c r="J88" i="6" s="1"/>
  <c r="J60" i="6"/>
  <c r="K45" i="6"/>
  <c r="C76" i="6" l="1"/>
  <c r="C77" i="6" s="1"/>
  <c r="D77" i="6" s="1"/>
  <c r="E77" i="6" s="1"/>
  <c r="F77" i="6" s="1"/>
  <c r="G77" i="6" s="1"/>
  <c r="H77" i="6" s="1"/>
  <c r="I77" i="6" s="1"/>
  <c r="J77" i="6" s="1"/>
  <c r="K77" i="6" s="1"/>
  <c r="L77" i="6" s="1"/>
  <c r="C22" i="6"/>
  <c r="C27" i="6" s="1"/>
  <c r="C84" i="6" s="1"/>
  <c r="E43" i="5"/>
  <c r="E43" i="7"/>
  <c r="E44" i="7" s="1"/>
  <c r="E43" i="2"/>
  <c r="E44" i="2" s="1"/>
  <c r="D22" i="6"/>
  <c r="D29" i="6" s="1"/>
  <c r="D20" i="6"/>
  <c r="E21" i="6" s="1"/>
  <c r="C79" i="6"/>
  <c r="D78" i="6"/>
  <c r="D79" i="6" s="1"/>
  <c r="D86" i="6" s="1"/>
  <c r="E44" i="5"/>
  <c r="K60" i="6"/>
  <c r="K61" i="6"/>
  <c r="K62" i="6" s="1"/>
  <c r="K88" i="6" s="1"/>
  <c r="L46" i="6"/>
  <c r="L47" i="6" s="1"/>
  <c r="L45" i="6"/>
  <c r="C28" i="6" l="1"/>
  <c r="C30" i="6"/>
  <c r="C29" i="6"/>
  <c r="D27" i="6"/>
  <c r="D84" i="6" s="1"/>
  <c r="F43" i="5"/>
  <c r="F44" i="5" s="1"/>
  <c r="D28" i="6"/>
  <c r="D30" i="6"/>
  <c r="F43" i="7"/>
  <c r="F44" i="7" s="1"/>
  <c r="F43" i="2"/>
  <c r="F44" i="2" s="1"/>
  <c r="D87" i="6"/>
  <c r="E78" i="6"/>
  <c r="E79" i="6" s="1"/>
  <c r="E87" i="6" s="1"/>
  <c r="E22" i="6"/>
  <c r="E30" i="6" s="1"/>
  <c r="C85" i="6"/>
  <c r="C87" i="6"/>
  <c r="C86" i="6"/>
  <c r="E20" i="6"/>
  <c r="F21" i="6" s="1"/>
  <c r="D85" i="6"/>
  <c r="L60" i="6"/>
  <c r="L61" i="6"/>
  <c r="L62" i="6" s="1"/>
  <c r="L88" i="6" s="1"/>
  <c r="E86" i="6" l="1"/>
  <c r="E28" i="6"/>
  <c r="G43" i="5"/>
  <c r="G43" i="7"/>
  <c r="G44" i="7" s="1"/>
  <c r="G43" i="2"/>
  <c r="G44" i="2" s="1"/>
  <c r="E85" i="6"/>
  <c r="E29" i="6"/>
  <c r="E27" i="6"/>
  <c r="E84" i="6" s="1"/>
  <c r="F22" i="6"/>
  <c r="F30" i="6" s="1"/>
  <c r="G44" i="5"/>
  <c r="F78" i="6"/>
  <c r="F79" i="6" s="1"/>
  <c r="F86" i="6" s="1"/>
  <c r="F20" i="6"/>
  <c r="G21" i="6" s="1"/>
  <c r="F85" i="6" l="1"/>
  <c r="H43" i="5"/>
  <c r="G22" i="6"/>
  <c r="G27" i="6" s="1"/>
  <c r="G84" i="6" s="1"/>
  <c r="G20" i="6"/>
  <c r="H21" i="6" s="1"/>
  <c r="H78" i="6" s="1"/>
  <c r="H79" i="6" s="1"/>
  <c r="F31" i="6"/>
  <c r="F28" i="6"/>
  <c r="H43" i="7"/>
  <c r="H44" i="7" s="1"/>
  <c r="H43" i="2"/>
  <c r="F29" i="6"/>
  <c r="F87" i="6"/>
  <c r="F27" i="6"/>
  <c r="F84" i="6" s="1"/>
  <c r="H44" i="2"/>
  <c r="H44" i="5"/>
  <c r="G78" i="6"/>
  <c r="G79" i="6" s="1"/>
  <c r="G85" i="6" s="1"/>
  <c r="G30" i="6" l="1"/>
  <c r="G28" i="6"/>
  <c r="G29" i="6"/>
  <c r="G31" i="6"/>
  <c r="H20" i="6"/>
  <c r="I21" i="6" s="1"/>
  <c r="J43" i="2" s="1"/>
  <c r="J44" i="2" s="1"/>
  <c r="I43" i="5"/>
  <c r="I44" i="5" s="1"/>
  <c r="H22" i="6"/>
  <c r="H27" i="6" s="1"/>
  <c r="H84" i="6" s="1"/>
  <c r="I43" i="7"/>
  <c r="I44" i="7" s="1"/>
  <c r="I43" i="2"/>
  <c r="I44" i="2" s="1"/>
  <c r="G86" i="6"/>
  <c r="G87" i="6"/>
  <c r="H87" i="6"/>
  <c r="H85" i="6"/>
  <c r="H86" i="6"/>
  <c r="I22" i="6" l="1"/>
  <c r="I27" i="6" s="1"/>
  <c r="I84" i="6" s="1"/>
  <c r="I78" i="6"/>
  <c r="I79" i="6" s="1"/>
  <c r="I86" i="6" s="1"/>
  <c r="J43" i="7"/>
  <c r="J44" i="7" s="1"/>
  <c r="J43" i="5"/>
  <c r="J44" i="5" s="1"/>
  <c r="I20" i="6"/>
  <c r="J20" i="6" s="1"/>
  <c r="K21" i="6" s="1"/>
  <c r="H31" i="6"/>
  <c r="H29" i="6"/>
  <c r="H28" i="6"/>
  <c r="H30" i="6"/>
  <c r="I85" i="6" l="1"/>
  <c r="K20" i="6"/>
  <c r="L21" i="6" s="1"/>
  <c r="I87" i="6"/>
  <c r="J21" i="6"/>
  <c r="J78" i="6" s="1"/>
  <c r="J79" i="6" s="1"/>
  <c r="J86" i="6" s="1"/>
  <c r="I30" i="6"/>
  <c r="I31" i="6"/>
  <c r="I29" i="6"/>
  <c r="I28" i="6"/>
  <c r="K78" i="6"/>
  <c r="K79" i="6" s="1"/>
  <c r="K22" i="6"/>
  <c r="J87" i="6" l="1"/>
  <c r="L20" i="6"/>
  <c r="J85" i="6"/>
  <c r="J22" i="6"/>
  <c r="J28" i="6" s="1"/>
  <c r="L78" i="6"/>
  <c r="L79" i="6" s="1"/>
  <c r="L22" i="6"/>
  <c r="K86" i="6"/>
  <c r="K85" i="6"/>
  <c r="K87" i="6"/>
  <c r="K28" i="6"/>
  <c r="K27" i="6"/>
  <c r="K84" i="6" s="1"/>
  <c r="K30" i="6"/>
  <c r="K31" i="6"/>
  <c r="K29" i="6"/>
  <c r="J29" i="6" l="1"/>
  <c r="J31" i="6"/>
  <c r="J30" i="6"/>
  <c r="J27" i="6"/>
  <c r="J84" i="6" s="1"/>
  <c r="L30" i="6"/>
  <c r="L27" i="6"/>
  <c r="L84" i="6" s="1"/>
  <c r="L28" i="6"/>
  <c r="L29" i="6"/>
  <c r="L31" i="6"/>
  <c r="L87" i="6"/>
  <c r="L85" i="6"/>
  <c r="L86" i="6"/>
  <c r="D5" i="8" l="1"/>
  <c r="I5" i="8"/>
  <c r="G5" i="8"/>
  <c r="J5" i="8"/>
  <c r="E5" i="8"/>
  <c r="H5" i="8"/>
  <c r="F5" i="8"/>
  <c r="J35" i="5" l="1"/>
  <c r="J36" i="5" s="1"/>
  <c r="J48" i="5" s="1"/>
  <c r="J52" i="5" s="1"/>
  <c r="J54" i="5" s="1"/>
  <c r="J35" i="7"/>
  <c r="J36" i="7" s="1"/>
  <c r="F35" i="5"/>
  <c r="F36" i="5" s="1"/>
  <c r="F48" i="5" s="1"/>
  <c r="F52" i="5" s="1"/>
  <c r="F54" i="5" s="1"/>
  <c r="F35" i="7"/>
  <c r="F36" i="7" s="1"/>
  <c r="G35" i="5"/>
  <c r="G36" i="5" s="1"/>
  <c r="G48" i="5" s="1"/>
  <c r="G52" i="5" s="1"/>
  <c r="G54" i="5" s="1"/>
  <c r="G35" i="7"/>
  <c r="G36" i="7" s="1"/>
  <c r="H35" i="5"/>
  <c r="H36" i="5" s="1"/>
  <c r="H47" i="5" s="1"/>
  <c r="H35" i="7"/>
  <c r="H36" i="7" s="1"/>
  <c r="I35" i="5"/>
  <c r="I36" i="5" s="1"/>
  <c r="I48" i="5" s="1"/>
  <c r="I52" i="5" s="1"/>
  <c r="I54" i="5" s="1"/>
  <c r="I35" i="7"/>
  <c r="I36" i="7" s="1"/>
  <c r="E35" i="5"/>
  <c r="E36" i="5" s="1"/>
  <c r="E48" i="5" s="1"/>
  <c r="E52" i="5" s="1"/>
  <c r="E54" i="5" s="1"/>
  <c r="E35" i="7"/>
  <c r="E36" i="7" s="1"/>
  <c r="D35" i="5"/>
  <c r="D36" i="5" s="1"/>
  <c r="D35" i="7"/>
  <c r="D36" i="7" s="1"/>
  <c r="F35" i="2"/>
  <c r="F36" i="2" s="1"/>
  <c r="F48" i="2" s="1"/>
  <c r="F52" i="2" s="1"/>
  <c r="F54" i="2" s="1"/>
  <c r="G35" i="2"/>
  <c r="G36" i="2" s="1"/>
  <c r="G48" i="2" s="1"/>
  <c r="G52" i="2" s="1"/>
  <c r="G54" i="2" s="1"/>
  <c r="H35" i="2"/>
  <c r="H36" i="2" s="1"/>
  <c r="H48" i="2" s="1"/>
  <c r="H52" i="2" s="1"/>
  <c r="H54" i="2" s="1"/>
  <c r="I35" i="2"/>
  <c r="I36" i="2" s="1"/>
  <c r="I48" i="2" s="1"/>
  <c r="I52" i="2" s="1"/>
  <c r="I54" i="2" s="1"/>
  <c r="E35" i="2"/>
  <c r="E36" i="2" s="1"/>
  <c r="E48" i="2" s="1"/>
  <c r="E52" i="2" s="1"/>
  <c r="E54" i="2" s="1"/>
  <c r="D35" i="2"/>
  <c r="D36" i="2" s="1"/>
  <c r="J35" i="2"/>
  <c r="J36" i="2" s="1"/>
  <c r="J47" i="2" s="1"/>
  <c r="H48" i="5" l="1"/>
  <c r="H52" i="5" s="1"/>
  <c r="H54" i="5" s="1"/>
  <c r="F47" i="5"/>
  <c r="F47" i="2"/>
  <c r="G47" i="5"/>
  <c r="I47" i="5"/>
  <c r="E47" i="5"/>
  <c r="D47" i="7"/>
  <c r="D48" i="7"/>
  <c r="D52" i="7" s="1"/>
  <c r="D54" i="7" s="1"/>
  <c r="D47" i="5"/>
  <c r="D48" i="5"/>
  <c r="D52" i="5" s="1"/>
  <c r="D54" i="5" s="1"/>
  <c r="E47" i="2"/>
  <c r="D47" i="2"/>
  <c r="D48" i="2"/>
  <c r="D52" i="2" s="1"/>
  <c r="D54" i="2" s="1"/>
  <c r="J47" i="5"/>
  <c r="E47" i="7"/>
  <c r="E48" i="7"/>
  <c r="E52" i="7" s="1"/>
  <c r="E54" i="7" s="1"/>
  <c r="H48" i="7"/>
  <c r="H52" i="7" s="1"/>
  <c r="H54" i="7" s="1"/>
  <c r="H47" i="7"/>
  <c r="F47" i="7"/>
  <c r="F48" i="7"/>
  <c r="F52" i="7" s="1"/>
  <c r="F54" i="7" s="1"/>
  <c r="I47" i="2"/>
  <c r="H47" i="2"/>
  <c r="I48" i="7"/>
  <c r="I52" i="7" s="1"/>
  <c r="I54" i="7" s="1"/>
  <c r="I47" i="7"/>
  <c r="G47" i="7"/>
  <c r="G48" i="7"/>
  <c r="G52" i="7" s="1"/>
  <c r="G54" i="7" s="1"/>
  <c r="J48" i="7"/>
  <c r="J52" i="7" s="1"/>
  <c r="J54" i="7" s="1"/>
  <c r="J47" i="7"/>
  <c r="G47" i="2"/>
  <c r="J48" i="2"/>
  <c r="J52" i="2" s="1"/>
  <c r="J54" i="2" s="1"/>
  <c r="S34" i="45" l="1"/>
  <c r="O34" i="45"/>
  <c r="Q34" i="45"/>
  <c r="P27" i="45" l="1"/>
  <c r="R10" i="43"/>
  <c r="T27" i="45"/>
  <c r="V10" i="43"/>
  <c r="Q10" i="43"/>
  <c r="O27" i="45"/>
  <c r="Q27" i="45"/>
  <c r="S10" i="43"/>
  <c r="J10" i="43" s="1"/>
  <c r="T10" i="43"/>
  <c r="R27" i="45"/>
  <c r="U10" i="43"/>
  <c r="L10" i="43" s="1"/>
  <c r="S27" i="45"/>
  <c r="G32" i="43"/>
  <c r="G144" i="43"/>
  <c r="G143" i="43" s="1"/>
  <c r="G113" i="43" s="1"/>
  <c r="G162" i="43"/>
  <c r="G10" i="13"/>
  <c r="G42" i="43" s="1"/>
  <c r="G152" i="43"/>
  <c r="G32" i="13"/>
  <c r="G91" i="43"/>
  <c r="L144" i="43" l="1"/>
  <c r="L143" i="43" s="1"/>
  <c r="L113" i="43" s="1"/>
  <c r="J162" i="43"/>
  <c r="J32" i="43"/>
  <c r="J152" i="43" s="1"/>
  <c r="J10" i="13"/>
  <c r="J42" i="43" s="1"/>
  <c r="J144" i="43"/>
  <c r="J143" i="43" s="1"/>
  <c r="J113" i="43" s="1"/>
  <c r="Q162" i="43"/>
  <c r="Q172" i="43"/>
  <c r="Q32" i="43"/>
  <c r="Q144" i="43"/>
  <c r="Q143" i="43" s="1"/>
  <c r="Q113" i="43" s="1"/>
  <c r="L32" i="43"/>
  <c r="L162" i="43"/>
  <c r="H10" i="43"/>
  <c r="R172" i="43"/>
  <c r="R162" i="43"/>
  <c r="R32" i="43"/>
  <c r="R144" i="43"/>
  <c r="R143" i="43" s="1"/>
  <c r="R113" i="43" s="1"/>
  <c r="S172" i="43"/>
  <c r="S162" i="43"/>
  <c r="S32" i="43"/>
  <c r="S144" i="43"/>
  <c r="S143" i="43" s="1"/>
  <c r="S113" i="43" s="1"/>
  <c r="L10" i="13"/>
  <c r="L128" i="13" s="1"/>
  <c r="T162" i="43"/>
  <c r="T172" i="43"/>
  <c r="T32" i="43"/>
  <c r="T144" i="43"/>
  <c r="T143" i="43" s="1"/>
  <c r="T113" i="43" s="1"/>
  <c r="V172" i="43"/>
  <c r="V162" i="43"/>
  <c r="V32" i="43"/>
  <c r="V144" i="43"/>
  <c r="V143" i="43" s="1"/>
  <c r="V113" i="43" s="1"/>
  <c r="I10" i="43"/>
  <c r="U172" i="43"/>
  <c r="U162" i="43"/>
  <c r="U32" i="43"/>
  <c r="L32" i="13" s="1"/>
  <c r="U144" i="43"/>
  <c r="U143" i="43" s="1"/>
  <c r="U113" i="43" s="1"/>
  <c r="K10" i="43"/>
  <c r="M10" i="43"/>
  <c r="G128" i="13"/>
  <c r="G89" i="13"/>
  <c r="G110" i="13"/>
  <c r="G159" i="13"/>
  <c r="G158" i="13" s="1"/>
  <c r="G120" i="13" s="1"/>
  <c r="G52" i="13"/>
  <c r="P42" i="43"/>
  <c r="G99" i="13"/>
  <c r="G167" i="13"/>
  <c r="G81" i="43" s="1"/>
  <c r="L152" i="43"/>
  <c r="L91" i="43"/>
  <c r="J91" i="43" l="1"/>
  <c r="J32" i="13"/>
  <c r="U42" i="43"/>
  <c r="L52" i="13"/>
  <c r="L42" i="43"/>
  <c r="AE42" i="43" s="1"/>
  <c r="L110" i="13"/>
  <c r="L89" i="13"/>
  <c r="S42" i="43"/>
  <c r="AC42" i="43" s="1"/>
  <c r="L159" i="13"/>
  <c r="L158" i="13" s="1"/>
  <c r="L120" i="13" s="1"/>
  <c r="L122" i="13" s="1"/>
  <c r="K144" i="43"/>
  <c r="K143" i="43" s="1"/>
  <c r="K113" i="43" s="1"/>
  <c r="K32" i="43"/>
  <c r="K162" i="43"/>
  <c r="K10" i="13"/>
  <c r="Q91" i="43"/>
  <c r="Q152" i="43"/>
  <c r="J110" i="13"/>
  <c r="J89" i="13"/>
  <c r="I144" i="43"/>
  <c r="I143" i="43" s="1"/>
  <c r="I113" i="43" s="1"/>
  <c r="I32" i="43"/>
  <c r="I162" i="43"/>
  <c r="I10" i="13"/>
  <c r="S91" i="43"/>
  <c r="S152" i="43"/>
  <c r="R91" i="43"/>
  <c r="R152" i="43"/>
  <c r="V91" i="43"/>
  <c r="V152" i="43"/>
  <c r="J52" i="13"/>
  <c r="J159" i="13"/>
  <c r="J158" i="13" s="1"/>
  <c r="J120" i="13" s="1"/>
  <c r="H58" i="45" s="1"/>
  <c r="J128" i="13"/>
  <c r="M144" i="43"/>
  <c r="M143" i="43" s="1"/>
  <c r="M113" i="43" s="1"/>
  <c r="M32" i="43"/>
  <c r="M10" i="13"/>
  <c r="M162" i="43"/>
  <c r="U91" i="43"/>
  <c r="U152" i="43"/>
  <c r="T91" i="43"/>
  <c r="T152" i="43"/>
  <c r="H162" i="43"/>
  <c r="H10" i="13"/>
  <c r="H144" i="43"/>
  <c r="H143" i="43" s="1"/>
  <c r="H113" i="43" s="1"/>
  <c r="H32" i="43"/>
  <c r="J99" i="13"/>
  <c r="J167" i="13"/>
  <c r="P81" i="43"/>
  <c r="Z81" i="43" s="1"/>
  <c r="G71" i="13"/>
  <c r="Z42" i="43"/>
  <c r="L99" i="13"/>
  <c r="L167" i="13"/>
  <c r="U81" i="43" s="1"/>
  <c r="G122" i="13"/>
  <c r="E58" i="45"/>
  <c r="L71" i="13" l="1"/>
  <c r="J122" i="13"/>
  <c r="S81" i="43"/>
  <c r="L21" i="13"/>
  <c r="J58" i="45"/>
  <c r="J71" i="13"/>
  <c r="K42" i="43"/>
  <c r="K159" i="13"/>
  <c r="K158" i="13" s="1"/>
  <c r="K120" i="13" s="1"/>
  <c r="K110" i="13"/>
  <c r="K128" i="13"/>
  <c r="T42" i="43"/>
  <c r="K89" i="13"/>
  <c r="K52" i="13"/>
  <c r="H42" i="43"/>
  <c r="H89" i="13"/>
  <c r="H52" i="13"/>
  <c r="H110" i="13"/>
  <c r="H128" i="13"/>
  <c r="Q42" i="43"/>
  <c r="AA42" i="43" s="1"/>
  <c r="H159" i="13"/>
  <c r="H158" i="13" s="1"/>
  <c r="H120" i="13" s="1"/>
  <c r="I42" i="43"/>
  <c r="I52" i="13"/>
  <c r="I128" i="13"/>
  <c r="I89" i="13"/>
  <c r="I110" i="13"/>
  <c r="R42" i="43"/>
  <c r="I159" i="13"/>
  <c r="I158" i="13" s="1"/>
  <c r="I120" i="13" s="1"/>
  <c r="I152" i="43"/>
  <c r="I91" i="43"/>
  <c r="I32" i="13"/>
  <c r="H91" i="43"/>
  <c r="H152" i="43"/>
  <c r="H32" i="13"/>
  <c r="M91" i="43"/>
  <c r="M32" i="13"/>
  <c r="M152" i="43"/>
  <c r="K152" i="43"/>
  <c r="K32" i="13"/>
  <c r="K91" i="43"/>
  <c r="M128" i="13"/>
  <c r="V42" i="43"/>
  <c r="M159" i="13"/>
  <c r="M158" i="13" s="1"/>
  <c r="M120" i="13" s="1"/>
  <c r="M89" i="13"/>
  <c r="M52" i="13"/>
  <c r="M42" i="43"/>
  <c r="M110" i="13"/>
  <c r="L81" i="43"/>
  <c r="G21" i="13"/>
  <c r="J81" i="43"/>
  <c r="J21" i="13" l="1"/>
  <c r="AF42" i="43"/>
  <c r="I167" i="13"/>
  <c r="I99" i="13"/>
  <c r="F58" i="45"/>
  <c r="H122" i="13"/>
  <c r="M71" i="13"/>
  <c r="M99" i="13"/>
  <c r="M167" i="13"/>
  <c r="V81" i="43" s="1"/>
  <c r="AB42" i="43"/>
  <c r="K71" i="13"/>
  <c r="H167" i="13"/>
  <c r="H99" i="13"/>
  <c r="M81" i="43"/>
  <c r="AF81" i="43" s="1"/>
  <c r="K99" i="13"/>
  <c r="K167" i="13"/>
  <c r="K81" i="43" s="1"/>
  <c r="I122" i="13"/>
  <c r="G58" i="45"/>
  <c r="K58" i="45"/>
  <c r="M122" i="13"/>
  <c r="I71" i="13"/>
  <c r="H71" i="13"/>
  <c r="AD42" i="43"/>
  <c r="I58" i="45"/>
  <c r="K122" i="13"/>
  <c r="AE81" i="43"/>
  <c r="AC81" i="43"/>
  <c r="T81" i="43" l="1"/>
  <c r="Q81" i="43"/>
  <c r="H81" i="43"/>
  <c r="K21" i="13"/>
  <c r="M21" i="13"/>
  <c r="I81" i="43"/>
  <c r="R81" i="43"/>
  <c r="I21" i="13"/>
  <c r="H21" i="13"/>
  <c r="AD81" i="43" l="1"/>
  <c r="AB81" i="43"/>
  <c r="AA81" i="43"/>
  <c r="H24" i="13" l="1"/>
  <c r="J24" i="13"/>
  <c r="L24" i="13"/>
  <c r="K24" i="13"/>
  <c r="I24" i="13"/>
  <c r="G24" i="13"/>
  <c r="M24" i="13"/>
  <c r="L63" i="43" l="1"/>
  <c r="L69" i="43" s="1"/>
  <c r="U63" i="43"/>
  <c r="U65" i="43"/>
  <c r="J63" i="43"/>
  <c r="K63" i="43"/>
  <c r="Q65" i="43"/>
  <c r="Q185" i="43" s="1"/>
  <c r="I63" i="43"/>
  <c r="I65" i="43"/>
  <c r="I185" i="43" s="1"/>
  <c r="R65" i="43"/>
  <c r="R185" i="43" s="1"/>
  <c r="Q63" i="43"/>
  <c r="H63" i="43"/>
  <c r="M65" i="43"/>
  <c r="V65" i="43"/>
  <c r="S63" i="43"/>
  <c r="S183" i="43" s="1"/>
  <c r="S188" i="43" s="1"/>
  <c r="K65" i="43"/>
  <c r="T65" i="43"/>
  <c r="G63" i="43"/>
  <c r="T63" i="43"/>
  <c r="P63" i="43"/>
  <c r="H65" i="43"/>
  <c r="H185" i="43" s="1"/>
  <c r="R63" i="43"/>
  <c r="R183" i="43" s="1"/>
  <c r="R188" i="43" s="1"/>
  <c r="V63" i="43"/>
  <c r="M63" i="43"/>
  <c r="P65" i="43"/>
  <c r="S65" i="43"/>
  <c r="S185" i="43" s="1"/>
  <c r="L65" i="43"/>
  <c r="L185" i="43" s="1"/>
  <c r="J65" i="43"/>
  <c r="J185" i="43" s="1"/>
  <c r="G65" i="43"/>
  <c r="G185" i="43" s="1"/>
  <c r="S69" i="43" l="1"/>
  <c r="L183" i="43"/>
  <c r="L188" i="43" s="1"/>
  <c r="K185" i="43"/>
  <c r="P185" i="43"/>
  <c r="M69" i="43"/>
  <c r="M183" i="43"/>
  <c r="M188" i="43" s="1"/>
  <c r="V69" i="43"/>
  <c r="V183" i="43"/>
  <c r="V188" i="43" s="1"/>
  <c r="R69" i="43"/>
  <c r="P69" i="43"/>
  <c r="P183" i="43"/>
  <c r="P188" i="43" s="1"/>
  <c r="T69" i="43"/>
  <c r="T183" i="43"/>
  <c r="T188" i="43" s="1"/>
  <c r="Q69" i="43"/>
  <c r="Q183" i="43"/>
  <c r="Q188" i="43" s="1"/>
  <c r="G69" i="43"/>
  <c r="G183" i="43"/>
  <c r="G188" i="43" s="1"/>
  <c r="V185" i="43"/>
  <c r="T185" i="43"/>
  <c r="M185" i="43"/>
  <c r="K183" i="43"/>
  <c r="K188" i="43" s="1"/>
  <c r="J69" i="43"/>
  <c r="J183" i="43"/>
  <c r="J188" i="43" s="1"/>
  <c r="K69" i="43"/>
  <c r="U185" i="43"/>
  <c r="U69" i="43"/>
  <c r="H69" i="43"/>
  <c r="H183" i="43"/>
  <c r="H188" i="43" s="1"/>
  <c r="I69" i="43"/>
  <c r="I183" i="43"/>
  <c r="I188" i="43" s="1"/>
  <c r="U183" i="43"/>
  <c r="U188" i="43" s="1"/>
  <c r="M67" i="13" l="1"/>
  <c r="K67" i="13"/>
  <c r="I67" i="13"/>
  <c r="G67" i="13"/>
  <c r="J67" i="13"/>
  <c r="H67" i="13"/>
  <c r="L67" i="13"/>
  <c r="J103" i="13" l="1"/>
  <c r="J171" i="13"/>
  <c r="S85" i="43" s="1"/>
  <c r="AC85" i="43" s="1"/>
  <c r="G103" i="13"/>
  <c r="G171" i="13"/>
  <c r="P85" i="43" s="1"/>
  <c r="Z85" i="43" s="1"/>
  <c r="L103" i="13"/>
  <c r="L171" i="13"/>
  <c r="U85" i="43" s="1"/>
  <c r="AE85" i="43" s="1"/>
  <c r="I103" i="13"/>
  <c r="I171" i="13"/>
  <c r="R85" i="43" s="1"/>
  <c r="AB85" i="43" s="1"/>
  <c r="M103" i="13"/>
  <c r="M171" i="13"/>
  <c r="V85" i="43" s="1"/>
  <c r="AF85" i="43" s="1"/>
  <c r="H103" i="13"/>
  <c r="H171" i="13"/>
  <c r="Q85" i="43" s="1"/>
  <c r="AA85" i="43" s="1"/>
  <c r="K103" i="13"/>
  <c r="K171" i="13"/>
  <c r="T85" i="43" s="1"/>
  <c r="AD85" i="43" s="1"/>
  <c r="J25" i="13" l="1"/>
  <c r="J22" i="13"/>
  <c r="I25" i="13"/>
  <c r="G22" i="13"/>
  <c r="L22" i="13"/>
  <c r="H25" i="13"/>
  <c r="L25" i="13"/>
  <c r="K22" i="13"/>
  <c r="H22" i="13"/>
  <c r="M22" i="13"/>
  <c r="I22" i="13"/>
  <c r="G25" i="13"/>
  <c r="K25" i="13"/>
  <c r="M25" i="13"/>
  <c r="H24" i="43" l="1"/>
  <c r="Q24" i="43" s="1"/>
  <c r="I24" i="43"/>
  <c r="K24" i="43"/>
  <c r="T24" i="43" s="1"/>
  <c r="L24" i="43"/>
  <c r="M24" i="43"/>
  <c r="V24" i="43" s="1"/>
  <c r="J24" i="43"/>
  <c r="S24" i="43" s="1"/>
  <c r="G24" i="43"/>
  <c r="F28" i="45" s="1"/>
  <c r="G29" i="45" s="1"/>
  <c r="H29" i="45" s="1"/>
  <c r="R24" i="43" l="1"/>
  <c r="U24" i="43"/>
  <c r="P24" i="43"/>
  <c r="T73" i="43" l="1"/>
  <c r="S73" i="43"/>
  <c r="R73" i="43"/>
  <c r="P73" i="43"/>
  <c r="V73" i="43"/>
  <c r="Q73" i="43"/>
  <c r="Q104" i="43"/>
  <c r="P104" i="43"/>
  <c r="V104" i="43"/>
  <c r="T104" i="43"/>
  <c r="U104" i="43"/>
  <c r="U73" i="43"/>
  <c r="AC78" i="43"/>
  <c r="S104" i="43"/>
  <c r="Z78" i="43"/>
  <c r="J104" i="43"/>
  <c r="AF78" i="43"/>
  <c r="AB78" i="43"/>
  <c r="T103" i="43"/>
  <c r="I73" i="43"/>
  <c r="AD78" i="43"/>
  <c r="U103" i="43"/>
  <c r="R104" i="43"/>
  <c r="V71" i="43"/>
  <c r="V77" i="43" s="1"/>
  <c r="AA78" i="43"/>
  <c r="AE78" i="43"/>
  <c r="P103" i="43"/>
  <c r="S103" i="43"/>
  <c r="Q102" i="43"/>
  <c r="Q109" i="43" s="1"/>
  <c r="V103" i="43"/>
  <c r="M102" i="43"/>
  <c r="M109" i="43" s="1"/>
  <c r="L104" i="43"/>
  <c r="Q103" i="43"/>
  <c r="AA109" i="43"/>
  <c r="G104" i="43"/>
  <c r="S71" i="43"/>
  <c r="S77" i="43" s="1"/>
  <c r="J73" i="43"/>
  <c r="P102" i="43"/>
  <c r="P109" i="43" s="1"/>
  <c r="G102" i="43"/>
  <c r="G109" i="43" s="1"/>
  <c r="R103" i="43"/>
  <c r="AB109" i="43"/>
  <c r="M104" i="43"/>
  <c r="G71" i="43"/>
  <c r="G77" i="43" s="1"/>
  <c r="U102" i="43"/>
  <c r="U109" i="43" s="1"/>
  <c r="H71" i="43"/>
  <c r="T71" i="43"/>
  <c r="R71" i="43"/>
  <c r="R77" i="43" s="1"/>
  <c r="Q71" i="43"/>
  <c r="Q77" i="43" s="1"/>
  <c r="K104" i="43"/>
  <c r="J71" i="43"/>
  <c r="J77" i="43" s="1"/>
  <c r="U71" i="43"/>
  <c r="U77" i="43" s="1"/>
  <c r="L71" i="43"/>
  <c r="K102" i="43"/>
  <c r="T102" i="43"/>
  <c r="T109" i="43" s="1"/>
  <c r="H102" i="43"/>
  <c r="H73" i="43"/>
  <c r="H104" i="43"/>
  <c r="I71" i="43"/>
  <c r="I77" i="43" s="1"/>
  <c r="AE109" i="43"/>
  <c r="AC109" i="43"/>
  <c r="V102" i="43"/>
  <c r="V109" i="43" s="1"/>
  <c r="L102" i="43"/>
  <c r="L109" i="43" s="1"/>
  <c r="M73" i="43"/>
  <c r="K71" i="43"/>
  <c r="K77" i="43" s="1"/>
  <c r="K73" i="43"/>
  <c r="S102" i="43"/>
  <c r="S109" i="43" s="1"/>
  <c r="L73" i="43"/>
  <c r="Z109" i="43"/>
  <c r="G73" i="43"/>
  <c r="J102" i="43"/>
  <c r="J109" i="43" s="1"/>
  <c r="R102" i="43"/>
  <c r="R109" i="43" s="1"/>
  <c r="AD109" i="43"/>
  <c r="I104" i="43"/>
  <c r="M71" i="43"/>
  <c r="M77" i="43" s="1"/>
  <c r="AF109" i="43"/>
  <c r="I102" i="43"/>
  <c r="I109" i="43" s="1"/>
  <c r="P71" i="43"/>
  <c r="AE73" i="43" l="1"/>
  <c r="Z104" i="43"/>
  <c r="Z71" i="43"/>
  <c r="Z77" i="43" s="1"/>
  <c r="AD104" i="43"/>
  <c r="AC73" i="43"/>
  <c r="AF71" i="43"/>
  <c r="AF77" i="43" s="1"/>
  <c r="AA73" i="43"/>
  <c r="AD73" i="43"/>
  <c r="AF104" i="43"/>
  <c r="AB102" i="43"/>
  <c r="AB108" i="43" s="1"/>
  <c r="AF73" i="43"/>
  <c r="AA104" i="43"/>
  <c r="AF102" i="43"/>
  <c r="AF108" i="43" s="1"/>
  <c r="AE104" i="43"/>
  <c r="P77" i="43"/>
  <c r="AB104" i="43"/>
  <c r="AC102" i="43"/>
  <c r="AC108" i="43" s="1"/>
  <c r="AB71" i="43"/>
  <c r="AB77" i="43" s="1"/>
  <c r="AC71" i="43"/>
  <c r="AC77" i="43" s="1"/>
  <c r="AB73" i="43"/>
  <c r="Z73" i="43"/>
  <c r="T77" i="43"/>
  <c r="AD71" i="43"/>
  <c r="AD77" i="43" s="1"/>
  <c r="AE102" i="43"/>
  <c r="AE108" i="43" s="1"/>
  <c r="K109" i="43"/>
  <c r="AD102" i="43"/>
  <c r="AD108" i="43" s="1"/>
  <c r="H109" i="43"/>
  <c r="AA102" i="43"/>
  <c r="AA108" i="43" s="1"/>
  <c r="L77" i="43"/>
  <c r="AE71" i="43"/>
  <c r="AE77" i="43" s="1"/>
  <c r="H77" i="43"/>
  <c r="AA71" i="43"/>
  <c r="AA77" i="43" s="1"/>
  <c r="Z102" i="43"/>
  <c r="Z108" i="43" s="1"/>
  <c r="AC104" i="43"/>
  <c r="T32" i="45" l="1"/>
  <c r="Q116" i="43"/>
  <c r="T175" i="43"/>
  <c r="T36" i="43"/>
  <c r="T165" i="43"/>
  <c r="R165" i="43"/>
  <c r="R36" i="43"/>
  <c r="R175" i="43"/>
  <c r="R94" i="43"/>
  <c r="R35" i="43"/>
  <c r="R155" i="43"/>
  <c r="M62" i="13"/>
  <c r="G62" i="13"/>
  <c r="H62" i="13"/>
  <c r="L62" i="13"/>
  <c r="K62" i="13"/>
  <c r="I62" i="13"/>
  <c r="J62" i="13"/>
  <c r="M64" i="13"/>
  <c r="K64" i="13"/>
  <c r="L64" i="13"/>
  <c r="I64" i="13"/>
  <c r="G64" i="13"/>
  <c r="H64" i="13"/>
  <c r="J64" i="13"/>
  <c r="G65" i="13"/>
  <c r="H65" i="13"/>
  <c r="L65" i="13"/>
  <c r="I65" i="13"/>
  <c r="M65" i="13"/>
  <c r="J65" i="13"/>
  <c r="K65" i="13"/>
  <c r="Q57" i="43"/>
  <c r="Q84" i="43"/>
  <c r="Q75" i="43"/>
  <c r="Q105" i="43"/>
  <c r="Q66" i="43"/>
  <c r="P84" i="43"/>
  <c r="P66" i="43"/>
  <c r="P105" i="43"/>
  <c r="P57" i="43"/>
  <c r="P75" i="43"/>
  <c r="S75" i="43"/>
  <c r="S105" i="43"/>
  <c r="S57" i="43"/>
  <c r="S66" i="43"/>
  <c r="S84" i="43"/>
  <c r="U75" i="43"/>
  <c r="U84" i="43"/>
  <c r="U105" i="43"/>
  <c r="U66" i="43"/>
  <c r="U57" i="43"/>
  <c r="T57" i="43"/>
  <c r="T84" i="43"/>
  <c r="T75" i="43"/>
  <c r="T105" i="43"/>
  <c r="T66" i="43"/>
  <c r="R32" i="45"/>
  <c r="R66" i="43"/>
  <c r="R105" i="43"/>
  <c r="R75" i="43"/>
  <c r="R84" i="43"/>
  <c r="R57" i="43"/>
  <c r="V66" i="43"/>
  <c r="V57" i="43"/>
  <c r="V75" i="43"/>
  <c r="V105" i="43"/>
  <c r="V84" i="43"/>
  <c r="M186" i="43"/>
  <c r="M95" i="43"/>
  <c r="M156" i="43"/>
  <c r="M176" i="43"/>
  <c r="G186" i="43"/>
  <c r="G95" i="43"/>
  <c r="G176" i="43"/>
  <c r="G156" i="43"/>
  <c r="I176" i="43"/>
  <c r="I186" i="43"/>
  <c r="I95" i="43"/>
  <c r="I156" i="43"/>
  <c r="K95" i="43"/>
  <c r="K186" i="43"/>
  <c r="K156" i="43"/>
  <c r="K176" i="43"/>
  <c r="J95" i="43"/>
  <c r="J156" i="43"/>
  <c r="J176" i="43"/>
  <c r="J186" i="43"/>
  <c r="L176" i="43"/>
  <c r="L95" i="43"/>
  <c r="L186" i="43"/>
  <c r="L156" i="43"/>
  <c r="H95" i="43"/>
  <c r="H156" i="43"/>
  <c r="H176" i="43"/>
  <c r="H186" i="43"/>
  <c r="H131" i="13"/>
  <c r="H45" i="13"/>
  <c r="H93" i="13"/>
  <c r="G131" i="13"/>
  <c r="G45" i="13"/>
  <c r="G93" i="13"/>
  <c r="L45" i="13"/>
  <c r="L131" i="13"/>
  <c r="L93" i="13"/>
  <c r="K66" i="43"/>
  <c r="AD45" i="43"/>
  <c r="K81" i="13"/>
  <c r="K82" i="13"/>
  <c r="H43" i="13"/>
  <c r="L175" i="43"/>
  <c r="AE55" i="43"/>
  <c r="I47" i="43"/>
  <c r="I17" i="43"/>
  <c r="V54" i="43"/>
  <c r="V72" i="43"/>
  <c r="G175" i="43"/>
  <c r="Z55" i="43"/>
  <c r="U36" i="43"/>
  <c r="U175" i="43"/>
  <c r="U165" i="43"/>
  <c r="S45" i="43"/>
  <c r="K45" i="13"/>
  <c r="K93" i="13"/>
  <c r="K131" i="13"/>
  <c r="AA43" i="43"/>
  <c r="U54" i="43"/>
  <c r="U72" i="43"/>
  <c r="S54" i="43"/>
  <c r="S72" i="43"/>
  <c r="M131" i="13"/>
  <c r="M93" i="13"/>
  <c r="M45" i="13"/>
  <c r="Q72" i="43"/>
  <c r="Q54" i="43"/>
  <c r="K80" i="13"/>
  <c r="H66" i="43"/>
  <c r="AA45" i="43"/>
  <c r="G44" i="13"/>
  <c r="G42" i="13"/>
  <c r="L59" i="43"/>
  <c r="Q32" i="45"/>
  <c r="V165" i="43"/>
  <c r="V36" i="43"/>
  <c r="V175" i="43"/>
  <c r="Q36" i="43"/>
  <c r="Q175" i="43"/>
  <c r="Q165" i="43"/>
  <c r="S36" i="43"/>
  <c r="S165" i="43"/>
  <c r="S175" i="43"/>
  <c r="L17" i="43"/>
  <c r="L47" i="43"/>
  <c r="M42" i="13"/>
  <c r="M44" i="13"/>
  <c r="J82" i="13"/>
  <c r="J81" i="13"/>
  <c r="U17" i="43"/>
  <c r="U47" i="43"/>
  <c r="L81" i="13"/>
  <c r="L82" i="13"/>
  <c r="J93" i="13"/>
  <c r="J131" i="13"/>
  <c r="J45" i="13"/>
  <c r="G43" i="13"/>
  <c r="G47" i="13"/>
  <c r="T156" i="43"/>
  <c r="T186" i="43"/>
  <c r="T45" i="43"/>
  <c r="S38" i="43"/>
  <c r="AB45" i="43"/>
  <c r="I66" i="43"/>
  <c r="R186" i="43"/>
  <c r="R156" i="43"/>
  <c r="H85" i="13"/>
  <c r="P36" i="43"/>
  <c r="P165" i="43"/>
  <c r="P175" i="43"/>
  <c r="G38" i="43"/>
  <c r="Q156" i="43"/>
  <c r="Q186" i="43"/>
  <c r="M43" i="13"/>
  <c r="M47" i="13"/>
  <c r="AC54" i="43"/>
  <c r="J174" i="43"/>
  <c r="I175" i="43"/>
  <c r="AB55" i="43"/>
  <c r="AC55" i="43"/>
  <c r="J175" i="43"/>
  <c r="AD43" i="43"/>
  <c r="L173" i="43"/>
  <c r="L178" i="43"/>
  <c r="G80" i="13"/>
  <c r="V55" i="43"/>
  <c r="K39" i="13"/>
  <c r="K170" i="13"/>
  <c r="L38" i="13"/>
  <c r="P168" i="43"/>
  <c r="O49" i="45"/>
  <c r="Q98" i="43"/>
  <c r="I131" i="13"/>
  <c r="I45" i="13"/>
  <c r="I93" i="13"/>
  <c r="K174" i="43"/>
  <c r="K54" i="43"/>
  <c r="AD54" i="43"/>
  <c r="M175" i="43"/>
  <c r="M55" i="43"/>
  <c r="AF55" i="43"/>
  <c r="L66" i="43"/>
  <c r="AE45" i="43"/>
  <c r="O48" i="45"/>
  <c r="Q14" i="43"/>
  <c r="Q45" i="43"/>
  <c r="U94" i="43"/>
  <c r="U35" i="43"/>
  <c r="U155" i="43"/>
  <c r="U98" i="43"/>
  <c r="V156" i="43"/>
  <c r="V59" i="43"/>
  <c r="V186" i="43"/>
  <c r="V47" i="43"/>
  <c r="V17" i="43"/>
  <c r="P45" i="43"/>
  <c r="Z54" i="43"/>
  <c r="G174" i="43"/>
  <c r="G166" i="43"/>
  <c r="K43" i="13"/>
  <c r="S163" i="43"/>
  <c r="S168" i="43"/>
  <c r="Q94" i="43"/>
  <c r="Q35" i="43"/>
  <c r="Q155" i="43"/>
  <c r="O32" i="45"/>
  <c r="J43" i="13"/>
  <c r="R45" i="43"/>
  <c r="Q38" i="43"/>
  <c r="Q92" i="43"/>
  <c r="G59" i="43"/>
  <c r="I16" i="43"/>
  <c r="P155" i="43"/>
  <c r="P35" i="43"/>
  <c r="P94" i="43"/>
  <c r="P54" i="43"/>
  <c r="P72" i="43"/>
  <c r="Q39" i="45"/>
  <c r="H72" i="43"/>
  <c r="AA72" i="43"/>
  <c r="T155" i="43"/>
  <c r="T35" i="43"/>
  <c r="T94" i="43"/>
  <c r="J54" i="43"/>
  <c r="AC43" i="43"/>
  <c r="H38" i="43"/>
  <c r="T14" i="43"/>
  <c r="R48" i="45"/>
  <c r="R49" i="45"/>
  <c r="G87" i="43"/>
  <c r="Q17" i="43"/>
  <c r="Q47" i="43"/>
  <c r="H36" i="13"/>
  <c r="J166" i="43"/>
  <c r="Q38" i="45"/>
  <c r="R47" i="43"/>
  <c r="R16" i="43"/>
  <c r="R17" i="43"/>
  <c r="AF43" i="43"/>
  <c r="K87" i="43"/>
  <c r="S156" i="43"/>
  <c r="S186" i="43"/>
  <c r="S155" i="43"/>
  <c r="S35" i="43"/>
  <c r="S94" i="43"/>
  <c r="M166" i="43"/>
  <c r="I116" i="43"/>
  <c r="R54" i="43"/>
  <c r="R72" i="43"/>
  <c r="J42" i="13"/>
  <c r="J47" i="13"/>
  <c r="J44" i="13"/>
  <c r="H56" i="45"/>
  <c r="U92" i="43"/>
  <c r="U38" i="43"/>
  <c r="AB43" i="43"/>
  <c r="L43" i="13"/>
  <c r="H39" i="13"/>
  <c r="H170" i="13"/>
  <c r="AC45" i="43"/>
  <c r="J66" i="43"/>
  <c r="G129" i="13"/>
  <c r="G114" i="13"/>
  <c r="V45" i="43"/>
  <c r="Q16" i="43"/>
  <c r="H166" i="43"/>
  <c r="P39" i="45"/>
  <c r="AE43" i="43"/>
  <c r="S17" i="43"/>
  <c r="S16" i="43"/>
  <c r="S47" i="43"/>
  <c r="AB54" i="43"/>
  <c r="I54" i="43"/>
  <c r="I174" i="43"/>
  <c r="R173" i="43"/>
  <c r="R178" i="43"/>
  <c r="M63" i="13"/>
  <c r="G102" i="13"/>
  <c r="H59" i="43"/>
  <c r="V16" i="43"/>
  <c r="Q64" i="43"/>
  <c r="Q184" i="43"/>
  <c r="K175" i="43"/>
  <c r="AD55" i="43"/>
  <c r="L16" i="43"/>
  <c r="H80" i="13"/>
  <c r="M59" i="43"/>
  <c r="H39" i="43"/>
  <c r="H94" i="43"/>
  <c r="T184" i="43"/>
  <c r="G16" i="13"/>
  <c r="G133" i="13"/>
  <c r="V64" i="43"/>
  <c r="V184" i="43"/>
  <c r="P98" i="43"/>
  <c r="K155" i="43"/>
  <c r="I38" i="13"/>
  <c r="G66" i="43"/>
  <c r="Z45" i="43"/>
  <c r="U156" i="43"/>
  <c r="U186" i="43"/>
  <c r="I43" i="13"/>
  <c r="S114" i="43"/>
  <c r="G155" i="43"/>
  <c r="G35" i="13"/>
  <c r="R98" i="43"/>
  <c r="AF57" i="43"/>
  <c r="P114" i="43"/>
  <c r="K83" i="13"/>
  <c r="Q173" i="43"/>
  <c r="Q178" i="43"/>
  <c r="U45" i="43"/>
  <c r="L113" i="13"/>
  <c r="U168" i="43"/>
  <c r="AB87" i="43"/>
  <c r="H103" i="43"/>
  <c r="AA103" i="43"/>
  <c r="P38" i="43"/>
  <c r="P92" i="43"/>
  <c r="J38" i="13"/>
  <c r="K17" i="43"/>
  <c r="K47" i="43"/>
  <c r="K42" i="13"/>
  <c r="K47" i="13"/>
  <c r="K44" i="13"/>
  <c r="I39" i="13"/>
  <c r="I170" i="13"/>
  <c r="H44" i="13"/>
  <c r="H47" i="13"/>
  <c r="H42" i="13"/>
  <c r="L80" i="13"/>
  <c r="T54" i="43"/>
  <c r="T72" i="43"/>
  <c r="T64" i="43"/>
  <c r="H173" i="43"/>
  <c r="H178" i="43"/>
  <c r="V163" i="43"/>
  <c r="V168" i="43"/>
  <c r="I155" i="43"/>
  <c r="K38" i="13"/>
  <c r="E56" i="45"/>
  <c r="G113" i="13"/>
  <c r="R38" i="43"/>
  <c r="R92" i="43"/>
  <c r="T59" i="43"/>
  <c r="P163" i="43"/>
  <c r="G57" i="43"/>
  <c r="Z57" i="43"/>
  <c r="V14" i="43"/>
  <c r="T48" i="45"/>
  <c r="T49" i="45"/>
  <c r="Q13" i="43"/>
  <c r="Q148" i="43"/>
  <c r="Q147" i="43"/>
  <c r="K38" i="43"/>
  <c r="I87" i="43"/>
  <c r="I82" i="43"/>
  <c r="AB82" i="43"/>
  <c r="J79" i="13"/>
  <c r="J85" i="13"/>
  <c r="T38" i="43"/>
  <c r="AE54" i="43"/>
  <c r="L54" i="43"/>
  <c r="L174" i="43"/>
  <c r="I38" i="43"/>
  <c r="I44" i="13"/>
  <c r="I47" i="13"/>
  <c r="I42" i="13"/>
  <c r="L38" i="43"/>
  <c r="K75" i="43"/>
  <c r="AD75" i="43"/>
  <c r="I57" i="43"/>
  <c r="AB57" i="43"/>
  <c r="G85" i="13"/>
  <c r="M113" i="13"/>
  <c r="T17" i="43"/>
  <c r="T47" i="43"/>
  <c r="L166" i="43"/>
  <c r="P47" i="43"/>
  <c r="P16" i="43"/>
  <c r="P17" i="43"/>
  <c r="I82" i="13"/>
  <c r="I81" i="13"/>
  <c r="G168" i="43"/>
  <c r="I166" i="43"/>
  <c r="P38" i="45"/>
  <c r="J17" i="43"/>
  <c r="J47" i="43"/>
  <c r="T92" i="43"/>
  <c r="T98" i="43"/>
  <c r="P186" i="43"/>
  <c r="P156" i="43"/>
  <c r="R64" i="43"/>
  <c r="R184" i="43"/>
  <c r="V94" i="43"/>
  <c r="V35" i="43"/>
  <c r="V155" i="43"/>
  <c r="H174" i="43"/>
  <c r="H54" i="43"/>
  <c r="AA54" i="43"/>
  <c r="H82" i="13"/>
  <c r="H81" i="13"/>
  <c r="H77" i="13"/>
  <c r="H79" i="13"/>
  <c r="M82" i="13"/>
  <c r="M81" i="13"/>
  <c r="I59" i="45"/>
  <c r="P32" i="45"/>
  <c r="J55" i="43"/>
  <c r="J63" i="13"/>
  <c r="S55" i="43"/>
  <c r="H36" i="43"/>
  <c r="U163" i="43"/>
  <c r="U16" i="43"/>
  <c r="I163" i="43"/>
  <c r="I168" i="43"/>
  <c r="L72" i="43"/>
  <c r="AE72" i="43"/>
  <c r="AD60" i="43"/>
  <c r="G54" i="43"/>
  <c r="Z43" i="43"/>
  <c r="H155" i="43"/>
  <c r="Q114" i="43"/>
  <c r="K92" i="43"/>
  <c r="K98" i="43"/>
  <c r="I59" i="43"/>
  <c r="M87" i="43"/>
  <c r="H114" i="43"/>
  <c r="M155" i="43"/>
  <c r="S32" i="45"/>
  <c r="T16" i="43"/>
  <c r="G105" i="43"/>
  <c r="Z105" i="43"/>
  <c r="V146" i="43"/>
  <c r="V145" i="43"/>
  <c r="V114" i="43"/>
  <c r="G35" i="43"/>
  <c r="J16" i="13"/>
  <c r="J133" i="13"/>
  <c r="K166" i="43"/>
  <c r="K35" i="13"/>
  <c r="K102" i="13"/>
  <c r="H129" i="13"/>
  <c r="H114" i="13"/>
  <c r="K35" i="43"/>
  <c r="U114" i="43"/>
  <c r="AD59" i="43"/>
  <c r="G47" i="43"/>
  <c r="G17" i="43"/>
  <c r="L102" i="13"/>
  <c r="H38" i="13"/>
  <c r="M38" i="43"/>
  <c r="AD53" i="43"/>
  <c r="K59" i="43"/>
  <c r="K55" i="43"/>
  <c r="K63" i="13"/>
  <c r="T55" i="43"/>
  <c r="K103" i="43"/>
  <c r="AD103" i="43"/>
  <c r="G106" i="13"/>
  <c r="H16" i="13"/>
  <c r="H133" i="13"/>
  <c r="J72" i="43"/>
  <c r="AC72" i="43"/>
  <c r="K111" i="13"/>
  <c r="K116" i="13"/>
  <c r="H175" i="43"/>
  <c r="AA55" i="43"/>
  <c r="L42" i="13"/>
  <c r="L47" i="13"/>
  <c r="L44" i="13"/>
  <c r="K16" i="43"/>
  <c r="I103" i="43"/>
  <c r="AB103" i="43"/>
  <c r="M173" i="43"/>
  <c r="M178" i="43"/>
  <c r="AC88" i="43"/>
  <c r="G64" i="43"/>
  <c r="G184" i="43"/>
  <c r="M129" i="13"/>
  <c r="M114" i="13"/>
  <c r="J114" i="43"/>
  <c r="AA88" i="43"/>
  <c r="G163" i="43"/>
  <c r="G16" i="43"/>
  <c r="U82" i="43"/>
  <c r="U87" i="43"/>
  <c r="M114" i="43"/>
  <c r="F59" i="45"/>
  <c r="R38" i="45"/>
  <c r="R39" i="45"/>
  <c r="L87" i="43"/>
  <c r="H35" i="43"/>
  <c r="H35" i="13"/>
  <c r="H102" i="13"/>
  <c r="G82" i="13"/>
  <c r="S14" i="43"/>
  <c r="Q48" i="45"/>
  <c r="Q49" i="45"/>
  <c r="T13" i="43"/>
  <c r="T148" i="43"/>
  <c r="T147" i="43"/>
  <c r="T116" i="43"/>
  <c r="I72" i="43"/>
  <c r="AB72" i="43"/>
  <c r="AA87" i="43"/>
  <c r="H105" i="43"/>
  <c r="AA105" i="43"/>
  <c r="H84" i="43"/>
  <c r="AA84" i="43"/>
  <c r="Q59" i="43"/>
  <c r="G55" i="43"/>
  <c r="G63" i="13"/>
  <c r="P55" i="43"/>
  <c r="M153" i="43"/>
  <c r="M158" i="43"/>
  <c r="M17" i="43"/>
  <c r="M47" i="43"/>
  <c r="R59" i="43"/>
  <c r="M38" i="13"/>
  <c r="I90" i="13"/>
  <c r="I95" i="13"/>
  <c r="J59" i="45"/>
  <c r="L39" i="43"/>
  <c r="L94" i="43"/>
  <c r="K90" i="13"/>
  <c r="K95" i="13"/>
  <c r="J155" i="43"/>
  <c r="J39" i="13"/>
  <c r="J170" i="13"/>
  <c r="M111" i="13"/>
  <c r="M116" i="13"/>
  <c r="AF60" i="43"/>
  <c r="G103" i="43"/>
  <c r="Z103" i="43"/>
  <c r="L55" i="43"/>
  <c r="L63" i="13"/>
  <c r="U55" i="43"/>
  <c r="M66" i="43"/>
  <c r="M57" i="43"/>
  <c r="AF45" i="43"/>
  <c r="H83" i="13"/>
  <c r="V13" i="43"/>
  <c r="V148" i="43"/>
  <c r="V147" i="43"/>
  <c r="V116" i="43"/>
  <c r="H92" i="43"/>
  <c r="H98" i="43"/>
  <c r="M64" i="43"/>
  <c r="M184" i="43"/>
  <c r="AA60" i="43"/>
  <c r="H47" i="43"/>
  <c r="H16" i="43"/>
  <c r="H17" i="43"/>
  <c r="U148" i="43"/>
  <c r="U147" i="43"/>
  <c r="U116" i="43"/>
  <c r="AE88" i="43"/>
  <c r="J80" i="13"/>
  <c r="J77" i="13"/>
  <c r="G90" i="13"/>
  <c r="G95" i="13"/>
  <c r="P173" i="43"/>
  <c r="P178" i="43"/>
  <c r="U43" i="43"/>
  <c r="U64" i="43"/>
  <c r="U184" i="43"/>
  <c r="I80" i="13"/>
  <c r="I36" i="43"/>
  <c r="I36" i="13"/>
  <c r="L155" i="43"/>
  <c r="L35" i="13"/>
  <c r="N32" i="45"/>
  <c r="S38" i="45"/>
  <c r="S39" i="45"/>
  <c r="I14" i="13"/>
  <c r="I55" i="13"/>
  <c r="I75" i="13"/>
  <c r="I83" i="13"/>
  <c r="M103" i="43"/>
  <c r="AF103" i="43"/>
  <c r="P64" i="43"/>
  <c r="P184" i="43"/>
  <c r="J57" i="43"/>
  <c r="AC57" i="43"/>
  <c r="H100" i="13"/>
  <c r="H106" i="13"/>
  <c r="J83" i="13"/>
  <c r="M92" i="43"/>
  <c r="M98" i="43"/>
  <c r="L35" i="43"/>
  <c r="S92" i="43"/>
  <c r="S98" i="43"/>
  <c r="J38" i="43"/>
  <c r="V53" i="43"/>
  <c r="M16" i="43"/>
  <c r="J53" i="13"/>
  <c r="J72" i="13"/>
  <c r="H163" i="43"/>
  <c r="H168" i="43"/>
  <c r="T114" i="43"/>
  <c r="G100" i="13"/>
  <c r="G38" i="13"/>
  <c r="J35" i="13"/>
  <c r="J102" i="13"/>
  <c r="V158" i="43"/>
  <c r="J14" i="13"/>
  <c r="J55" i="13"/>
  <c r="J75" i="13"/>
  <c r="P146" i="43"/>
  <c r="P145" i="43"/>
  <c r="M36" i="43"/>
  <c r="M36" i="13"/>
  <c r="M83" i="13"/>
  <c r="S173" i="43"/>
  <c r="S178" i="43"/>
  <c r="L129" i="13"/>
  <c r="L114" i="13"/>
  <c r="J129" i="13"/>
  <c r="J114" i="13"/>
  <c r="J59" i="43"/>
  <c r="L57" i="43"/>
  <c r="AE57" i="43"/>
  <c r="E59" i="45"/>
  <c r="J36" i="13"/>
  <c r="R14" i="43"/>
  <c r="P48" i="45"/>
  <c r="P49" i="45"/>
  <c r="T43" i="43"/>
  <c r="T82" i="43"/>
  <c r="T87" i="43"/>
  <c r="J75" i="43"/>
  <c r="AC75" i="43"/>
  <c r="AA82" i="43"/>
  <c r="H82" i="43"/>
  <c r="H87" i="43"/>
  <c r="J56" i="45"/>
  <c r="K36" i="43"/>
  <c r="K36" i="13"/>
  <c r="G36" i="43"/>
  <c r="G36" i="13"/>
  <c r="Q146" i="43"/>
  <c r="Q145" i="43"/>
  <c r="J16" i="43"/>
  <c r="J36" i="43"/>
  <c r="J35" i="43"/>
  <c r="H111" i="13"/>
  <c r="H116" i="13"/>
  <c r="J153" i="43"/>
  <c r="J158" i="43"/>
  <c r="G92" i="43"/>
  <c r="G98" i="43"/>
  <c r="M90" i="13"/>
  <c r="M95" i="13"/>
  <c r="O38" i="45"/>
  <c r="O39" i="45"/>
  <c r="J105" i="43"/>
  <c r="AC105" i="43"/>
  <c r="J103" i="43"/>
  <c r="AC103" i="43"/>
  <c r="I114" i="43"/>
  <c r="J163" i="43"/>
  <c r="J168" i="43"/>
  <c r="P33" i="43"/>
  <c r="P153" i="43"/>
  <c r="P158" i="43"/>
  <c r="AF88" i="43"/>
  <c r="L39" i="13"/>
  <c r="L170" i="13"/>
  <c r="G75" i="43"/>
  <c r="Z75" i="43"/>
  <c r="K105" i="43"/>
  <c r="AD105" i="43"/>
  <c r="P14" i="43"/>
  <c r="N48" i="45"/>
  <c r="N49" i="45"/>
  <c r="H113" i="13"/>
  <c r="L77" i="13"/>
  <c r="L79" i="13"/>
  <c r="L85" i="13"/>
  <c r="L163" i="43"/>
  <c r="L168" i="43"/>
  <c r="R53" i="43"/>
  <c r="K113" i="13"/>
  <c r="M79" i="13"/>
  <c r="M85" i="13"/>
  <c r="J113" i="13"/>
  <c r="J116" i="43"/>
  <c r="K84" i="43"/>
  <c r="AD84" i="43"/>
  <c r="V153" i="43"/>
  <c r="V38" i="43"/>
  <c r="M105" i="43"/>
  <c r="AF105" i="43"/>
  <c r="H153" i="43"/>
  <c r="H158" i="43"/>
  <c r="G173" i="43"/>
  <c r="G178" i="43"/>
  <c r="L103" i="43"/>
  <c r="AE103" i="43"/>
  <c r="K163" i="43"/>
  <c r="K168" i="43"/>
  <c r="I153" i="43"/>
  <c r="I158" i="43"/>
  <c r="I100" i="13"/>
  <c r="I106" i="13"/>
  <c r="H53" i="13"/>
  <c r="H72" i="13"/>
  <c r="AC87" i="43"/>
  <c r="L83" i="13"/>
  <c r="K57" i="45"/>
  <c r="K56" i="45"/>
  <c r="M16" i="13"/>
  <c r="M133" i="13"/>
  <c r="G72" i="43"/>
  <c r="Z72" i="43"/>
  <c r="L105" i="43"/>
  <c r="AE105" i="43"/>
  <c r="L16" i="13"/>
  <c r="L133" i="13"/>
  <c r="H55" i="43"/>
  <c r="H63" i="13"/>
  <c r="Q55" i="43"/>
  <c r="K148" i="43"/>
  <c r="K147" i="43"/>
  <c r="K116" i="43"/>
  <c r="R55" i="43"/>
  <c r="G81" i="13"/>
  <c r="I63" i="13"/>
  <c r="I55" i="43"/>
  <c r="T53" i="43"/>
  <c r="L64" i="43"/>
  <c r="L184" i="43"/>
  <c r="K16" i="13"/>
  <c r="K133" i="13"/>
  <c r="J146" i="43"/>
  <c r="J145" i="43"/>
  <c r="J173" i="43"/>
  <c r="J178" i="43"/>
  <c r="AC82" i="43"/>
  <c r="J82" i="43"/>
  <c r="J87" i="43"/>
  <c r="M163" i="43"/>
  <c r="M168" i="43"/>
  <c r="I56" i="45"/>
  <c r="T173" i="43"/>
  <c r="T178" i="43"/>
  <c r="I16" i="13"/>
  <c r="I133" i="13"/>
  <c r="G123" i="13"/>
  <c r="E57" i="45"/>
  <c r="I84" i="43"/>
  <c r="AB84" i="43"/>
  <c r="J45" i="43"/>
  <c r="J84" i="43"/>
  <c r="AC84" i="43"/>
  <c r="J121" i="13"/>
  <c r="H59" i="45"/>
  <c r="K82" i="43"/>
  <c r="AD82" i="43"/>
  <c r="AD87" i="43"/>
  <c r="F56" i="45"/>
  <c r="H148" i="43"/>
  <c r="H147" i="43"/>
  <c r="H116" i="43"/>
  <c r="Q43" i="43"/>
  <c r="Q82" i="43"/>
  <c r="Q87" i="43"/>
  <c r="R43" i="43"/>
  <c r="R82" i="43"/>
  <c r="R87" i="43"/>
  <c r="L14" i="13"/>
  <c r="L55" i="13"/>
  <c r="L75" i="13"/>
  <c r="K14" i="13"/>
  <c r="K55" i="13"/>
  <c r="K75" i="13"/>
  <c r="R146" i="43"/>
  <c r="R145" i="43"/>
  <c r="R114" i="43"/>
  <c r="L43" i="43"/>
  <c r="L82" i="43"/>
  <c r="AE82" i="43"/>
  <c r="AE87" i="43"/>
  <c r="U173" i="43"/>
  <c r="U178" i="43"/>
  <c r="AE53" i="43"/>
  <c r="AE59" i="43"/>
  <c r="AE60" i="43"/>
  <c r="L161" i="13"/>
  <c r="L160" i="13"/>
  <c r="L121" i="13"/>
  <c r="K153" i="43"/>
  <c r="K158" i="43"/>
  <c r="N38" i="45"/>
  <c r="N39" i="45"/>
  <c r="K161" i="13"/>
  <c r="K160" i="13"/>
  <c r="K121" i="13"/>
  <c r="H123" i="13"/>
  <c r="F57" i="45"/>
  <c r="AA53" i="43"/>
  <c r="AA59" i="43"/>
  <c r="M168" i="13"/>
  <c r="M173" i="13"/>
  <c r="T146" i="43"/>
  <c r="T145" i="43"/>
  <c r="G33" i="13"/>
  <c r="G168" i="13"/>
  <c r="G173" i="13"/>
  <c r="Z88" i="43"/>
  <c r="M84" i="43"/>
  <c r="AF84" i="43"/>
  <c r="K61" i="13"/>
  <c r="K53" i="43"/>
  <c r="K173" i="43"/>
  <c r="K178" i="43"/>
  <c r="L84" i="43"/>
  <c r="AE84" i="43"/>
  <c r="M72" i="43"/>
  <c r="AF72" i="43"/>
  <c r="V33" i="43"/>
  <c r="V92" i="43"/>
  <c r="V98" i="43"/>
  <c r="G39" i="43"/>
  <c r="G94" i="43"/>
  <c r="M39" i="13"/>
  <c r="M170" i="13"/>
  <c r="T33" i="43"/>
  <c r="T153" i="43"/>
  <c r="T158" i="43"/>
  <c r="U13" i="43"/>
  <c r="U14" i="43"/>
  <c r="S48" i="45"/>
  <c r="S49" i="45"/>
  <c r="G39" i="13"/>
  <c r="G170" i="13"/>
  <c r="I35" i="43"/>
  <c r="I35" i="13"/>
  <c r="I102" i="13"/>
  <c r="Q33" i="43"/>
  <c r="Q153" i="43"/>
  <c r="Q158" i="43"/>
  <c r="J92" i="43"/>
  <c r="J98" i="43"/>
  <c r="M80" i="13"/>
  <c r="M53" i="13"/>
  <c r="M72" i="13"/>
  <c r="M77" i="13"/>
  <c r="L90" i="13"/>
  <c r="L95" i="13"/>
  <c r="J100" i="13"/>
  <c r="J106" i="13"/>
  <c r="G148" i="43"/>
  <c r="G147" i="43"/>
  <c r="G116" i="43"/>
  <c r="M45" i="43"/>
  <c r="M75" i="43"/>
  <c r="AF75" i="43"/>
  <c r="T38" i="45"/>
  <c r="T39" i="45"/>
  <c r="L148" i="43"/>
  <c r="L147" i="43"/>
  <c r="L116" i="43"/>
  <c r="G14" i="13"/>
  <c r="G55" i="13"/>
  <c r="G75" i="13"/>
  <c r="G83" i="13"/>
  <c r="S64" i="43"/>
  <c r="S184" i="43"/>
  <c r="R13" i="43"/>
  <c r="R148" i="43"/>
  <c r="R147" i="43"/>
  <c r="R116" i="43"/>
  <c r="I43" i="43"/>
  <c r="I64" i="43"/>
  <c r="I184" i="43"/>
  <c r="G33" i="43"/>
  <c r="G153" i="43"/>
  <c r="G158" i="43"/>
  <c r="I113" i="13"/>
  <c r="L153" i="43"/>
  <c r="L158" i="43"/>
  <c r="H75" i="43"/>
  <c r="AA75" i="43"/>
  <c r="M82" i="43"/>
  <c r="AF82" i="43"/>
  <c r="AF87" i="43"/>
  <c r="AB53" i="43"/>
  <c r="AB59" i="43"/>
  <c r="AB60" i="43"/>
  <c r="V173" i="43"/>
  <c r="V178" i="43"/>
  <c r="AF54" i="43"/>
  <c r="M43" i="43"/>
  <c r="M54" i="43"/>
  <c r="M174" i="43"/>
  <c r="L100" i="13"/>
  <c r="L106" i="13"/>
  <c r="AD88" i="43"/>
  <c r="M146" i="43"/>
  <c r="M145" i="43"/>
  <c r="I33" i="13"/>
  <c r="I168" i="13"/>
  <c r="I173" i="13"/>
  <c r="AB88" i="43"/>
  <c r="V11" i="43"/>
  <c r="V43" i="43"/>
  <c r="V82" i="43"/>
  <c r="V87" i="43"/>
  <c r="K39" i="43"/>
  <c r="K94" i="43"/>
  <c r="R163" i="43"/>
  <c r="R168" i="43"/>
  <c r="K14" i="43"/>
  <c r="K45" i="43"/>
  <c r="K57" i="43"/>
  <c r="AD57" i="43"/>
  <c r="S146" i="43"/>
  <c r="S145" i="43"/>
  <c r="L146" i="43"/>
  <c r="L145" i="43"/>
  <c r="L114" i="43"/>
  <c r="S33" i="43"/>
  <c r="S153" i="43"/>
  <c r="S158" i="43"/>
  <c r="I111" i="13"/>
  <c r="I116" i="13"/>
  <c r="M11" i="13"/>
  <c r="M161" i="13"/>
  <c r="M160" i="13"/>
  <c r="M121" i="13"/>
  <c r="K59" i="45"/>
  <c r="M11" i="43"/>
  <c r="M33" i="43"/>
  <c r="M33" i="13"/>
  <c r="M100" i="13"/>
  <c r="M106" i="13"/>
  <c r="I123" i="13"/>
  <c r="G57" i="45"/>
  <c r="G56" i="45"/>
  <c r="L14" i="43"/>
  <c r="L45" i="43"/>
  <c r="L75" i="43"/>
  <c r="AE75" i="43"/>
  <c r="I61" i="13"/>
  <c r="I53" i="43"/>
  <c r="I173" i="43"/>
  <c r="I178" i="43"/>
  <c r="H33" i="43"/>
  <c r="H33" i="13"/>
  <c r="H168" i="13"/>
  <c r="H173" i="13"/>
  <c r="J13" i="13"/>
  <c r="J163" i="13"/>
  <c r="J162" i="13"/>
  <c r="J123" i="13"/>
  <c r="H57" i="45"/>
  <c r="P11" i="43"/>
  <c r="P43" i="43"/>
  <c r="P82" i="43"/>
  <c r="P87" i="43"/>
  <c r="G161" i="13"/>
  <c r="G160" i="13"/>
  <c r="G121" i="13"/>
  <c r="L53" i="43"/>
  <c r="K64" i="43"/>
  <c r="K184" i="43"/>
  <c r="L53" i="13"/>
  <c r="L72" i="13"/>
  <c r="J43" i="43"/>
  <c r="J64" i="43"/>
  <c r="J184" i="43"/>
  <c r="I148" i="43"/>
  <c r="I147" i="43"/>
  <c r="R11" i="43"/>
  <c r="R33" i="43"/>
  <c r="R153" i="43"/>
  <c r="R158" i="43"/>
  <c r="I75" i="43"/>
  <c r="AB75" i="43"/>
  <c r="K168" i="13"/>
  <c r="K173" i="13"/>
  <c r="G146" i="43"/>
  <c r="G145" i="43"/>
  <c r="G114" i="43"/>
  <c r="Z53" i="43"/>
  <c r="Z59" i="43"/>
  <c r="Z60" i="43"/>
  <c r="G53" i="43"/>
  <c r="L92" i="43"/>
  <c r="L98" i="43"/>
  <c r="U146" i="43"/>
  <c r="U145" i="43"/>
  <c r="G14" i="43"/>
  <c r="G45" i="43"/>
  <c r="G84" i="43"/>
  <c r="Z84" i="43"/>
  <c r="L36" i="43"/>
  <c r="L36" i="13"/>
  <c r="H146" i="43"/>
  <c r="H145" i="43"/>
  <c r="L11" i="13"/>
  <c r="L111" i="13"/>
  <c r="L116" i="13"/>
  <c r="T11" i="43"/>
  <c r="T163" i="43"/>
  <c r="T168" i="43"/>
  <c r="P13" i="43"/>
  <c r="P148" i="43"/>
  <c r="P147" i="43"/>
  <c r="P116" i="43"/>
  <c r="H43" i="43"/>
  <c r="H64" i="43"/>
  <c r="H184" i="43"/>
  <c r="M14" i="13"/>
  <c r="M55" i="13"/>
  <c r="M75" i="13"/>
  <c r="H45" i="43"/>
  <c r="H57" i="43"/>
  <c r="AA57" i="43"/>
  <c r="N28" i="45"/>
  <c r="N33" i="45"/>
  <c r="G13" i="43"/>
  <c r="G13" i="13"/>
  <c r="G163" i="13"/>
  <c r="G162" i="13"/>
  <c r="I53" i="13"/>
  <c r="I72" i="13"/>
  <c r="I77" i="13"/>
  <c r="I79" i="13"/>
  <c r="I85" i="13"/>
  <c r="I33" i="43"/>
  <c r="I92" i="43"/>
  <c r="I98" i="43"/>
  <c r="J53" i="43"/>
  <c r="AC53" i="43"/>
  <c r="AC59" i="43"/>
  <c r="AC60" i="43"/>
  <c r="J33" i="43"/>
  <c r="J33" i="13"/>
  <c r="J168" i="13"/>
  <c r="J173" i="13"/>
  <c r="I45" i="43"/>
  <c r="I105" i="43"/>
  <c r="AB105" i="43"/>
  <c r="L11" i="43"/>
  <c r="L33" i="43"/>
  <c r="L33" i="13"/>
  <c r="L168" i="13"/>
  <c r="L173" i="13"/>
  <c r="K33" i="43"/>
  <c r="K33" i="13"/>
  <c r="K100" i="13"/>
  <c r="K106" i="13"/>
  <c r="K146" i="43"/>
  <c r="K145" i="43"/>
  <c r="K114" i="43"/>
  <c r="M123" i="13"/>
  <c r="M61" i="13"/>
  <c r="M53" i="43"/>
  <c r="AF53" i="43"/>
  <c r="AF59" i="43"/>
  <c r="H90" i="13"/>
  <c r="H95" i="13"/>
  <c r="I129" i="13"/>
  <c r="I114" i="13"/>
  <c r="S11" i="43"/>
  <c r="S43" i="43"/>
  <c r="S82" i="43"/>
  <c r="S87" i="43"/>
  <c r="G43" i="43"/>
  <c r="G82" i="43"/>
  <c r="Z82" i="43"/>
  <c r="Z87" i="43"/>
  <c r="U11" i="43"/>
  <c r="U33" i="43"/>
  <c r="U153" i="43"/>
  <c r="U158" i="43"/>
  <c r="H11" i="43"/>
  <c r="H11" i="13"/>
  <c r="H161" i="13"/>
  <c r="H160" i="13"/>
  <c r="H121" i="13"/>
  <c r="K43" i="43"/>
  <c r="K72" i="43"/>
  <c r="AD72" i="43"/>
  <c r="J161" i="13"/>
  <c r="J160" i="13"/>
  <c r="R28" i="45"/>
  <c r="R33" i="45"/>
  <c r="K13" i="43"/>
  <c r="K13" i="13"/>
  <c r="K163" i="13"/>
  <c r="K162" i="13"/>
  <c r="K123" i="13"/>
  <c r="I57" i="45"/>
  <c r="M35" i="43"/>
  <c r="M35" i="13"/>
  <c r="M102" i="13"/>
  <c r="Q53" i="43"/>
  <c r="H61" i="13"/>
  <c r="H53" i="43"/>
  <c r="J148" i="43"/>
  <c r="J147" i="43"/>
  <c r="J111" i="13"/>
  <c r="J116" i="13"/>
  <c r="M14" i="43"/>
  <c r="M39" i="43"/>
  <c r="M94" i="43"/>
  <c r="G61" i="13"/>
  <c r="P53" i="43"/>
  <c r="P59" i="43"/>
  <c r="H13" i="13"/>
  <c r="H163" i="13"/>
  <c r="H162" i="13"/>
  <c r="G111" i="13"/>
  <c r="G116" i="13"/>
  <c r="J11" i="43"/>
  <c r="J11" i="13"/>
  <c r="J90" i="13"/>
  <c r="J95" i="13"/>
  <c r="I14" i="43"/>
  <c r="I39" i="43"/>
  <c r="I94" i="43"/>
  <c r="Q11" i="43"/>
  <c r="Q163" i="43"/>
  <c r="Q168" i="43"/>
  <c r="I146" i="43"/>
  <c r="I145" i="43"/>
  <c r="K53" i="13"/>
  <c r="K72" i="13"/>
  <c r="K77" i="13"/>
  <c r="K79" i="13"/>
  <c r="K85" i="13"/>
  <c r="O35" i="45"/>
  <c r="O28" i="45"/>
  <c r="O33" i="45"/>
  <c r="H13" i="43"/>
  <c r="H14" i="43"/>
  <c r="H14" i="13"/>
  <c r="H55" i="13"/>
  <c r="H75" i="13"/>
  <c r="I11" i="43"/>
  <c r="I11" i="13"/>
  <c r="I161" i="13"/>
  <c r="I160" i="13"/>
  <c r="I121" i="13"/>
  <c r="G59" i="45"/>
  <c r="M148" i="43"/>
  <c r="M147" i="43"/>
  <c r="M116" i="43"/>
  <c r="J13" i="43"/>
  <c r="J14" i="43"/>
  <c r="J39" i="43"/>
  <c r="J94" i="43"/>
  <c r="S35" i="45"/>
  <c r="S28" i="45"/>
  <c r="S33" i="45"/>
  <c r="L13" i="43"/>
  <c r="L13" i="13"/>
  <c r="L163" i="13"/>
  <c r="L162" i="13"/>
  <c r="L123" i="13"/>
  <c r="J57" i="45"/>
  <c r="Q35" i="45"/>
  <c r="Q28" i="45"/>
  <c r="Q33" i="45"/>
  <c r="S13" i="43"/>
  <c r="S148" i="43"/>
  <c r="S147" i="43"/>
  <c r="S116" i="43"/>
  <c r="P35" i="45"/>
  <c r="P28" i="45"/>
  <c r="P33" i="45"/>
  <c r="I13" i="43"/>
  <c r="I13" i="13"/>
  <c r="I163" i="13"/>
  <c r="I162" i="13"/>
  <c r="L61" i="13"/>
  <c r="U53" i="43"/>
  <c r="U59" i="43"/>
  <c r="R35" i="45"/>
  <c r="K11" i="43"/>
  <c r="K11" i="13"/>
  <c r="K129" i="13"/>
  <c r="K114" i="13"/>
  <c r="T35" i="45"/>
  <c r="T28" i="45"/>
  <c r="T33" i="45"/>
  <c r="M13" i="43"/>
  <c r="M13" i="13"/>
  <c r="M163" i="13"/>
  <c r="M162" i="13"/>
  <c r="N35" i="45"/>
  <c r="G11" i="43"/>
  <c r="G11" i="13"/>
  <c r="G53" i="13"/>
  <c r="G72" i="13"/>
  <c r="G77" i="13"/>
  <c r="G79" i="13"/>
  <c r="J61" i="13"/>
  <c r="S53" i="43"/>
  <c r="S59" i="43"/>
</calcChain>
</file>

<file path=xl/sharedStrings.xml><?xml version="1.0" encoding="utf-8"?>
<sst xmlns="http://schemas.openxmlformats.org/spreadsheetml/2006/main" count="1632" uniqueCount="503">
  <si>
    <t>LAMINAGE A FROID</t>
  </si>
  <si>
    <t>1ère année</t>
  </si>
  <si>
    <t>2ème année</t>
  </si>
  <si>
    <t>3ème année</t>
  </si>
  <si>
    <t>4ème année</t>
  </si>
  <si>
    <t>5ème année</t>
  </si>
  <si>
    <t>6ème année</t>
  </si>
  <si>
    <t>7ème année</t>
  </si>
  <si>
    <t>Augmentation annuelle</t>
  </si>
  <si>
    <t xml:space="preserve">Matière Première </t>
  </si>
  <si>
    <t>Energie, Eau et Air comprimé</t>
  </si>
  <si>
    <t xml:space="preserve">PR et consommables </t>
  </si>
  <si>
    <t>du C.A.</t>
  </si>
  <si>
    <t>TREILLIS SOUDES</t>
  </si>
  <si>
    <t>POUTRELLES</t>
  </si>
  <si>
    <t>PRODUITS COUPES FACONNES</t>
  </si>
  <si>
    <t>ARMATURES STANDARDS</t>
  </si>
  <si>
    <t>INFRASTRUCTURE</t>
  </si>
  <si>
    <t>EQUIPEMENT</t>
  </si>
  <si>
    <t>EQUIPEMENTS</t>
  </si>
  <si>
    <t>AMORT</t>
  </si>
  <si>
    <t>ans</t>
  </si>
  <si>
    <t>TOTAL INFRASTRURE</t>
  </si>
  <si>
    <t>TOTAL INVESTISSEMENT</t>
  </si>
  <si>
    <t>P.U. (DT)</t>
  </si>
  <si>
    <t>CONS.</t>
  </si>
  <si>
    <t>Amortissement Infrastructure</t>
  </si>
  <si>
    <t>Amortissement équipement</t>
  </si>
  <si>
    <t>cout fixe/ ans</t>
  </si>
  <si>
    <t>Mains d'Œuvre Direct (2 Tech.)</t>
  </si>
  <si>
    <t>DEPENSES ANNUELLES (DT)</t>
  </si>
  <si>
    <t>C.A. ANNUEL (DT)</t>
  </si>
  <si>
    <t>REVENU AVANT IMPOT</t>
  </si>
  <si>
    <t>Frais Financiers de Financement</t>
  </si>
  <si>
    <t>FOND PROPRE</t>
  </si>
  <si>
    <t>PRËT</t>
  </si>
  <si>
    <t>Durée</t>
  </si>
  <si>
    <t>Taux d'interêt</t>
  </si>
  <si>
    <t>8ème année</t>
  </si>
  <si>
    <t>9ème année</t>
  </si>
  <si>
    <t>10ème année</t>
  </si>
  <si>
    <t>Frais Fixes</t>
  </si>
  <si>
    <t>Cumul remboursement fixe</t>
  </si>
  <si>
    <t>Frais Variables</t>
  </si>
  <si>
    <t xml:space="preserve">Total Charges </t>
  </si>
  <si>
    <t>CHARGES FINANCIERES PAR PRODUIT</t>
  </si>
  <si>
    <t>Bobines laminées à froid</t>
  </si>
  <si>
    <t>REINVESTISSEMENT 2EME LIGNE DE LAMINAGE A FROID</t>
  </si>
  <si>
    <t>REINVESTISSEMENT UNITE DE FACONNAGE D'ARMATURE STANDARD</t>
  </si>
  <si>
    <t>TOTAL CHARGES FINANCIERES PHASE 1 ET PHASE 2</t>
  </si>
  <si>
    <t xml:space="preserve">Capacité moyenne </t>
  </si>
  <si>
    <t>T/H</t>
  </si>
  <si>
    <t>Rendement</t>
  </si>
  <si>
    <t>T/AN (1P)</t>
  </si>
  <si>
    <t>T/AN (2P)</t>
  </si>
  <si>
    <t>T/AN (3P)</t>
  </si>
  <si>
    <t>Total Main d'Œuvre indirect (tous les atelier)</t>
  </si>
  <si>
    <t>Charges Interêt</t>
  </si>
  <si>
    <t>Frais financiers de fonctionnement 0,5% P.V</t>
  </si>
  <si>
    <t>Autres Charges d'Exploitation (1%du P.V.)</t>
  </si>
  <si>
    <t xml:space="preserve">Charge M.O direct annuelle </t>
  </si>
  <si>
    <t>TREILLIS ANTI-FISSURATION</t>
  </si>
  <si>
    <t>TREILLIS DE STRUCTURE</t>
  </si>
  <si>
    <t>COUPE FACONNE</t>
  </si>
  <si>
    <t>TOTAL</t>
  </si>
  <si>
    <t>DT/an</t>
  </si>
  <si>
    <t>Ratio du volume</t>
  </si>
  <si>
    <t xml:space="preserve">Main d'œuvre Indirect </t>
  </si>
  <si>
    <t>Ratio</t>
  </si>
  <si>
    <t>TOTAL UTILITE ET INSTALL.</t>
  </si>
  <si>
    <t>Equipement</t>
  </si>
  <si>
    <t>UTILITES ET INSTALLATION</t>
  </si>
  <si>
    <t>Frais annuels</t>
  </si>
  <si>
    <t>Maind'Œuvre direct (1Poste: 2T)</t>
  </si>
  <si>
    <t>DT/mois</t>
  </si>
  <si>
    <t>Prix moyen des bobines laminées à chaud</t>
  </si>
  <si>
    <t>Prix moyen des bobines laminées à froid</t>
  </si>
  <si>
    <t>DT/T</t>
  </si>
  <si>
    <t>Utilisation dans les treillis</t>
  </si>
  <si>
    <t>PRIX DE VENTE SIDENOR   (DT/T)</t>
  </si>
  <si>
    <t>PRIX DU MARCHE   (DT/T)</t>
  </si>
  <si>
    <t>TOTAL INVESTISSEMENT ATELIER</t>
  </si>
  <si>
    <t>TOTAL EQUIPEMENTS USINE</t>
  </si>
  <si>
    <t>TOTAL INVESTISSEMENT USINE</t>
  </si>
  <si>
    <t>UTILITE ET INSTALLATION.</t>
  </si>
  <si>
    <t>PRIX DE REVIENT  avec MP  (DT/T)</t>
  </si>
  <si>
    <t>COUT DE TRANSFORMATION (DT/T)</t>
  </si>
  <si>
    <t>Mains d'Œuvre Direct (4 Tech.)</t>
  </si>
  <si>
    <t>KG/h/technicien de montage</t>
  </si>
  <si>
    <t>VOLUME ACTIVITE DE L'ENSEMBLE DE L'USINE</t>
  </si>
  <si>
    <t>VOLUME ACTIVITET.S. ANTIFISSURATION</t>
  </si>
  <si>
    <t>MARCHE</t>
  </si>
  <si>
    <t>par an</t>
  </si>
  <si>
    <t>POTENTIEL DU MARCHE</t>
  </si>
  <si>
    <t>P.U.</t>
  </si>
  <si>
    <t>Loyer Annuel Batiment</t>
  </si>
  <si>
    <t>Surface</t>
  </si>
  <si>
    <t>DT par an</t>
  </si>
  <si>
    <t>M2</t>
  </si>
  <si>
    <t xml:space="preserve">Chiffre D'affaires </t>
  </si>
  <si>
    <t>DT/Tonne</t>
  </si>
  <si>
    <t>Laminage à froid</t>
  </si>
  <si>
    <t>T.S. Antifissuration</t>
  </si>
  <si>
    <t>Poutrelles</t>
  </si>
  <si>
    <t>N1</t>
  </si>
  <si>
    <t>N2</t>
  </si>
  <si>
    <t>N3</t>
  </si>
  <si>
    <t>N4</t>
  </si>
  <si>
    <t>N5</t>
  </si>
  <si>
    <t>N6</t>
  </si>
  <si>
    <t>N7</t>
  </si>
  <si>
    <t>Laminage a Froid</t>
  </si>
  <si>
    <t>Total Laminage</t>
  </si>
  <si>
    <t>SIDENOR</t>
  </si>
  <si>
    <t>BUDGET 2019</t>
  </si>
  <si>
    <t>Production R11:Moyenne jrs_ volume unités _Tonnage</t>
  </si>
  <si>
    <t>Code Article</t>
  </si>
  <si>
    <t>Article</t>
  </si>
  <si>
    <t>PF0101</t>
  </si>
  <si>
    <t>PF0102</t>
  </si>
  <si>
    <t>PF0103</t>
  </si>
  <si>
    <t>PF0104</t>
  </si>
  <si>
    <t>PF0105</t>
  </si>
  <si>
    <t>PF0106</t>
  </si>
  <si>
    <t>PF0107</t>
  </si>
  <si>
    <t>PF0108</t>
  </si>
  <si>
    <t>F02-PV01</t>
  </si>
  <si>
    <t>PV01</t>
  </si>
  <si>
    <t>PF0201</t>
  </si>
  <si>
    <t>F02</t>
  </si>
  <si>
    <t>Ø 5,5 3SPPS</t>
  </si>
  <si>
    <t>PF0202</t>
  </si>
  <si>
    <t>Ø 5,5 SAE1006</t>
  </si>
  <si>
    <t>PF0203</t>
  </si>
  <si>
    <t>Ø 5,5 SAE1008</t>
  </si>
  <si>
    <t>Ø 06 3SPPS</t>
  </si>
  <si>
    <t>F02-PV02</t>
  </si>
  <si>
    <t>PV02</t>
  </si>
  <si>
    <t>PF0205</t>
  </si>
  <si>
    <t>Ø 06 SAE 1006</t>
  </si>
  <si>
    <t>F02-PV04</t>
  </si>
  <si>
    <t>PV04</t>
  </si>
  <si>
    <t>PF0207</t>
  </si>
  <si>
    <t>Ø 7 SAE1006</t>
  </si>
  <si>
    <t>F02-PV05</t>
  </si>
  <si>
    <t>PV05</t>
  </si>
  <si>
    <t>PF0208</t>
  </si>
  <si>
    <t>Ø 7 SAE1008</t>
  </si>
  <si>
    <t>F02-PV06</t>
  </si>
  <si>
    <t>PV06</t>
  </si>
  <si>
    <t>PF0209</t>
  </si>
  <si>
    <t>Ø 9 SAE1008</t>
  </si>
  <si>
    <t>PF0301</t>
  </si>
  <si>
    <t>PF0302</t>
  </si>
  <si>
    <t>PF0303</t>
  </si>
  <si>
    <t>PF0304</t>
  </si>
  <si>
    <t>PF0305</t>
  </si>
  <si>
    <t>PF0306</t>
  </si>
  <si>
    <t>PF0307</t>
  </si>
  <si>
    <t>PF0401</t>
  </si>
  <si>
    <t>PF0402</t>
  </si>
  <si>
    <t>PF0403</t>
  </si>
  <si>
    <t>PF0404</t>
  </si>
  <si>
    <t>PF0701</t>
  </si>
  <si>
    <t>PF0702</t>
  </si>
  <si>
    <t>PF0703</t>
  </si>
  <si>
    <t>PF0704</t>
  </si>
  <si>
    <t>PF0501</t>
  </si>
  <si>
    <t>PF0502</t>
  </si>
  <si>
    <t>PF0503</t>
  </si>
  <si>
    <t>PF0504</t>
  </si>
  <si>
    <t>PF0601</t>
  </si>
  <si>
    <t>PF0602</t>
  </si>
  <si>
    <t>PF0603</t>
  </si>
  <si>
    <t>PF0604</t>
  </si>
  <si>
    <t>Total Activité</t>
  </si>
  <si>
    <t>Jours Ouvrables</t>
  </si>
  <si>
    <t>% Répartition</t>
  </si>
  <si>
    <t xml:space="preserve">Evolution du Prix de Vente _Chiffre d'affaires </t>
  </si>
  <si>
    <t xml:space="preserve">Evolution Prix de Vente </t>
  </si>
  <si>
    <t xml:space="preserve">Prix de Vente </t>
  </si>
  <si>
    <t>F02-PV03</t>
  </si>
  <si>
    <t>PV03</t>
  </si>
  <si>
    <t>PF0206</t>
  </si>
  <si>
    <t xml:space="preserve">Chiffre d'Affaires </t>
  </si>
  <si>
    <t>Rep 9 Mois</t>
  </si>
  <si>
    <t>Sept</t>
  </si>
  <si>
    <t>Chargement</t>
  </si>
  <si>
    <t>CA01</t>
  </si>
  <si>
    <t>CA RB +FM</t>
  </si>
  <si>
    <t>F01</t>
  </si>
  <si>
    <t>F04</t>
  </si>
  <si>
    <t>F05</t>
  </si>
  <si>
    <t>F06</t>
  </si>
  <si>
    <t>Ligne Treillis Soudés</t>
  </si>
  <si>
    <t>Budget 2018</t>
  </si>
  <si>
    <t>B2018 - Consommation Matières Premières &amp; Energies</t>
  </si>
  <si>
    <t>Description</t>
  </si>
  <si>
    <t>Unité</t>
  </si>
  <si>
    <t>T01</t>
  </si>
  <si>
    <t>MATIERES PREMIERES</t>
  </si>
  <si>
    <t/>
  </si>
  <si>
    <t>MP0001</t>
  </si>
  <si>
    <t>Tonne</t>
  </si>
  <si>
    <t>MP0002</t>
  </si>
  <si>
    <t>MP0003</t>
  </si>
  <si>
    <t>MP0004</t>
  </si>
  <si>
    <t>Kwh</t>
  </si>
  <si>
    <t>MP0005</t>
  </si>
  <si>
    <t>NM3</t>
  </si>
  <si>
    <t>MP0006</t>
  </si>
  <si>
    <t>M3</t>
  </si>
  <si>
    <t>MP0008</t>
  </si>
  <si>
    <t>MP0009</t>
  </si>
  <si>
    <t>MP0010</t>
  </si>
  <si>
    <t>MP0011</t>
  </si>
  <si>
    <t>MP0017</t>
  </si>
  <si>
    <t>MP0018</t>
  </si>
  <si>
    <t>DT/3 jeu</t>
  </si>
  <si>
    <t>MP0012</t>
  </si>
  <si>
    <t>MP0013</t>
  </si>
  <si>
    <t>MP0014</t>
  </si>
  <si>
    <t>Unité/Tonne</t>
  </si>
  <si>
    <t>MP0015</t>
  </si>
  <si>
    <t>MP0016</t>
  </si>
  <si>
    <t>Prod</t>
  </si>
  <si>
    <t>Charges de Financement</t>
  </si>
  <si>
    <t>R021</t>
  </si>
  <si>
    <t>Autres Couts Fixes Industriels</t>
  </si>
  <si>
    <t>Frais Divers de Gestion</t>
  </si>
  <si>
    <t xml:space="preserve">Impôt sur les bénéfices </t>
  </si>
  <si>
    <t>Résultat d'exploitation</t>
  </si>
  <si>
    <t>Version 3</t>
  </si>
  <si>
    <t>Etat de résultat prévisionnel 2020-2026</t>
  </si>
  <si>
    <t>En milliers de DT</t>
  </si>
  <si>
    <t>2020 P</t>
  </si>
  <si>
    <t>2021 P</t>
  </si>
  <si>
    <t>2022 P</t>
  </si>
  <si>
    <t>2023 P</t>
  </si>
  <si>
    <t>2024 P</t>
  </si>
  <si>
    <t>2025 P</t>
  </si>
  <si>
    <t>2026 P</t>
  </si>
  <si>
    <t>CAGR               (2018-2022)</t>
  </si>
  <si>
    <t>Revenus</t>
  </si>
  <si>
    <t>Achats de marchandises consommées</t>
  </si>
  <si>
    <t>Achats d'appro. Consommés</t>
  </si>
  <si>
    <t>Marge brute</t>
  </si>
  <si>
    <t xml:space="preserve">Charges de personnel </t>
  </si>
  <si>
    <t xml:space="preserve">Autres charges d'exploitation </t>
  </si>
  <si>
    <t>EBITDA</t>
  </si>
  <si>
    <t>Dotations aux amt. et aux prov.</t>
  </si>
  <si>
    <t xml:space="preserve">EBIT </t>
  </si>
  <si>
    <t>Charges financières liées à l'exploitation</t>
  </si>
  <si>
    <t>Charges financières liées aux emprunts</t>
  </si>
  <si>
    <t>Charges financières</t>
  </si>
  <si>
    <t>Eléments extraordinaires (Gains/Pertes)</t>
  </si>
  <si>
    <t>Résultat net</t>
  </si>
  <si>
    <t>Taux de marge</t>
  </si>
  <si>
    <t>EBITDA en % du CA</t>
  </si>
  <si>
    <t>EBIT en % du CA</t>
  </si>
  <si>
    <t>Résultat Net en % CA</t>
  </si>
  <si>
    <t>COUT DE L'INSTALLATION D'UNE LIGNE DE FABRICATION DE POUTRELLE (AWM)</t>
  </si>
  <si>
    <t>CONTRUCTIONS</t>
  </si>
  <si>
    <t>DT</t>
  </si>
  <si>
    <t>LIGNE COMPLETE DE LAMINAGE A FROID</t>
  </si>
  <si>
    <t xml:space="preserve"> DT</t>
  </si>
  <si>
    <t>1 EURO</t>
  </si>
  <si>
    <t>MONTAGE, ASSISTANCE  ET MISE EN SERVICE</t>
  </si>
  <si>
    <t>UTILITES: ELECTRICITE, AIR ET EAU GLACEE</t>
  </si>
  <si>
    <t>FRAIS DIVERS</t>
  </si>
  <si>
    <t>TOTAL INVESTISSEMENT EQUIPEMENTS</t>
  </si>
  <si>
    <t>PRIX DE REVIENT POUTRELLES</t>
  </si>
  <si>
    <t>RENDEMENT :</t>
  </si>
  <si>
    <t>VITESSE EN M/MIN</t>
  </si>
  <si>
    <t>CADENCE EN CYCLES / MINUTE</t>
  </si>
  <si>
    <t>CAPACITES EN T/(8xH)  SELON MODELE</t>
  </si>
  <si>
    <t>MODELE : Φ Long(mm) - Φ Transv(mm) - Haut(mm)</t>
  </si>
  <si>
    <t xml:space="preserve">10 - 5 - 90  </t>
  </si>
  <si>
    <t xml:space="preserve">10  - 6  - 120  </t>
  </si>
  <si>
    <t xml:space="preserve">12  - 6  - 150  </t>
  </si>
  <si>
    <t>14  -  7  -  200</t>
  </si>
  <si>
    <t>14  -  7  -  250</t>
  </si>
  <si>
    <t xml:space="preserve">12  - 6  - 300   </t>
  </si>
  <si>
    <t>Moyenne</t>
  </si>
  <si>
    <t>UNITE</t>
  </si>
  <si>
    <t>PRIX UNIT</t>
  </si>
  <si>
    <t>COUT</t>
  </si>
  <si>
    <t>Consommation Electrique machines</t>
  </si>
  <si>
    <t>KWH</t>
  </si>
  <si>
    <t>Air Comprimé (100Nm3 /h à 6 bars)</t>
  </si>
  <si>
    <t>Consommation Galets (1 jeu de 3 : 600 € par 4000 T )</t>
  </si>
  <si>
    <t>JEU</t>
  </si>
  <si>
    <t>Autres P.R. et consommables (1% du cout sur Tonnage)</t>
  </si>
  <si>
    <t>LOT</t>
  </si>
  <si>
    <t>Main d'Œuvre (2 techniciens)</t>
  </si>
  <si>
    <t>H.TECH</t>
  </si>
  <si>
    <t>Amortissement equipement  (10 ans )</t>
  </si>
  <si>
    <t>Amortissement Construction (1 MD sur 20 ans)</t>
  </si>
  <si>
    <t xml:space="preserve">TOTAL </t>
  </si>
  <si>
    <t>Code</t>
  </si>
  <si>
    <t>Logiciels</t>
  </si>
  <si>
    <t>Activité</t>
  </si>
  <si>
    <t>Matériels de Transport</t>
  </si>
  <si>
    <t>Mobiliers et Matériels de Bureau</t>
  </si>
  <si>
    <t>Matériels informatique</t>
  </si>
  <si>
    <t>Immobilisations corporelles Brutes</t>
  </si>
  <si>
    <t>Immobilisations corp. &amp; incorp. Brutes</t>
  </si>
  <si>
    <t>Laminage à Froid</t>
  </si>
  <si>
    <t>Code Pdts</t>
  </si>
  <si>
    <t xml:space="preserve">Description Produits </t>
  </si>
  <si>
    <t>Code Gamme</t>
  </si>
  <si>
    <t xml:space="preserve">Gamme de Produits </t>
  </si>
  <si>
    <t>Code Atelier</t>
  </si>
  <si>
    <t xml:space="preserve">Description Atelier_Ligne </t>
  </si>
  <si>
    <t>CODE Gamme</t>
  </si>
  <si>
    <t>Description Gamme</t>
  </si>
  <si>
    <t>CODE Activité</t>
  </si>
  <si>
    <t>Descr. Activité</t>
  </si>
  <si>
    <t>PFF</t>
  </si>
  <si>
    <t>01-PRODUITS SID</t>
  </si>
  <si>
    <t>Armatures Diam8</t>
  </si>
  <si>
    <t>Armatures Pré-Fabriqués</t>
  </si>
  <si>
    <t>L04</t>
  </si>
  <si>
    <t>Atelier de Façonnage</t>
  </si>
  <si>
    <t>Armatures Diam10</t>
  </si>
  <si>
    <t>Armatures Diam12</t>
  </si>
  <si>
    <t>Armatures Diam14</t>
  </si>
  <si>
    <t xml:space="preserve">D03 en Bobine </t>
  </si>
  <si>
    <t>Fil machine Diam 3 en bobine</t>
  </si>
  <si>
    <t>L05</t>
  </si>
  <si>
    <t xml:space="preserve">Ligne Laminage à Froid </t>
  </si>
  <si>
    <t xml:space="preserve">D04 en Bobine </t>
  </si>
  <si>
    <t>Fil machine Diam 4 en bobine</t>
  </si>
  <si>
    <t>L06</t>
  </si>
  <si>
    <t xml:space="preserve">D05 en Bobine </t>
  </si>
  <si>
    <t>Fil machine Diam 5 en bobine</t>
  </si>
  <si>
    <t>L07</t>
  </si>
  <si>
    <t xml:space="preserve">D06 en Bobine </t>
  </si>
  <si>
    <t>Fil machine Diam 6 en bobine</t>
  </si>
  <si>
    <t>L08</t>
  </si>
  <si>
    <t>Produits  TR_Soudé  Section 3</t>
  </si>
  <si>
    <t>Treillis Soudé</t>
  </si>
  <si>
    <t>Produits  TR_Soudé  Section 4</t>
  </si>
  <si>
    <t>Produits  TR_Soudé  Section 6</t>
  </si>
  <si>
    <t>Produits  TR_Soudé  Section 8</t>
  </si>
  <si>
    <t>PF0605</t>
  </si>
  <si>
    <t>Produits  TR_Soudé  Section 10</t>
  </si>
  <si>
    <t>Produits FAS 1</t>
  </si>
  <si>
    <t>F07</t>
  </si>
  <si>
    <t>Amataures façconnés_Assemblé_Soudé</t>
  </si>
  <si>
    <t>Produits FAS 2</t>
  </si>
  <si>
    <t>Produits FAS 3</t>
  </si>
  <si>
    <t>Produits FAS 4</t>
  </si>
  <si>
    <t>PR0101</t>
  </si>
  <si>
    <t xml:space="preserve">Barres Courtes </t>
  </si>
  <si>
    <t>F08</t>
  </si>
  <si>
    <t>Produits résiduels</t>
  </si>
  <si>
    <t>PR</t>
  </si>
  <si>
    <t>PR0102</t>
  </si>
  <si>
    <t>Calamine</t>
  </si>
  <si>
    <t>PR0103</t>
  </si>
  <si>
    <t>Produits Féraille</t>
  </si>
  <si>
    <t>Tréillis Antifussuration</t>
  </si>
  <si>
    <t>Lamilage à Froid</t>
  </si>
  <si>
    <t xml:space="preserve">Volume de Vente </t>
  </si>
  <si>
    <t>Prix des Vente</t>
  </si>
  <si>
    <t>Lamilage à Froid_Prix de Revient</t>
  </si>
  <si>
    <t>Lamilage à Froid_PV SIDENOR</t>
  </si>
  <si>
    <r>
      <t xml:space="preserve">Eau de Refroidissement </t>
    </r>
    <r>
      <rPr>
        <sz val="10"/>
        <color theme="1"/>
        <rFont val="Bodoni MT"/>
        <family val="1"/>
      </rPr>
      <t>(7 m3/h ∆T 8° )</t>
    </r>
  </si>
  <si>
    <t xml:space="preserve">Utilités </t>
  </si>
  <si>
    <t>Infrastructure</t>
  </si>
  <si>
    <t>Equipements Industriels</t>
  </si>
  <si>
    <t>Matériel de Manutention</t>
  </si>
  <si>
    <t>Matériel de Laboratoire</t>
  </si>
  <si>
    <t>Prod Moy/Heure</t>
  </si>
  <si>
    <t>2 Poste</t>
  </si>
  <si>
    <t>3 Poste</t>
  </si>
  <si>
    <t>Rend Neuf</t>
  </si>
  <si>
    <t>1Poste</t>
  </si>
  <si>
    <t>1 Poste</t>
  </si>
  <si>
    <t>Nbr Heure Effectif/Jrs</t>
  </si>
  <si>
    <t>Nbre Jour/mois</t>
  </si>
  <si>
    <t>Nbre Mois/an</t>
  </si>
  <si>
    <t>Total Capacité</t>
  </si>
  <si>
    <t>Capacité Machine Neuf/An</t>
  </si>
  <si>
    <t>Capacité Machine Retapé/An</t>
  </si>
  <si>
    <t>% Volume de Production</t>
  </si>
  <si>
    <t xml:space="preserve">Nombre de Poste </t>
  </si>
  <si>
    <t>Electrode</t>
  </si>
  <si>
    <t>3Poste</t>
  </si>
  <si>
    <t>4 poste</t>
  </si>
  <si>
    <t>% inv Equi</t>
  </si>
  <si>
    <t>Valeur Origine Investissement</t>
  </si>
  <si>
    <t>Calcul Investissement equipement</t>
  </si>
  <si>
    <t>Total Invest D'Origine</t>
  </si>
  <si>
    <t>Total charge financement</t>
  </si>
  <si>
    <t>Total Chiffre d'affaire Consolidé</t>
  </si>
  <si>
    <t xml:space="preserve">Charges Financiéres </t>
  </si>
  <si>
    <t>Charges Marketing &amp; Communication</t>
  </si>
  <si>
    <t xml:space="preserve">Total charges Marketing </t>
  </si>
  <si>
    <t>Remise commerciale</t>
  </si>
  <si>
    <t xml:space="preserve">Taux D'occupation Machine </t>
  </si>
  <si>
    <t>Taux Occupation Global</t>
  </si>
  <si>
    <t xml:space="preserve">Volume Marché </t>
  </si>
  <si>
    <t>Mché</t>
  </si>
  <si>
    <t>Potentiel</t>
  </si>
  <si>
    <t xml:space="preserve">Total Volume Marché </t>
  </si>
  <si>
    <t>Objectif vs Part de Marché</t>
  </si>
  <si>
    <t>Obj</t>
  </si>
  <si>
    <t>Volume</t>
  </si>
  <si>
    <t xml:space="preserve">Total Objectif </t>
  </si>
  <si>
    <t>Remise Commerciale</t>
  </si>
  <si>
    <t>Max Remise</t>
  </si>
  <si>
    <t xml:space="preserve">Remise Proposé </t>
  </si>
  <si>
    <t>Volume Budget</t>
  </si>
  <si>
    <t>4Poste</t>
  </si>
  <si>
    <t>Volume Marché Local</t>
  </si>
  <si>
    <t>Données Marché Local</t>
  </si>
  <si>
    <t>Données Marché Export</t>
  </si>
  <si>
    <t xml:space="preserve">Volume Export </t>
  </si>
  <si>
    <t xml:space="preserve">Cours </t>
  </si>
  <si>
    <t>Répartition Charges de Financement</t>
  </si>
  <si>
    <t xml:space="preserve">Répartition Amortissements </t>
  </si>
  <si>
    <t>Répartition MOD</t>
  </si>
  <si>
    <t>Répartition Autres couts fixes</t>
  </si>
  <si>
    <t xml:space="preserve">Total Charges Financiéres </t>
  </si>
  <si>
    <t>Prix Marché europeen</t>
  </si>
  <si>
    <t>20"</t>
  </si>
  <si>
    <t>40"</t>
  </si>
  <si>
    <t xml:space="preserve">Investissements </t>
  </si>
  <si>
    <t>Communs</t>
  </si>
  <si>
    <t xml:space="preserve">Tréillis Soudés : Nervure </t>
  </si>
  <si>
    <t>Mt Devise</t>
  </si>
  <si>
    <t xml:space="preserve">Mt en Dinars </t>
  </si>
  <si>
    <t>Durée Vie</t>
  </si>
  <si>
    <t>Taux Amor</t>
  </si>
  <si>
    <t xml:space="preserve">Immobilisations :Autres Investissements </t>
  </si>
  <si>
    <t>Prix de Marché</t>
  </si>
  <si>
    <t xml:space="preserve">Energie </t>
  </si>
  <si>
    <t>Prix Khw</t>
  </si>
  <si>
    <t>Prix Moyen</t>
  </si>
  <si>
    <t xml:space="preserve">Remise Commerciales </t>
  </si>
  <si>
    <t>% PV</t>
  </si>
  <si>
    <t>Elec</t>
  </si>
  <si>
    <t>Air comp</t>
  </si>
  <si>
    <t>Refroid</t>
  </si>
  <si>
    <t xml:space="preserve">Consommation Unitaire </t>
  </si>
  <si>
    <t>PDR</t>
  </si>
  <si>
    <t>Puiss/An</t>
  </si>
  <si>
    <t>DT/An</t>
  </si>
  <si>
    <t>Khw</t>
  </si>
  <si>
    <t>meme remise tréillis</t>
  </si>
  <si>
    <t>Total Coût Fixes Ind</t>
  </si>
  <si>
    <t>Ms Salariale Siége</t>
  </si>
  <si>
    <t>Total Autres CF</t>
  </si>
  <si>
    <t>Total Ms Siége</t>
  </si>
  <si>
    <t>Total Frais de Gestion</t>
  </si>
  <si>
    <t>Frais transfert</t>
  </si>
  <si>
    <t>Frais de Transport Maritime</t>
  </si>
  <si>
    <t>Frais de Transport Terrestre Etranger</t>
  </si>
  <si>
    <t>Capcité</t>
  </si>
  <si>
    <t>P.U</t>
  </si>
  <si>
    <t>PU/Camion</t>
  </si>
  <si>
    <t>Cours Devise</t>
  </si>
  <si>
    <t>Volume des Ventes locaux</t>
  </si>
  <si>
    <t>Volume des Ventes Export</t>
  </si>
  <si>
    <t xml:space="preserve">Total Activité </t>
  </si>
  <si>
    <t xml:space="preserve">Liste des Prix  Premiéres </t>
  </si>
  <si>
    <t>Prix des Ventes  Local</t>
  </si>
  <si>
    <t>Prix des Ventes Export</t>
  </si>
  <si>
    <t>Coût Transp Terrestre Export</t>
  </si>
  <si>
    <t>Tonne/Camion</t>
  </si>
  <si>
    <t>Frais  tpt/KM</t>
  </si>
  <si>
    <t>Coût/tonne</t>
  </si>
  <si>
    <t>Distance1</t>
  </si>
  <si>
    <t>Distance2</t>
  </si>
  <si>
    <t>Distance3</t>
  </si>
  <si>
    <t>Distance4</t>
  </si>
  <si>
    <t xml:space="preserve">Nervure </t>
  </si>
  <si>
    <t>Jeux</t>
  </si>
  <si>
    <t>/2000 Tonnes</t>
  </si>
  <si>
    <t>500 Tonnes</t>
  </si>
  <si>
    <t>4000 Tonnes</t>
  </si>
  <si>
    <t>Consommation PDR</t>
  </si>
  <si>
    <t xml:space="preserve">Autres </t>
  </si>
  <si>
    <t>coût Investissement</t>
  </si>
  <si>
    <t xml:space="preserve">Bobines laminés à Froid </t>
  </si>
  <si>
    <t xml:space="preserve">Coût Revient </t>
  </si>
  <si>
    <t>Pont Bascule</t>
  </si>
  <si>
    <t>Rations Vs Coût Investissements</t>
  </si>
  <si>
    <t>Cout Trpt par Tonne  20"</t>
  </si>
  <si>
    <t>Cout Trpt par Tonne  40"</t>
  </si>
  <si>
    <t>Bobines Compact Crantée à chaud</t>
  </si>
  <si>
    <t>Couronnes fil machine</t>
  </si>
  <si>
    <t>CA laminage (Prix Vente)</t>
  </si>
  <si>
    <t>Galet</t>
  </si>
  <si>
    <t>Par Tonne</t>
  </si>
  <si>
    <t>Capacité de Production Par Poste/an (Machine Neuf)</t>
  </si>
  <si>
    <t>Besoin laminage Poutrelle</t>
  </si>
  <si>
    <t>Besoin Lamninage Tréillis</t>
  </si>
  <si>
    <t>Capacité Max Laminage</t>
  </si>
  <si>
    <t>Cpacité Total</t>
  </si>
  <si>
    <t>Min Poutrelle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</si>
</sst>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6" formatCode="#,##0\ &quot;€&quot;;[Red]\-#,##0\ &quot;€&quot;"/>
    <numFmt numFmtId="43" formatCode="_-* #,##0.00\ _€_-;\-* #,##0.00\ _€_-;_-* &quot;-&quot;??\ _€_-;_-@_-"/>
    <numFmt numFmtId="164" formatCode="#,##0.0\ [$TND]"/>
    <numFmt numFmtId="165" formatCode="#,##0\ &quot;€&quot;"/>
    <numFmt numFmtId="166" formatCode="#,##0\ [$TND]"/>
    <numFmt numFmtId="167" formatCode="0.0%"/>
    <numFmt numFmtId="168" formatCode="_-* #,##0\ _€_-;\-* #,##0\ _€_-;_-* &quot;-&quot;??\ _€_-;_-@_-"/>
    <numFmt numFmtId="169" formatCode="_-* #,##0\ [$€-40C]_-;\-* #,##0\ [$€-40C]_-;_-* &quot;-&quot;??\ [$€-40C]_-;_-@_-"/>
    <numFmt numFmtId="170" formatCode="#,##0_ ;[Red]\-#,##0\ "/>
    <numFmt numFmtId="171" formatCode="#,##0.000_ ;[Red]\-#,##0.000\ "/>
    <numFmt numFmtId="172" formatCode="#,##0.0"/>
    <numFmt numFmtId="173" formatCode="[$-40C]mmm\-yy;@"/>
    <numFmt numFmtId="174" formatCode="#,##0.000000"/>
    <numFmt numFmtId="175" formatCode="#,##0.0_ ;[Red]\-#,##0.0\ "/>
    <numFmt numFmtId="176" formatCode="_-* #,##0.0\ _€_-;\-* #,##0.0\ _€_-;_-* &quot;-&quot;??\ _€_-;_-@_-"/>
    <numFmt numFmtId="177" formatCode="_(* #,##0_);_(* \(#,##0\);_(* &quot;-&quot;_);@_)"/>
    <numFmt numFmtId="178" formatCode="0.0"/>
    <numFmt numFmtId="179" formatCode="0%_);\(0%\)"/>
    <numFmt numFmtId="180" formatCode="0.0%_);\(0.0%\)"/>
    <numFmt numFmtId="181" formatCode="#,##0.00\ &quot;€&quot;"/>
    <numFmt numFmtId="182" formatCode="0.000"/>
    <numFmt numFmtId="183" formatCode="0.0000"/>
    <numFmt numFmtId="184" formatCode="#,##0.00_ ;\-#,##0.00\ "/>
    <numFmt numFmtId="185" formatCode="_-* #,##0.00\ [$€-40C]_-;\-* #,##0.00\ [$€-40C]_-;_-* &quot;-&quot;??\ [$€-40C]_-;_-@_-"/>
    <numFmt numFmtId="186" formatCode="#,##0.000\ [$TND]"/>
    <numFmt numFmtId="187" formatCode="_-* #,##0.0\ [$€-40C]_-;\-* #,##0.0\ [$€-40C]_-;_-* &quot;-&quot;??\ [$€-40C]_-;_-@_-"/>
  </numFmts>
  <fonts count="10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3"/>
      <name val="Calibri"/>
      <family val="2"/>
      <scheme val="minor"/>
    </font>
    <font>
      <b/>
      <sz val="11"/>
      <color theme="1"/>
      <name val="Bodoni MT"/>
      <family val="1"/>
    </font>
    <font>
      <sz val="11"/>
      <color theme="1"/>
      <name val="Bodoni MT"/>
      <family val="1"/>
    </font>
    <font>
      <b/>
      <sz val="12"/>
      <color theme="1"/>
      <name val="Bodoni MT"/>
      <family val="1"/>
    </font>
    <font>
      <b/>
      <sz val="11"/>
      <color rgb="FF0070C0"/>
      <name val="Bodoni MT"/>
      <family val="1"/>
    </font>
    <font>
      <b/>
      <sz val="14"/>
      <color theme="1"/>
      <name val="Bodoni MT"/>
      <family val="1"/>
    </font>
    <font>
      <b/>
      <sz val="11"/>
      <color rgb="FF7030A0"/>
      <name val="Bodoni MT"/>
      <family val="1"/>
    </font>
    <font>
      <sz val="11"/>
      <color rgb="FF7030A0"/>
      <name val="Bodoni MT"/>
      <family val="1"/>
    </font>
    <font>
      <b/>
      <sz val="10"/>
      <color indexed="9"/>
      <name val="Candara"/>
      <family val="2"/>
    </font>
    <font>
      <sz val="10"/>
      <color indexed="9"/>
      <name val="Candara"/>
      <family val="2"/>
    </font>
    <font>
      <sz val="10"/>
      <color theme="1"/>
      <name val="Candara"/>
      <family val="2"/>
    </font>
    <font>
      <b/>
      <sz val="10"/>
      <color theme="0"/>
      <name val="Candara"/>
      <family val="2"/>
    </font>
    <font>
      <b/>
      <sz val="10"/>
      <color theme="1"/>
      <name val="Candara"/>
      <family val="2"/>
    </font>
    <font>
      <b/>
      <sz val="10"/>
      <name val="Candara"/>
      <family val="2"/>
    </font>
    <font>
      <sz val="10"/>
      <name val="Candara"/>
      <family val="2"/>
    </font>
    <font>
      <sz val="10"/>
      <color theme="0"/>
      <name val="Candara"/>
      <family val="2"/>
    </font>
    <font>
      <sz val="9"/>
      <name val="Candara"/>
      <family val="2"/>
    </font>
    <font>
      <sz val="10"/>
      <color rgb="FF0070C0"/>
      <name val="Candara"/>
      <family val="2"/>
    </font>
    <font>
      <b/>
      <sz val="10"/>
      <color rgb="FF0070C0"/>
      <name val="Candara"/>
      <family val="2"/>
    </font>
    <font>
      <sz val="10"/>
      <color theme="4" tint="-0.249977111117893"/>
      <name val="Candara"/>
      <family val="2"/>
    </font>
    <font>
      <b/>
      <sz val="14"/>
      <name val="Candara"/>
      <family val="2"/>
    </font>
    <font>
      <b/>
      <sz val="14"/>
      <color theme="1"/>
      <name val="Candara"/>
      <family val="2"/>
    </font>
    <font>
      <b/>
      <sz val="12"/>
      <color theme="0"/>
      <name val="Candara"/>
      <family val="2"/>
    </font>
    <font>
      <sz val="12"/>
      <color theme="1"/>
      <name val="Candara"/>
      <family val="2"/>
    </font>
    <font>
      <b/>
      <sz val="9"/>
      <color theme="3"/>
      <name val="Calibri"/>
      <family val="2"/>
      <scheme val="minor"/>
    </font>
    <font>
      <b/>
      <sz val="11"/>
      <color theme="1"/>
      <name val="Candara"/>
      <family val="2"/>
    </font>
    <font>
      <sz val="11"/>
      <color theme="1"/>
      <name val="Candara"/>
      <family val="2"/>
    </font>
    <font>
      <b/>
      <sz val="9"/>
      <color theme="1"/>
      <name val="Calibri"/>
      <family val="2"/>
      <scheme val="minor"/>
    </font>
    <font>
      <b/>
      <sz val="16"/>
      <color indexed="9"/>
      <name val="Candara"/>
      <family val="2"/>
    </font>
    <font>
      <sz val="8"/>
      <color indexed="9"/>
      <name val="Candara"/>
      <family val="2"/>
    </font>
    <font>
      <b/>
      <sz val="12"/>
      <color indexed="9"/>
      <name val="Candara"/>
      <family val="2"/>
    </font>
    <font>
      <b/>
      <sz val="11"/>
      <color indexed="9"/>
      <name val="Candara"/>
      <family val="2"/>
    </font>
    <font>
      <b/>
      <sz val="9"/>
      <color indexed="9"/>
      <name val="Candara"/>
      <family val="2"/>
    </font>
    <font>
      <sz val="10"/>
      <name val="Times New Roman"/>
      <family val="1"/>
    </font>
    <font>
      <sz val="9"/>
      <color theme="4"/>
      <name val="Candara"/>
      <family val="2"/>
    </font>
    <font>
      <sz val="18"/>
      <color theme="1"/>
      <name val="Candara"/>
      <family val="2"/>
    </font>
    <font>
      <sz val="10"/>
      <name val="Arial"/>
      <family val="2"/>
    </font>
    <font>
      <sz val="11"/>
      <name val="Candara"/>
      <family val="2"/>
    </font>
    <font>
      <sz val="11"/>
      <color theme="3"/>
      <name val="Candara"/>
      <family val="2"/>
    </font>
    <font>
      <b/>
      <sz val="14"/>
      <color theme="1"/>
      <name val="Times New Roman"/>
      <family val="1"/>
    </font>
    <font>
      <b/>
      <sz val="18"/>
      <color theme="0"/>
      <name val="Times New Roman"/>
      <family val="1"/>
    </font>
    <font>
      <b/>
      <sz val="12"/>
      <color theme="3"/>
      <name val="Times New Roman"/>
      <family val="1"/>
    </font>
    <font>
      <b/>
      <sz val="14"/>
      <color theme="3"/>
      <name val="Times New Roman"/>
      <family val="1"/>
    </font>
    <font>
      <b/>
      <sz val="12"/>
      <color rgb="FF0000FF"/>
      <name val="Times New Roman"/>
      <family val="1"/>
    </font>
    <font>
      <sz val="9"/>
      <color theme="1"/>
      <name val="Calibri"/>
      <family val="2"/>
      <scheme val="minor"/>
    </font>
    <font>
      <sz val="12"/>
      <color rgb="FF0000FF"/>
      <name val="Times New Roman"/>
      <family val="1"/>
    </font>
    <font>
      <sz val="8"/>
      <color theme="1"/>
      <name val="Calibri"/>
      <family val="2"/>
      <scheme val="minor"/>
    </font>
    <font>
      <b/>
      <sz val="10"/>
      <color theme="1"/>
      <name val="Bodoni MT"/>
      <family val="1"/>
    </font>
    <font>
      <sz val="10"/>
      <color theme="1"/>
      <name val="Bodoni MT"/>
      <family val="1"/>
    </font>
    <font>
      <sz val="10"/>
      <color rgb="FF7030A0"/>
      <name val="Bodoni MT"/>
      <family val="1"/>
    </font>
    <font>
      <b/>
      <sz val="10"/>
      <color rgb="FF00B0F0"/>
      <name val="Bodoni MT"/>
      <family val="1"/>
    </font>
    <font>
      <b/>
      <sz val="10"/>
      <color rgb="FF7030A0"/>
      <name val="Bodoni MT"/>
      <family val="1"/>
    </font>
    <font>
      <b/>
      <sz val="10"/>
      <color rgb="FF002060"/>
      <name val="Bodoni MT"/>
      <family val="1"/>
    </font>
    <font>
      <b/>
      <sz val="10"/>
      <color rgb="FF00B050"/>
      <name val="Bodoni MT"/>
      <family val="1"/>
    </font>
    <font>
      <sz val="10"/>
      <color rgb="FF00B050"/>
      <name val="Bodoni MT"/>
      <family val="1"/>
    </font>
    <font>
      <sz val="14"/>
      <color theme="1"/>
      <name val="Candara"/>
      <family val="2"/>
    </font>
    <font>
      <b/>
      <sz val="22"/>
      <color theme="0"/>
      <name val="Candara"/>
      <family val="2"/>
    </font>
    <font>
      <sz val="22"/>
      <color theme="1"/>
      <name val="Candara"/>
      <family val="2"/>
    </font>
    <font>
      <b/>
      <sz val="22"/>
      <name val="Candara"/>
      <family val="2"/>
    </font>
    <font>
      <sz val="22"/>
      <name val="Candara"/>
      <family val="2"/>
    </font>
    <font>
      <b/>
      <sz val="22"/>
      <color theme="1"/>
      <name val="Candara"/>
      <family val="2"/>
    </font>
    <font>
      <b/>
      <i/>
      <sz val="22"/>
      <name val="Candara"/>
      <family val="2"/>
    </font>
    <font>
      <b/>
      <sz val="24"/>
      <color theme="3"/>
      <name val="Candara"/>
      <family val="2"/>
    </font>
    <font>
      <sz val="24"/>
      <color theme="1"/>
      <name val="Candara"/>
      <family val="2"/>
    </font>
    <font>
      <b/>
      <sz val="24"/>
      <name val="Candara"/>
      <family val="2"/>
    </font>
    <font>
      <sz val="24"/>
      <name val="Candara"/>
      <family val="2"/>
    </font>
    <font>
      <b/>
      <sz val="24"/>
      <color theme="1"/>
      <name val="Candara"/>
      <family val="2"/>
    </font>
    <font>
      <sz val="24"/>
      <color theme="4"/>
      <name val="Candara"/>
      <family val="2"/>
    </font>
    <font>
      <i/>
      <sz val="24"/>
      <name val="Candara"/>
      <family val="2"/>
    </font>
    <font>
      <b/>
      <i/>
      <sz val="24"/>
      <color rgb="FF0070C0"/>
      <name val="Candara"/>
      <family val="2"/>
    </font>
    <font>
      <i/>
      <sz val="24"/>
      <color theme="1"/>
      <name val="Candara"/>
      <family val="2"/>
    </font>
    <font>
      <b/>
      <i/>
      <sz val="24"/>
      <name val="Candara"/>
      <family val="2"/>
    </font>
    <font>
      <i/>
      <sz val="24"/>
      <color rgb="FF0070C0"/>
      <name val="Candara"/>
      <family val="2"/>
    </font>
    <font>
      <i/>
      <sz val="24"/>
      <color theme="4"/>
      <name val="Candara"/>
      <family val="2"/>
    </font>
    <font>
      <b/>
      <sz val="22"/>
      <color indexed="9"/>
      <name val="Candara"/>
      <family val="2"/>
    </font>
    <font>
      <sz val="22"/>
      <color indexed="9"/>
      <name val="Candara"/>
      <family val="2"/>
    </font>
    <font>
      <b/>
      <sz val="22"/>
      <color theme="5"/>
      <name val="Candara"/>
      <family val="2"/>
    </font>
    <font>
      <b/>
      <i/>
      <sz val="22"/>
      <color theme="1"/>
      <name val="Candara"/>
      <family val="2"/>
    </font>
    <font>
      <b/>
      <i/>
      <sz val="22"/>
      <color theme="5"/>
      <name val="Candara"/>
      <family val="2"/>
    </font>
    <font>
      <sz val="24"/>
      <color rgb="FFFF0000"/>
      <name val="Candara"/>
      <family val="2"/>
    </font>
    <font>
      <b/>
      <sz val="22"/>
      <color rgb="FFC00000"/>
      <name val="Candara"/>
      <family val="2"/>
    </font>
    <font>
      <b/>
      <i/>
      <sz val="24"/>
      <color theme="8"/>
      <name val="Candara"/>
      <family val="2"/>
    </font>
    <font>
      <i/>
      <sz val="24"/>
      <color theme="5"/>
      <name val="Candara"/>
      <family val="2"/>
    </font>
    <font>
      <b/>
      <sz val="22"/>
      <color rgb="FFFF0000"/>
      <name val="Candara"/>
      <family val="2"/>
    </font>
  </fonts>
  <fills count="3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CD4B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indexed="31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thick">
        <color indexed="31"/>
      </bottom>
      <diagonal/>
    </border>
    <border>
      <left style="medium">
        <color indexed="22"/>
      </left>
      <right style="medium">
        <color indexed="22"/>
      </right>
      <top/>
      <bottom/>
      <diagonal/>
    </border>
    <border>
      <left/>
      <right/>
      <top/>
      <bottom style="thick">
        <color indexed="22"/>
      </bottom>
      <diagonal/>
    </border>
    <border>
      <left style="medium">
        <color indexed="22"/>
      </left>
      <right style="medium">
        <color indexed="22"/>
      </right>
      <top/>
      <bottom style="thick">
        <color indexed="22"/>
      </bottom>
      <diagonal/>
    </border>
    <border>
      <left style="medium">
        <color indexed="22"/>
      </left>
      <right style="medium">
        <color indexed="22"/>
      </right>
      <top/>
      <bottom style="thick">
        <color indexed="3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/>
      <right/>
      <top style="hair">
        <color theme="3"/>
      </top>
      <bottom/>
      <diagonal/>
    </border>
    <border>
      <left style="hair">
        <color theme="3"/>
      </left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 style="thick">
        <color indexed="31"/>
      </bottom>
      <diagonal/>
    </border>
    <border>
      <left/>
      <right style="medium">
        <color theme="0" tint="-0.499984740745262"/>
      </right>
      <top/>
      <bottom style="thick">
        <color indexed="31"/>
      </bottom>
      <diagonal/>
    </border>
    <border>
      <left style="medium">
        <color theme="0" tint="-0.499984740745262"/>
      </left>
      <right/>
      <top/>
      <bottom style="thick">
        <color indexed="22"/>
      </bottom>
      <diagonal/>
    </border>
    <border>
      <left/>
      <right style="medium">
        <color theme="0" tint="-0.499984740745262"/>
      </right>
      <top/>
      <bottom style="thick">
        <color indexed="22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22"/>
      </bottom>
      <diagonal/>
    </border>
    <border>
      <left/>
      <right style="medium">
        <color indexed="64"/>
      </right>
      <top/>
      <bottom style="thick">
        <color indexed="22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 style="thick">
        <color indexed="31"/>
      </bottom>
      <diagonal/>
    </border>
    <border>
      <left/>
      <right/>
      <top style="medium">
        <color theme="9" tint="-0.249977111117893"/>
      </top>
      <bottom style="thick">
        <color indexed="31"/>
      </bottom>
      <diagonal/>
    </border>
    <border>
      <left/>
      <right style="medium">
        <color theme="9" tint="-0.249977111117893"/>
      </right>
      <top style="medium">
        <color theme="9" tint="-0.249977111117893"/>
      </top>
      <bottom style="thick">
        <color indexed="31"/>
      </bottom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thick">
        <color indexed="22"/>
      </bottom>
      <diagonal/>
    </border>
    <border>
      <left/>
      <right style="medium">
        <color theme="9" tint="-0.249977111117893"/>
      </right>
      <top/>
      <bottom style="thick">
        <color indexed="22"/>
      </bottom>
      <diagonal/>
    </border>
    <border>
      <left style="medium">
        <color theme="9" tint="-0.249977111117893"/>
      </left>
      <right/>
      <top/>
      <bottom style="medium">
        <color indexed="64"/>
      </bottom>
      <diagonal/>
    </border>
    <border>
      <left/>
      <right style="medium">
        <color theme="9" tint="-0.249977111117893"/>
      </right>
      <top/>
      <bottom style="medium">
        <color indexed="64"/>
      </bottom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/>
      <right style="medium">
        <color indexed="22"/>
      </right>
      <top style="medium">
        <color indexed="22"/>
      </top>
      <bottom style="thick">
        <color indexed="3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19" fillId="0" borderId="0" applyAlignment="0" applyProtection="0"/>
    <xf numFmtId="0" fontId="43" fillId="0" borderId="10" applyFill="0" applyProtection="0">
      <alignment horizontal="right" wrapText="1"/>
    </xf>
    <xf numFmtId="0" fontId="46" fillId="0" borderId="11" applyNumberFormat="0" applyFill="0" applyAlignment="0" applyProtection="0"/>
    <xf numFmtId="0" fontId="52" fillId="0" borderId="0"/>
    <xf numFmtId="0" fontId="55" fillId="0" borderId="0"/>
    <xf numFmtId="0" fontId="19" fillId="0" borderId="0" applyAlignment="0" applyProtection="0"/>
    <xf numFmtId="173" fontId="43" fillId="0" borderId="10" applyFill="0" applyProtection="0">
      <alignment horizontal="right" wrapText="1"/>
    </xf>
    <xf numFmtId="173" fontId="43" fillId="0" borderId="10" applyFill="0" applyProtection="0">
      <alignment horizontal="right" wrapText="1"/>
    </xf>
    <xf numFmtId="177" fontId="46" fillId="0" borderId="12" applyNumberFormat="0" applyFill="0" applyAlignment="0" applyProtection="0"/>
    <xf numFmtId="179" fontId="63" fillId="0" borderId="0" applyFill="0" applyBorder="0" applyAlignment="0" applyProtection="0"/>
    <xf numFmtId="173" fontId="63" fillId="0" borderId="0" applyFill="0" applyBorder="0" applyProtection="0"/>
    <xf numFmtId="173" fontId="46" fillId="0" borderId="11" applyNumberFormat="0" applyFill="0" applyAlignment="0" applyProtection="0"/>
    <xf numFmtId="173" fontId="65" fillId="0" borderId="0" applyNumberFormat="0" applyAlignment="0" applyProtection="0"/>
    <xf numFmtId="173" fontId="43" fillId="0" borderId="0" applyFill="0" applyProtection="0">
      <alignment wrapText="1"/>
    </xf>
    <xf numFmtId="177" fontId="63" fillId="25" borderId="0" applyNumberFormat="0" applyFont="0" applyBorder="0" applyAlignment="0" applyProtection="0"/>
  </cellStyleXfs>
  <cellXfs count="726"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9" fontId="5" fillId="5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0" fontId="2" fillId="7" borderId="0" xfId="0" applyFont="1" applyFill="1" applyAlignment="1">
      <alignment horizontal="center"/>
    </xf>
    <xf numFmtId="166" fontId="2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6" fontId="2" fillId="0" borderId="0" xfId="0" applyNumberFormat="1" applyFont="1" applyAlignment="1">
      <alignment horizontal="center"/>
    </xf>
    <xf numFmtId="165" fontId="2" fillId="7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9" fontId="8" fillId="5" borderId="0" xfId="0" applyNumberFormat="1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9" fontId="9" fillId="5" borderId="0" xfId="0" applyNumberFormat="1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9" fontId="10" fillId="5" borderId="0" xfId="0" applyNumberFormat="1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9" fontId="11" fillId="5" borderId="0" xfId="0" applyNumberFormat="1" applyFont="1" applyFill="1" applyAlignment="1">
      <alignment horizontal="center" vertical="center"/>
    </xf>
    <xf numFmtId="9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/>
    </xf>
    <xf numFmtId="9" fontId="13" fillId="5" borderId="0" xfId="0" applyNumberFormat="1" applyFont="1" applyFill="1" applyAlignment="1">
      <alignment horizontal="center" vertical="center"/>
    </xf>
    <xf numFmtId="0" fontId="13" fillId="0" borderId="0" xfId="0" applyFont="1" applyAlignment="1">
      <alignment vertical="center"/>
    </xf>
    <xf numFmtId="3" fontId="0" fillId="0" borderId="0" xfId="0" applyNumberFormat="1"/>
    <xf numFmtId="16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center" vertical="center" wrapText="1"/>
    </xf>
    <xf numFmtId="3" fontId="0" fillId="10" borderId="1" xfId="0" applyNumberFormat="1" applyFill="1" applyBorder="1" applyAlignment="1">
      <alignment horizontal="center" vertical="center"/>
    </xf>
    <xf numFmtId="9" fontId="5" fillId="10" borderId="0" xfId="0" applyNumberFormat="1" applyFont="1" applyFill="1" applyAlignment="1">
      <alignment horizontal="center" vertical="center"/>
    </xf>
    <xf numFmtId="0" fontId="0" fillId="10" borderId="0" xfId="0" applyFill="1" applyAlignment="1">
      <alignment vertical="center"/>
    </xf>
    <xf numFmtId="3" fontId="2" fillId="10" borderId="1" xfId="0" applyNumberFormat="1" applyFont="1" applyFill="1" applyBorder="1" applyAlignment="1">
      <alignment vertical="center" wrapText="1"/>
    </xf>
    <xf numFmtId="3" fontId="2" fillId="10" borderId="1" xfId="0" applyNumberFormat="1" applyFont="1" applyFill="1" applyBorder="1" applyAlignment="1">
      <alignment horizontal="center" vertical="center" wrapText="1"/>
    </xf>
    <xf numFmtId="3" fontId="5" fillId="10" borderId="0" xfId="0" applyNumberFormat="1" applyFont="1" applyFill="1" applyAlignment="1">
      <alignment horizontal="center" vertical="center"/>
    </xf>
    <xf numFmtId="3" fontId="2" fillId="10" borderId="0" xfId="0" applyNumberFormat="1" applyFont="1" applyFill="1" applyAlignment="1">
      <alignment vertical="center"/>
    </xf>
    <xf numFmtId="3" fontId="0" fillId="10" borderId="0" xfId="0" applyNumberFormat="1" applyFill="1" applyAlignment="1">
      <alignment vertical="center"/>
    </xf>
    <xf numFmtId="166" fontId="0" fillId="0" borderId="0" xfId="0" applyNumberFormat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 wrapText="1"/>
    </xf>
    <xf numFmtId="9" fontId="0" fillId="0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3" fontId="2" fillId="6" borderId="0" xfId="0" applyNumberFormat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9" fontId="2" fillId="6" borderId="0" xfId="0" applyNumberFormat="1" applyFont="1" applyFill="1" applyAlignment="1">
      <alignment horizontal="center"/>
    </xf>
    <xf numFmtId="166" fontId="0" fillId="0" borderId="0" xfId="0" applyNumberFormat="1" applyFill="1"/>
    <xf numFmtId="164" fontId="2" fillId="4" borderId="0" xfId="0" applyNumberFormat="1" applyFont="1" applyFill="1" applyAlignment="1">
      <alignment horizontal="center"/>
    </xf>
    <xf numFmtId="165" fontId="0" fillId="0" borderId="0" xfId="0" applyNumberFormat="1" applyFill="1"/>
    <xf numFmtId="3" fontId="9" fillId="6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13" fillId="0" borderId="0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9" fontId="0" fillId="6" borderId="0" xfId="0" applyNumberFormat="1" applyFill="1"/>
    <xf numFmtId="0" fontId="11" fillId="6" borderId="1" xfId="0" applyFont="1" applyFill="1" applyBorder="1" applyAlignment="1">
      <alignment horizontal="center" vertical="center" wrapText="1"/>
    </xf>
    <xf numFmtId="167" fontId="2" fillId="6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9" fontId="15" fillId="5" borderId="0" xfId="0" applyNumberFormat="1" applyFont="1" applyFill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6" fontId="2" fillId="0" borderId="0" xfId="0" applyNumberFormat="1" applyFont="1" applyAlignment="1">
      <alignment horizontal="center" vertical="center"/>
    </xf>
    <xf numFmtId="166" fontId="2" fillId="0" borderId="0" xfId="0" applyNumberFormat="1" applyFont="1"/>
    <xf numFmtId="0" fontId="2" fillId="0" borderId="0" xfId="0" applyFont="1" applyFill="1" applyAlignment="1">
      <alignment horizontal="center"/>
    </xf>
    <xf numFmtId="0" fontId="0" fillId="6" borderId="0" xfId="0" applyFill="1"/>
    <xf numFmtId="3" fontId="0" fillId="2" borderId="0" xfId="0" applyNumberForma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/>
    </xf>
    <xf numFmtId="0" fontId="18" fillId="0" borderId="0" xfId="0" applyFont="1"/>
    <xf numFmtId="0" fontId="20" fillId="0" borderId="0" xfId="0" applyFont="1"/>
    <xf numFmtId="0" fontId="21" fillId="0" borderId="0" xfId="0" applyFont="1"/>
    <xf numFmtId="165" fontId="21" fillId="0" borderId="0" xfId="0" applyNumberFormat="1" applyFont="1"/>
    <xf numFmtId="164" fontId="21" fillId="6" borderId="0" xfId="0" applyNumberFormat="1" applyFont="1" applyFill="1"/>
    <xf numFmtId="3" fontId="21" fillId="6" borderId="0" xfId="0" applyNumberFormat="1" applyFont="1" applyFill="1"/>
    <xf numFmtId="3" fontId="21" fillId="0" borderId="0" xfId="0" applyNumberFormat="1" applyFont="1"/>
    <xf numFmtId="166" fontId="21" fillId="0" borderId="0" xfId="0" applyNumberFormat="1" applyFont="1" applyFill="1"/>
    <xf numFmtId="166" fontId="21" fillId="0" borderId="0" xfId="0" applyNumberFormat="1" applyFont="1"/>
    <xf numFmtId="166" fontId="21" fillId="6" borderId="0" xfId="0" applyNumberFormat="1" applyFont="1" applyFill="1"/>
    <xf numFmtId="0" fontId="20" fillId="8" borderId="0" xfId="0" applyFont="1" applyFill="1"/>
    <xf numFmtId="0" fontId="21" fillId="8" borderId="0" xfId="0" applyFont="1" applyFill="1"/>
    <xf numFmtId="3" fontId="20" fillId="8" borderId="0" xfId="0" applyNumberFormat="1" applyFont="1" applyFill="1"/>
    <xf numFmtId="166" fontId="21" fillId="8" borderId="0" xfId="0" applyNumberFormat="1" applyFont="1" applyFill="1"/>
    <xf numFmtId="3" fontId="21" fillId="8" borderId="0" xfId="0" applyNumberFormat="1" applyFont="1" applyFill="1"/>
    <xf numFmtId="0" fontId="21" fillId="6" borderId="0" xfId="0" applyFont="1" applyFill="1"/>
    <xf numFmtId="9" fontId="21" fillId="6" borderId="0" xfId="0" applyNumberFormat="1" applyFont="1" applyFill="1"/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3" fontId="21" fillId="0" borderId="1" xfId="0" applyNumberFormat="1" applyFont="1" applyBorder="1" applyAlignment="1">
      <alignment horizontal="center" vertical="center"/>
    </xf>
    <xf numFmtId="3" fontId="21" fillId="0" borderId="0" xfId="0" applyNumberFormat="1" applyFont="1" applyAlignment="1">
      <alignment vertical="center"/>
    </xf>
    <xf numFmtId="1" fontId="2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9" fontId="21" fillId="0" borderId="0" xfId="0" applyNumberFormat="1" applyFont="1" applyAlignment="1">
      <alignment vertical="center"/>
    </xf>
    <xf numFmtId="3" fontId="20" fillId="0" borderId="1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20" fillId="9" borderId="1" xfId="0" applyFont="1" applyFill="1" applyBorder="1" applyAlignment="1">
      <alignment vertical="center"/>
    </xf>
    <xf numFmtId="0" fontId="21" fillId="9" borderId="1" xfId="0" applyFont="1" applyFill="1" applyBorder="1" applyAlignment="1">
      <alignment horizontal="center" vertical="center"/>
    </xf>
    <xf numFmtId="0" fontId="21" fillId="9" borderId="0" xfId="0" applyFont="1" applyFill="1" applyAlignment="1">
      <alignment vertical="center"/>
    </xf>
    <xf numFmtId="0" fontId="20" fillId="0" borderId="1" xfId="0" applyFont="1" applyBorder="1" applyAlignment="1">
      <alignment vertical="center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9" fontId="21" fillId="8" borderId="0" xfId="0" applyNumberFormat="1" applyFont="1" applyFill="1"/>
    <xf numFmtId="0" fontId="24" fillId="8" borderId="0" xfId="0" applyFont="1" applyFill="1"/>
    <xf numFmtId="0" fontId="23" fillId="2" borderId="0" xfId="0" applyFont="1" applyFill="1"/>
    <xf numFmtId="0" fontId="23" fillId="2" borderId="0" xfId="0" applyFont="1" applyFill="1" applyAlignment="1">
      <alignment horizontal="center"/>
    </xf>
    <xf numFmtId="0" fontId="22" fillId="3" borderId="1" xfId="0" applyFont="1" applyFill="1" applyBorder="1" applyAlignment="1">
      <alignment horizontal="right" vertical="center"/>
    </xf>
    <xf numFmtId="3" fontId="22" fillId="3" borderId="1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3" fontId="25" fillId="0" borderId="1" xfId="0" applyNumberFormat="1" applyFont="1" applyBorder="1" applyAlignment="1">
      <alignment horizontal="center" vertical="center" wrapText="1"/>
    </xf>
    <xf numFmtId="3" fontId="26" fillId="0" borderId="1" xfId="0" applyNumberFormat="1" applyFont="1" applyBorder="1" applyAlignment="1">
      <alignment horizontal="center" vertical="center"/>
    </xf>
    <xf numFmtId="9" fontId="25" fillId="5" borderId="0" xfId="0" applyNumberFormat="1" applyFont="1" applyFill="1" applyAlignment="1">
      <alignment horizontal="center" vertical="center"/>
    </xf>
    <xf numFmtId="9" fontId="26" fillId="0" borderId="0" xfId="0" applyNumberFormat="1" applyFont="1" applyAlignment="1">
      <alignment vertical="center"/>
    </xf>
    <xf numFmtId="9" fontId="26" fillId="0" borderId="0" xfId="1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7" fillId="14" borderId="3" xfId="0" applyFont="1" applyFill="1" applyBorder="1"/>
    <xf numFmtId="0" fontId="28" fillId="14" borderId="3" xfId="0" applyFont="1" applyFill="1" applyBorder="1"/>
    <xf numFmtId="0" fontId="28" fillId="14" borderId="3" xfId="0" applyFont="1" applyFill="1" applyBorder="1" applyAlignment="1">
      <alignment horizontal="center"/>
    </xf>
    <xf numFmtId="0" fontId="29" fillId="0" borderId="0" xfId="0" applyFont="1"/>
    <xf numFmtId="0" fontId="27" fillId="14" borderId="0" xfId="0" applyFont="1" applyFill="1"/>
    <xf numFmtId="0" fontId="28" fillId="14" borderId="0" xfId="0" applyFont="1" applyFill="1"/>
    <xf numFmtId="0" fontId="28" fillId="14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17" fontId="27" fillId="14" borderId="3" xfId="0" applyNumberFormat="1" applyFont="1" applyFill="1" applyBorder="1" applyAlignment="1">
      <alignment horizontal="center" vertical="center"/>
    </xf>
    <xf numFmtId="0" fontId="27" fillId="14" borderId="4" xfId="0" applyFont="1" applyFill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Border="1"/>
    <xf numFmtId="17" fontId="32" fillId="0" borderId="0" xfId="0" applyNumberFormat="1" applyFont="1" applyFill="1" applyBorder="1" applyAlignment="1">
      <alignment horizontal="center"/>
    </xf>
    <xf numFmtId="0" fontId="33" fillId="0" borderId="5" xfId="0" applyFont="1" applyFill="1" applyBorder="1" applyAlignment="1">
      <alignment horizontal="center"/>
    </xf>
    <xf numFmtId="0" fontId="33" fillId="0" borderId="0" xfId="0" applyFont="1" applyBorder="1" applyAlignment="1">
      <alignment vertical="center"/>
    </xf>
    <xf numFmtId="0" fontId="33" fillId="0" borderId="0" xfId="0" applyFont="1" applyFill="1" applyAlignment="1">
      <alignment vertical="center"/>
    </xf>
    <xf numFmtId="3" fontId="33" fillId="0" borderId="0" xfId="0" applyNumberFormat="1" applyFont="1" applyFill="1" applyBorder="1" applyAlignment="1">
      <alignment horizontal="center" vertical="center"/>
    </xf>
    <xf numFmtId="3" fontId="32" fillId="0" borderId="5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3" fillId="0" borderId="0" xfId="0" applyFont="1" applyBorder="1"/>
    <xf numFmtId="3" fontId="33" fillId="0" borderId="0" xfId="0" applyNumberFormat="1" applyFont="1" applyFill="1" applyBorder="1" applyAlignment="1">
      <alignment horizontal="center"/>
    </xf>
    <xf numFmtId="0" fontId="32" fillId="16" borderId="6" xfId="0" applyFont="1" applyFill="1" applyBorder="1" applyAlignment="1">
      <alignment vertical="center"/>
    </xf>
    <xf numFmtId="3" fontId="32" fillId="16" borderId="6" xfId="0" applyNumberFormat="1" applyFont="1" applyFill="1" applyBorder="1" applyAlignment="1">
      <alignment horizontal="center" vertical="center"/>
    </xf>
    <xf numFmtId="3" fontId="32" fillId="16" borderId="7" xfId="0" applyNumberFormat="1" applyFont="1" applyFill="1" applyBorder="1" applyAlignment="1">
      <alignment horizontal="center" vertical="center"/>
    </xf>
    <xf numFmtId="0" fontId="33" fillId="0" borderId="0" xfId="0" applyFont="1" applyFill="1"/>
    <xf numFmtId="0" fontId="30" fillId="15" borderId="6" xfId="0" applyFont="1" applyFill="1" applyBorder="1" applyAlignment="1">
      <alignment vertical="center"/>
    </xf>
    <xf numFmtId="3" fontId="30" fillId="15" borderId="6" xfId="0" applyNumberFormat="1" applyFont="1" applyFill="1" applyBorder="1" applyAlignment="1">
      <alignment horizontal="center" vertical="center"/>
    </xf>
    <xf numFmtId="3" fontId="30" fillId="14" borderId="6" xfId="0" applyNumberFormat="1" applyFont="1" applyFill="1" applyBorder="1" applyAlignment="1">
      <alignment horizontal="center" vertical="center"/>
    </xf>
    <xf numFmtId="3" fontId="30" fillId="14" borderId="7" xfId="0" applyNumberFormat="1" applyFont="1" applyFill="1" applyBorder="1" applyAlignment="1">
      <alignment horizontal="center" vertical="center"/>
    </xf>
    <xf numFmtId="9" fontId="29" fillId="0" borderId="0" xfId="1" applyFont="1"/>
    <xf numFmtId="3" fontId="32" fillId="0" borderId="5" xfId="0" applyNumberFormat="1" applyFont="1" applyFill="1" applyBorder="1" applyAlignment="1">
      <alignment horizontal="center"/>
    </xf>
    <xf numFmtId="0" fontId="30" fillId="17" borderId="3" xfId="0" applyFont="1" applyFill="1" applyBorder="1" applyAlignment="1">
      <alignment vertical="center"/>
    </xf>
    <xf numFmtId="170" fontId="30" fillId="17" borderId="3" xfId="0" applyNumberFormat="1" applyFont="1" applyFill="1" applyBorder="1" applyAlignment="1">
      <alignment horizontal="center" vertical="center"/>
    </xf>
    <xf numFmtId="171" fontId="30" fillId="17" borderId="8" xfId="0" applyNumberFormat="1" applyFont="1" applyFill="1" applyBorder="1" applyAlignment="1">
      <alignment horizontal="center" vertical="center"/>
    </xf>
    <xf numFmtId="0" fontId="34" fillId="17" borderId="3" xfId="0" applyFont="1" applyFill="1" applyBorder="1" applyAlignment="1">
      <alignment horizontal="center" vertical="center"/>
    </xf>
    <xf numFmtId="0" fontId="30" fillId="17" borderId="3" xfId="0" applyFont="1" applyFill="1" applyBorder="1" applyAlignment="1">
      <alignment horizontal="center" vertical="center"/>
    </xf>
    <xf numFmtId="3" fontId="30" fillId="17" borderId="3" xfId="0" applyNumberFormat="1" applyFont="1" applyFill="1" applyBorder="1" applyAlignment="1">
      <alignment horizontal="center" vertical="center"/>
    </xf>
    <xf numFmtId="3" fontId="30" fillId="18" borderId="3" xfId="0" applyNumberFormat="1" applyFont="1" applyFill="1" applyBorder="1" applyAlignment="1">
      <alignment horizontal="center" vertical="center"/>
    </xf>
    <xf numFmtId="3" fontId="34" fillId="18" borderId="8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68" fontId="29" fillId="0" borderId="0" xfId="0" applyNumberFormat="1" applyFont="1" applyAlignment="1">
      <alignment horizontal="center"/>
    </xf>
    <xf numFmtId="0" fontId="31" fillId="16" borderId="0" xfId="0" applyFont="1" applyFill="1" applyAlignment="1">
      <alignment horizontal="left" vertical="center"/>
    </xf>
    <xf numFmtId="0" fontId="31" fillId="16" borderId="0" xfId="0" applyFont="1" applyFill="1" applyAlignment="1">
      <alignment vertical="center"/>
    </xf>
    <xf numFmtId="0" fontId="31" fillId="0" borderId="0" xfId="0" applyFont="1" applyAlignment="1">
      <alignment horizontal="center" vertical="center"/>
    </xf>
    <xf numFmtId="168" fontId="31" fillId="0" borderId="0" xfId="2" applyNumberFormat="1" applyFont="1" applyAlignment="1">
      <alignment horizontal="center" vertical="center"/>
    </xf>
    <xf numFmtId="0" fontId="27" fillId="15" borderId="3" xfId="0" applyFont="1" applyFill="1" applyBorder="1" applyAlignment="1">
      <alignment horizontal="center" vertical="center" wrapText="1"/>
    </xf>
    <xf numFmtId="0" fontId="27" fillId="15" borderId="3" xfId="0" applyFont="1" applyFill="1" applyBorder="1" applyAlignment="1">
      <alignment horizontal="center" vertical="center"/>
    </xf>
    <xf numFmtId="17" fontId="27" fillId="15" borderId="3" xfId="0" applyNumberFormat="1" applyFont="1" applyFill="1" applyBorder="1" applyAlignment="1">
      <alignment horizontal="center" vertical="center"/>
    </xf>
    <xf numFmtId="167" fontId="32" fillId="0" borderId="5" xfId="1" applyNumberFormat="1" applyFont="1" applyFill="1" applyBorder="1" applyAlignment="1">
      <alignment horizontal="center" vertical="center"/>
    </xf>
    <xf numFmtId="167" fontId="32" fillId="16" borderId="7" xfId="1" applyNumberFormat="1" applyFont="1" applyFill="1" applyBorder="1" applyAlignment="1">
      <alignment horizontal="center" vertical="center"/>
    </xf>
    <xf numFmtId="167" fontId="32" fillId="0" borderId="5" xfId="1" applyNumberFormat="1" applyFont="1" applyFill="1" applyBorder="1" applyAlignment="1">
      <alignment horizontal="center"/>
    </xf>
    <xf numFmtId="168" fontId="29" fillId="0" borderId="0" xfId="2" applyNumberFormat="1" applyFont="1" applyAlignment="1">
      <alignment horizontal="center" vertical="center"/>
    </xf>
    <xf numFmtId="0" fontId="31" fillId="0" borderId="0" xfId="0" applyFont="1"/>
    <xf numFmtId="9" fontId="31" fillId="0" borderId="0" xfId="0" applyNumberFormat="1" applyFont="1" applyAlignment="1">
      <alignment horizontal="center"/>
    </xf>
    <xf numFmtId="0" fontId="31" fillId="0" borderId="0" xfId="0" applyFont="1" applyAlignment="1">
      <alignment horizontal="center"/>
    </xf>
    <xf numFmtId="0" fontId="30" fillId="15" borderId="0" xfId="0" applyFont="1" applyFill="1" applyAlignment="1">
      <alignment horizontal="center" vertical="center"/>
    </xf>
    <xf numFmtId="9" fontId="31" fillId="0" borderId="0" xfId="0" applyNumberFormat="1" applyFont="1" applyAlignment="1">
      <alignment horizontal="center" vertical="center"/>
    </xf>
    <xf numFmtId="3" fontId="36" fillId="0" borderId="0" xfId="0" applyNumberFormat="1" applyFont="1" applyFill="1" applyBorder="1" applyAlignment="1">
      <alignment horizontal="center" vertical="center"/>
    </xf>
    <xf numFmtId="3" fontId="29" fillId="0" borderId="0" xfId="0" applyNumberFormat="1" applyFont="1" applyFill="1" applyBorder="1" applyAlignment="1">
      <alignment horizontal="center" vertical="center"/>
    </xf>
    <xf numFmtId="167" fontId="33" fillId="0" borderId="0" xfId="1" applyNumberFormat="1" applyFont="1" applyFill="1" applyBorder="1" applyAlignment="1">
      <alignment horizontal="center" vertical="center"/>
    </xf>
    <xf numFmtId="3" fontId="37" fillId="16" borderId="6" xfId="0" applyNumberFormat="1" applyFont="1" applyFill="1" applyBorder="1" applyAlignment="1">
      <alignment horizontal="center" vertical="center"/>
    </xf>
    <xf numFmtId="3" fontId="36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vertical="center"/>
    </xf>
    <xf numFmtId="167" fontId="33" fillId="0" borderId="0" xfId="1" applyNumberFormat="1" applyFont="1" applyFill="1" applyBorder="1" applyAlignment="1">
      <alignment horizontal="center"/>
    </xf>
    <xf numFmtId="9" fontId="33" fillId="0" borderId="0" xfId="1" applyFont="1" applyFill="1" applyBorder="1" applyAlignment="1">
      <alignment horizontal="center"/>
    </xf>
    <xf numFmtId="167" fontId="29" fillId="0" borderId="0" xfId="1" applyNumberFormat="1" applyFont="1" applyAlignment="1">
      <alignment horizontal="center"/>
    </xf>
    <xf numFmtId="0" fontId="33" fillId="3" borderId="0" xfId="0" applyFont="1" applyFill="1" applyBorder="1" applyAlignment="1">
      <alignment vertical="center"/>
    </xf>
    <xf numFmtId="0" fontId="32" fillId="3" borderId="0" xfId="0" applyFont="1" applyFill="1" applyAlignment="1">
      <alignment vertical="center"/>
    </xf>
    <xf numFmtId="3" fontId="32" fillId="4" borderId="6" xfId="0" applyNumberFormat="1" applyFont="1" applyFill="1" applyBorder="1" applyAlignment="1">
      <alignment horizontal="center" vertical="center"/>
    </xf>
    <xf numFmtId="168" fontId="29" fillId="0" borderId="0" xfId="2" applyNumberFormat="1" applyFont="1" applyAlignment="1">
      <alignment vertical="center"/>
    </xf>
    <xf numFmtId="3" fontId="38" fillId="0" borderId="0" xfId="0" applyNumberFormat="1" applyFont="1" applyFill="1" applyBorder="1" applyAlignment="1">
      <alignment horizontal="center" vertical="center"/>
    </xf>
    <xf numFmtId="168" fontId="31" fillId="0" borderId="0" xfId="0" applyNumberFormat="1" applyFont="1" applyAlignment="1">
      <alignment vertical="center"/>
    </xf>
    <xf numFmtId="168" fontId="29" fillId="0" borderId="0" xfId="0" applyNumberFormat="1" applyFont="1" applyAlignment="1">
      <alignment vertical="center"/>
    </xf>
    <xf numFmtId="0" fontId="39" fillId="16" borderId="9" xfId="0" applyFont="1" applyFill="1" applyBorder="1" applyAlignment="1">
      <alignment horizontal="center" vertical="center"/>
    </xf>
    <xf numFmtId="3" fontId="40" fillId="4" borderId="9" xfId="0" applyNumberFormat="1" applyFont="1" applyFill="1" applyBorder="1" applyAlignment="1">
      <alignment horizontal="center" vertical="center"/>
    </xf>
    <xf numFmtId="3" fontId="39" fillId="3" borderId="9" xfId="0" applyNumberFormat="1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167" fontId="39" fillId="0" borderId="9" xfId="0" applyNumberFormat="1" applyFont="1" applyBorder="1" applyAlignment="1">
      <alignment horizontal="center" vertical="center"/>
    </xf>
    <xf numFmtId="0" fontId="41" fillId="15" borderId="6" xfId="0" applyFont="1" applyFill="1" applyBorder="1" applyAlignment="1">
      <alignment horizontal="center" vertical="center"/>
    </xf>
    <xf numFmtId="3" fontId="41" fillId="15" borderId="6" xfId="0" applyNumberFormat="1" applyFont="1" applyFill="1" applyBorder="1" applyAlignment="1">
      <alignment horizontal="center" vertical="center"/>
    </xf>
    <xf numFmtId="3" fontId="41" fillId="14" borderId="6" xfId="0" applyNumberFormat="1" applyFont="1" applyFill="1" applyBorder="1" applyAlignment="1">
      <alignment horizontal="center" vertical="center"/>
    </xf>
    <xf numFmtId="3" fontId="41" fillId="14" borderId="7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167" fontId="41" fillId="14" borderId="7" xfId="1" applyNumberFormat="1" applyFont="1" applyFill="1" applyBorder="1" applyAlignment="1">
      <alignment horizontal="center" vertical="center"/>
    </xf>
    <xf numFmtId="3" fontId="32" fillId="0" borderId="7" xfId="0" applyNumberFormat="1" applyFont="1" applyFill="1" applyBorder="1" applyAlignment="1">
      <alignment horizontal="center"/>
    </xf>
    <xf numFmtId="3" fontId="32" fillId="16" borderId="5" xfId="0" applyNumberFormat="1" applyFont="1" applyFill="1" applyBorder="1" applyAlignment="1">
      <alignment horizontal="center"/>
    </xf>
    <xf numFmtId="0" fontId="47" fillId="14" borderId="3" xfId="0" applyFont="1" applyFill="1" applyBorder="1"/>
    <xf numFmtId="0" fontId="48" fillId="14" borderId="3" xfId="0" applyFont="1" applyFill="1" applyBorder="1"/>
    <xf numFmtId="0" fontId="48" fillId="14" borderId="3" xfId="0" applyFont="1" applyFill="1" applyBorder="1" applyAlignment="1">
      <alignment horizontal="center" vertical="center"/>
    </xf>
    <xf numFmtId="0" fontId="45" fillId="0" borderId="0" xfId="0" applyFont="1"/>
    <xf numFmtId="0" fontId="49" fillId="14" borderId="0" xfId="0" applyFont="1" applyFill="1"/>
    <xf numFmtId="0" fontId="48" fillId="14" borderId="0" xfId="0" applyFont="1" applyFill="1"/>
    <xf numFmtId="0" fontId="48" fillId="14" borderId="0" xfId="0" applyFont="1" applyFill="1" applyAlignment="1">
      <alignment horizontal="center" vertical="center"/>
    </xf>
    <xf numFmtId="0" fontId="50" fillId="22" borderId="0" xfId="0" applyFont="1" applyFill="1" applyBorder="1" applyAlignment="1">
      <alignment horizontal="center" vertical="center" wrapText="1"/>
    </xf>
    <xf numFmtId="0" fontId="50" fillId="22" borderId="0" xfId="0" applyFont="1" applyFill="1" applyBorder="1" applyAlignment="1">
      <alignment horizontal="center" vertical="center"/>
    </xf>
    <xf numFmtId="17" fontId="51" fillId="15" borderId="3" xfId="0" applyNumberFormat="1" applyFont="1" applyFill="1" applyBorder="1" applyAlignment="1">
      <alignment horizontal="center" vertical="center"/>
    </xf>
    <xf numFmtId="17" fontId="51" fillId="14" borderId="3" xfId="0" applyNumberFormat="1" applyFont="1" applyFill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174" fontId="27" fillId="14" borderId="0" xfId="6" applyNumberFormat="1" applyFont="1" applyFill="1" applyBorder="1" applyAlignment="1" applyProtection="1">
      <alignment horizontal="left"/>
    </xf>
    <xf numFmtId="174" fontId="27" fillId="14" borderId="0" xfId="6" applyNumberFormat="1" applyFont="1" applyFill="1" applyBorder="1" applyAlignment="1" applyProtection="1">
      <alignment horizontal="center"/>
    </xf>
    <xf numFmtId="170" fontId="27" fillId="14" borderId="0" xfId="6" applyNumberFormat="1" applyFont="1" applyFill="1" applyBorder="1" applyAlignment="1" applyProtection="1">
      <alignment horizontal="right"/>
    </xf>
    <xf numFmtId="170" fontId="27" fillId="14" borderId="0" xfId="6" applyNumberFormat="1" applyFont="1" applyFill="1" applyBorder="1" applyAlignment="1" applyProtection="1">
      <alignment horizontal="center" vertical="center"/>
    </xf>
    <xf numFmtId="170" fontId="45" fillId="0" borderId="0" xfId="0" applyNumberFormat="1" applyFont="1"/>
    <xf numFmtId="174" fontId="32" fillId="0" borderId="0" xfId="6" applyNumberFormat="1" applyFont="1" applyFill="1" applyBorder="1" applyAlignment="1" applyProtection="1">
      <alignment horizontal="left"/>
    </xf>
    <xf numFmtId="174" fontId="32" fillId="0" borderId="0" xfId="6" applyNumberFormat="1" applyFont="1" applyBorder="1" applyAlignment="1" applyProtection="1">
      <alignment horizontal="center"/>
    </xf>
    <xf numFmtId="170" fontId="32" fillId="0" borderId="0" xfId="6" applyNumberFormat="1" applyFont="1" applyBorder="1" applyAlignment="1" applyProtection="1">
      <alignment horizontal="right"/>
    </xf>
    <xf numFmtId="170" fontId="32" fillId="0" borderId="0" xfId="6" applyNumberFormat="1" applyFont="1" applyBorder="1" applyAlignment="1" applyProtection="1">
      <alignment horizontal="center" vertical="center"/>
    </xf>
    <xf numFmtId="174" fontId="27" fillId="23" borderId="0" xfId="6" applyNumberFormat="1" applyFont="1" applyFill="1" applyBorder="1" applyAlignment="1" applyProtection="1">
      <alignment horizontal="left"/>
    </xf>
    <xf numFmtId="174" fontId="27" fillId="23" borderId="0" xfId="6" applyNumberFormat="1" applyFont="1" applyFill="1" applyBorder="1" applyAlignment="1" applyProtection="1">
      <alignment horizontal="center"/>
    </xf>
    <xf numFmtId="170" fontId="27" fillId="23" borderId="0" xfId="6" applyNumberFormat="1" applyFont="1" applyFill="1" applyBorder="1" applyAlignment="1" applyProtection="1">
      <alignment horizontal="right"/>
    </xf>
    <xf numFmtId="170" fontId="27" fillId="23" borderId="0" xfId="6" applyNumberFormat="1" applyFont="1" applyFill="1" applyBorder="1" applyAlignment="1" applyProtection="1">
      <alignment horizontal="center" vertical="center"/>
    </xf>
    <xf numFmtId="3" fontId="32" fillId="4" borderId="0" xfId="6" applyNumberFormat="1" applyFont="1" applyFill="1" applyBorder="1" applyProtection="1"/>
    <xf numFmtId="3" fontId="32" fillId="4" borderId="0" xfId="6" applyNumberFormat="1" applyFont="1" applyFill="1" applyBorder="1" applyAlignment="1" applyProtection="1">
      <alignment horizontal="center"/>
    </xf>
    <xf numFmtId="170" fontId="32" fillId="4" borderId="0" xfId="6" applyNumberFormat="1" applyFont="1" applyFill="1" applyBorder="1" applyAlignment="1" applyProtection="1">
      <alignment horizontal="right"/>
    </xf>
    <xf numFmtId="170" fontId="32" fillId="4" borderId="0" xfId="6" applyNumberFormat="1" applyFont="1" applyFill="1" applyBorder="1" applyAlignment="1" applyProtection="1">
      <alignment horizontal="center" vertical="center"/>
    </xf>
    <xf numFmtId="174" fontId="33" fillId="0" borderId="0" xfId="6" applyNumberFormat="1" applyFont="1" applyFill="1" applyBorder="1" applyAlignment="1" applyProtection="1">
      <alignment horizontal="left"/>
    </xf>
    <xf numFmtId="174" fontId="33" fillId="0" borderId="0" xfId="6" applyNumberFormat="1" applyFont="1" applyFill="1" applyBorder="1" applyAlignment="1" applyProtection="1">
      <alignment horizontal="center"/>
    </xf>
    <xf numFmtId="170" fontId="33" fillId="0" borderId="0" xfId="6" applyNumberFormat="1" applyFont="1" applyFill="1" applyBorder="1" applyAlignment="1" applyProtection="1">
      <alignment horizontal="right"/>
    </xf>
    <xf numFmtId="170" fontId="33" fillId="0" borderId="0" xfId="6" applyNumberFormat="1" applyFont="1" applyFill="1" applyBorder="1" applyAlignment="1" applyProtection="1">
      <alignment horizontal="center" vertical="center"/>
    </xf>
    <xf numFmtId="170" fontId="32" fillId="0" borderId="0" xfId="6" applyNumberFormat="1" applyFont="1" applyFill="1" applyBorder="1" applyAlignment="1" applyProtection="1">
      <alignment horizontal="center" vertical="center"/>
    </xf>
    <xf numFmtId="174" fontId="35" fillId="0" borderId="0" xfId="6" applyNumberFormat="1" applyFont="1" applyFill="1" applyBorder="1" applyAlignment="1" applyProtection="1">
      <alignment horizontal="left" vertical="center"/>
    </xf>
    <xf numFmtId="174" fontId="53" fillId="0" borderId="0" xfId="6" applyNumberFormat="1" applyFont="1" applyFill="1" applyBorder="1" applyAlignment="1" applyProtection="1">
      <alignment horizontal="left" vertical="center"/>
    </xf>
    <xf numFmtId="174" fontId="53" fillId="0" borderId="0" xfId="6" applyNumberFormat="1" applyFont="1" applyFill="1" applyBorder="1" applyAlignment="1" applyProtection="1">
      <alignment horizontal="center" vertical="center"/>
      <protection locked="0"/>
    </xf>
    <xf numFmtId="170" fontId="33" fillId="0" borderId="0" xfId="6" applyNumberFormat="1" applyFont="1" applyFill="1" applyBorder="1" applyAlignment="1" applyProtection="1">
      <alignment horizontal="center"/>
      <protection locked="0"/>
    </xf>
    <xf numFmtId="170" fontId="32" fillId="0" borderId="0" xfId="6" applyNumberFormat="1" applyFont="1" applyFill="1" applyBorder="1" applyAlignment="1" applyProtection="1">
      <alignment horizontal="center" vertical="center"/>
      <protection locked="0"/>
    </xf>
    <xf numFmtId="174" fontId="35" fillId="0" borderId="0" xfId="6" applyNumberFormat="1" applyFont="1" applyFill="1" applyBorder="1" applyAlignment="1" applyProtection="1">
      <alignment horizontal="left"/>
    </xf>
    <xf numFmtId="174" fontId="35" fillId="0" borderId="0" xfId="6" applyNumberFormat="1" applyFont="1" applyFill="1" applyBorder="1" applyAlignment="1" applyProtection="1">
      <alignment horizontal="center"/>
      <protection locked="0"/>
    </xf>
    <xf numFmtId="11" fontId="35" fillId="0" borderId="0" xfId="6" applyNumberFormat="1" applyFont="1" applyFill="1" applyBorder="1" applyAlignment="1" applyProtection="1">
      <alignment horizontal="left" vertical="center"/>
    </xf>
    <xf numFmtId="174" fontId="35" fillId="0" borderId="0" xfId="6" applyNumberFormat="1" applyFont="1" applyFill="1" applyBorder="1" applyAlignment="1" applyProtection="1">
      <alignment horizontal="center" vertical="center"/>
      <protection locked="0"/>
    </xf>
    <xf numFmtId="175" fontId="33" fillId="0" borderId="0" xfId="6" applyNumberFormat="1" applyFont="1" applyFill="1" applyBorder="1" applyAlignment="1" applyProtection="1">
      <alignment horizontal="center"/>
      <protection locked="0"/>
    </xf>
    <xf numFmtId="167" fontId="45" fillId="0" borderId="0" xfId="1" applyNumberFormat="1" applyFont="1"/>
    <xf numFmtId="174" fontId="33" fillId="0" borderId="0" xfId="6" applyNumberFormat="1" applyFont="1" applyFill="1" applyBorder="1" applyAlignment="1" applyProtection="1">
      <alignment horizontal="center"/>
      <protection locked="0"/>
    </xf>
    <xf numFmtId="3" fontId="45" fillId="0" borderId="0" xfId="0" applyNumberFormat="1" applyFont="1"/>
    <xf numFmtId="0" fontId="45" fillId="0" borderId="0" xfId="0" applyFont="1" applyAlignment="1">
      <alignment horizontal="center" vertical="center"/>
    </xf>
    <xf numFmtId="0" fontId="54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7" fillId="0" borderId="0" xfId="0" applyFont="1" applyAlignment="1">
      <alignment vertical="center"/>
    </xf>
    <xf numFmtId="0" fontId="58" fillId="0" borderId="0" xfId="0" applyFont="1"/>
    <xf numFmtId="0" fontId="17" fillId="0" borderId="0" xfId="0" applyFont="1" applyAlignment="1">
      <alignment vertical="center"/>
    </xf>
    <xf numFmtId="168" fontId="17" fillId="0" borderId="0" xfId="2" applyNumberFormat="1" applyFont="1" applyAlignment="1">
      <alignment vertical="center"/>
    </xf>
    <xf numFmtId="173" fontId="60" fillId="0" borderId="10" xfId="9" applyFont="1" applyAlignment="1">
      <alignment horizontal="left" vertical="center" wrapText="1"/>
    </xf>
    <xf numFmtId="14" fontId="61" fillId="0" borderId="10" xfId="10" applyNumberFormat="1" applyFont="1" applyFill="1" applyAlignment="1">
      <alignment horizontal="center" vertical="center" wrapText="1"/>
    </xf>
    <xf numFmtId="173" fontId="61" fillId="9" borderId="10" xfId="9" applyFont="1" applyFill="1" applyAlignment="1">
      <alignment horizontal="center" vertical="center" wrapText="1"/>
    </xf>
    <xf numFmtId="173" fontId="17" fillId="0" borderId="12" xfId="11" applyNumberFormat="1" applyFont="1"/>
    <xf numFmtId="177" fontId="62" fillId="0" borderId="12" xfId="11" applyFont="1" applyFill="1"/>
    <xf numFmtId="179" fontId="18" fillId="9" borderId="12" xfId="12" applyFont="1" applyFill="1" applyBorder="1"/>
    <xf numFmtId="173" fontId="18" fillId="0" borderId="0" xfId="13" applyFont="1"/>
    <xf numFmtId="168" fontId="18" fillId="0" borderId="0" xfId="2" applyNumberFormat="1" applyFont="1" applyFill="1"/>
    <xf numFmtId="179" fontId="18" fillId="9" borderId="0" xfId="12" applyFont="1" applyFill="1" applyAlignment="1">
      <alignment horizontal="right"/>
    </xf>
    <xf numFmtId="168" fontId="0" fillId="0" borderId="0" xfId="0" applyNumberFormat="1"/>
    <xf numFmtId="180" fontId="18" fillId="9" borderId="0" xfId="12" applyNumberFormat="1" applyFont="1" applyFill="1" applyAlignment="1">
      <alignment horizontal="right"/>
    </xf>
    <xf numFmtId="168" fontId="17" fillId="0" borderId="12" xfId="2" applyNumberFormat="1" applyFont="1" applyFill="1" applyBorder="1"/>
    <xf numFmtId="179" fontId="17" fillId="9" borderId="12" xfId="11" applyNumberFormat="1" applyFont="1" applyFill="1"/>
    <xf numFmtId="168" fontId="64" fillId="0" borderId="0" xfId="2" applyNumberFormat="1" applyFont="1" applyFill="1"/>
    <xf numFmtId="180" fontId="18" fillId="9" borderId="0" xfId="12" applyNumberFormat="1" applyFont="1" applyFill="1"/>
    <xf numFmtId="180" fontId="17" fillId="9" borderId="12" xfId="11" applyNumberFormat="1" applyFont="1" applyFill="1"/>
    <xf numFmtId="173" fontId="17" fillId="0" borderId="0" xfId="13" applyFont="1"/>
    <xf numFmtId="168" fontId="62" fillId="0" borderId="0" xfId="2" applyNumberFormat="1" applyFont="1" applyFill="1"/>
    <xf numFmtId="180" fontId="17" fillId="9" borderId="0" xfId="12" applyNumberFormat="1" applyFont="1" applyFill="1"/>
    <xf numFmtId="173" fontId="17" fillId="0" borderId="12" xfId="11" applyNumberFormat="1" applyFont="1" applyFill="1"/>
    <xf numFmtId="9" fontId="0" fillId="0" borderId="0" xfId="1" applyFont="1"/>
    <xf numFmtId="173" fontId="17" fillId="0" borderId="11" xfId="14" applyNumberFormat="1" applyFont="1"/>
    <xf numFmtId="168" fontId="17" fillId="0" borderId="11" xfId="2" applyNumberFormat="1" applyFont="1" applyFill="1" applyBorder="1"/>
    <xf numFmtId="180" fontId="17" fillId="9" borderId="11" xfId="14" applyNumberFormat="1" applyFont="1" applyFill="1"/>
    <xf numFmtId="0" fontId="18" fillId="0" borderId="0" xfId="0" applyFont="1" applyFill="1"/>
    <xf numFmtId="180" fontId="18" fillId="9" borderId="12" xfId="12" applyNumberFormat="1" applyFont="1" applyFill="1" applyBorder="1"/>
    <xf numFmtId="173" fontId="18" fillId="0" borderId="13" xfId="15" applyNumberFormat="1" applyFont="1" applyBorder="1"/>
    <xf numFmtId="180" fontId="18" fillId="0" borderId="14" xfId="15" applyNumberFormat="1" applyFont="1" applyBorder="1"/>
    <xf numFmtId="173" fontId="18" fillId="0" borderId="15" xfId="15" applyNumberFormat="1" applyFont="1" applyBorder="1"/>
    <xf numFmtId="180" fontId="18" fillId="0" borderId="0" xfId="15" applyNumberFormat="1" applyFont="1" applyBorder="1"/>
    <xf numFmtId="180" fontId="18" fillId="0" borderId="0" xfId="0" applyNumberFormat="1" applyFont="1"/>
    <xf numFmtId="0" fontId="66" fillId="0" borderId="0" xfId="0" applyFont="1"/>
    <xf numFmtId="0" fontId="66" fillId="0" borderId="0" xfId="0" applyFont="1" applyAlignment="1">
      <alignment horizontal="center"/>
    </xf>
    <xf numFmtId="0" fontId="66" fillId="10" borderId="0" xfId="0" applyFont="1" applyFill="1"/>
    <xf numFmtId="0" fontId="67" fillId="10" borderId="0" xfId="0" applyFont="1" applyFill="1"/>
    <xf numFmtId="3" fontId="66" fillId="10" borderId="0" xfId="0" applyNumberFormat="1" applyFont="1" applyFill="1"/>
    <xf numFmtId="0" fontId="66" fillId="0" borderId="0" xfId="0" applyFont="1" applyFill="1"/>
    <xf numFmtId="0" fontId="67" fillId="0" borderId="0" xfId="0" applyFont="1" applyFill="1"/>
    <xf numFmtId="3" fontId="66" fillId="0" borderId="0" xfId="0" applyNumberFormat="1" applyFont="1" applyFill="1"/>
    <xf numFmtId="0" fontId="67" fillId="0" borderId="0" xfId="0" applyFont="1" applyAlignment="1">
      <alignment horizontal="center"/>
    </xf>
    <xf numFmtId="181" fontId="67" fillId="0" borderId="0" xfId="0" applyNumberFormat="1" applyFont="1"/>
    <xf numFmtId="0" fontId="67" fillId="0" borderId="0" xfId="0" applyFont="1"/>
    <xf numFmtId="3" fontId="66" fillId="0" borderId="0" xfId="0" applyNumberFormat="1" applyFont="1" applyAlignment="1">
      <alignment horizontal="left"/>
    </xf>
    <xf numFmtId="0" fontId="68" fillId="6" borderId="0" xfId="0" applyFont="1" applyFill="1"/>
    <xf numFmtId="3" fontId="67" fillId="0" borderId="0" xfId="0" applyNumberFormat="1" applyFont="1" applyAlignment="1">
      <alignment horizontal="left"/>
    </xf>
    <xf numFmtId="3" fontId="66" fillId="0" borderId="0" xfId="0" applyNumberFormat="1" applyFont="1" applyAlignment="1">
      <alignment horizontal="left" vertical="center"/>
    </xf>
    <xf numFmtId="0" fontId="67" fillId="10" borderId="0" xfId="0" applyFont="1" applyFill="1" applyAlignment="1">
      <alignment horizontal="center"/>
    </xf>
    <xf numFmtId="3" fontId="66" fillId="10" borderId="0" xfId="0" applyNumberFormat="1" applyFont="1" applyFill="1" applyAlignment="1">
      <alignment horizontal="left"/>
    </xf>
    <xf numFmtId="9" fontId="69" fillId="0" borderId="0" xfId="0" applyNumberFormat="1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6" fillId="0" borderId="16" xfId="0" applyFont="1" applyBorder="1"/>
    <xf numFmtId="0" fontId="67" fillId="0" borderId="17" xfId="0" applyFont="1" applyBorder="1" applyAlignment="1">
      <alignment horizontal="center"/>
    </xf>
    <xf numFmtId="0" fontId="67" fillId="0" borderId="18" xfId="0" applyFont="1" applyBorder="1"/>
    <xf numFmtId="2" fontId="66" fillId="0" borderId="19" xfId="0" applyNumberFormat="1" applyFont="1" applyBorder="1" applyAlignment="1">
      <alignment horizontal="center" vertical="center"/>
    </xf>
    <xf numFmtId="2" fontId="66" fillId="0" borderId="18" xfId="0" applyNumberFormat="1" applyFont="1" applyBorder="1" applyAlignment="1">
      <alignment horizontal="center" vertical="center"/>
    </xf>
    <xf numFmtId="2" fontId="66" fillId="0" borderId="17" xfId="0" applyNumberFormat="1" applyFont="1" applyBorder="1" applyAlignment="1">
      <alignment horizontal="center" vertical="center"/>
    </xf>
    <xf numFmtId="2" fontId="66" fillId="2" borderId="16" xfId="0" applyNumberFormat="1" applyFont="1" applyFill="1" applyBorder="1" applyAlignment="1">
      <alignment horizontal="center" vertical="center"/>
    </xf>
    <xf numFmtId="0" fontId="70" fillId="2" borderId="16" xfId="0" applyFont="1" applyFill="1" applyBorder="1"/>
    <xf numFmtId="0" fontId="71" fillId="0" borderId="16" xfId="0" applyFont="1" applyBorder="1"/>
    <xf numFmtId="0" fontId="71" fillId="0" borderId="16" xfId="0" applyFont="1" applyBorder="1" applyAlignment="1">
      <alignment horizontal="left" vertical="center"/>
    </xf>
    <xf numFmtId="0" fontId="66" fillId="0" borderId="18" xfId="0" applyFont="1" applyBorder="1" applyAlignment="1">
      <alignment horizontal="center" vertical="center"/>
    </xf>
    <xf numFmtId="0" fontId="66" fillId="0" borderId="16" xfId="0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72" fillId="0" borderId="16" xfId="0" applyFont="1" applyBorder="1"/>
    <xf numFmtId="0" fontId="72" fillId="0" borderId="16" xfId="0" applyFont="1" applyBorder="1" applyAlignment="1">
      <alignment horizontal="center"/>
    </xf>
    <xf numFmtId="182" fontId="70" fillId="0" borderId="16" xfId="0" applyNumberFormat="1" applyFont="1" applyBorder="1" applyAlignment="1">
      <alignment horizontal="center"/>
    </xf>
    <xf numFmtId="182" fontId="70" fillId="0" borderId="19" xfId="0" applyNumberFormat="1" applyFont="1" applyBorder="1" applyAlignment="1">
      <alignment horizontal="center"/>
    </xf>
    <xf numFmtId="0" fontId="72" fillId="2" borderId="16" xfId="0" applyFont="1" applyFill="1" applyBorder="1" applyAlignment="1">
      <alignment horizontal="center"/>
    </xf>
    <xf numFmtId="0" fontId="70" fillId="2" borderId="19" xfId="0" applyFont="1" applyFill="1" applyBorder="1" applyAlignment="1">
      <alignment horizontal="center"/>
    </xf>
    <xf numFmtId="0" fontId="72" fillId="0" borderId="0" xfId="0" applyFont="1"/>
    <xf numFmtId="0" fontId="67" fillId="0" borderId="16" xfId="0" applyFont="1" applyBorder="1" applyAlignment="1">
      <alignment horizontal="center"/>
    </xf>
    <xf numFmtId="182" fontId="67" fillId="0" borderId="16" xfId="0" applyNumberFormat="1" applyFont="1" applyBorder="1"/>
    <xf numFmtId="0" fontId="73" fillId="0" borderId="16" xfId="0" applyFont="1" applyBorder="1" applyAlignment="1">
      <alignment horizontal="center"/>
    </xf>
    <xf numFmtId="182" fontId="68" fillId="0" borderId="16" xfId="0" applyNumberFormat="1" applyFont="1" applyBorder="1" applyAlignment="1">
      <alignment horizontal="center"/>
    </xf>
    <xf numFmtId="2" fontId="73" fillId="2" borderId="16" xfId="0" applyNumberFormat="1" applyFont="1" applyFill="1" applyBorder="1" applyAlignment="1">
      <alignment horizontal="center" vertical="center"/>
    </xf>
    <xf numFmtId="182" fontId="70" fillId="2" borderId="16" xfId="0" applyNumberFormat="1" applyFont="1" applyFill="1" applyBorder="1" applyAlignment="1">
      <alignment horizontal="center" vertical="center"/>
    </xf>
    <xf numFmtId="178" fontId="73" fillId="0" borderId="16" xfId="0" applyNumberFormat="1" applyFont="1" applyBorder="1" applyAlignment="1">
      <alignment horizontal="center"/>
    </xf>
    <xf numFmtId="182" fontId="68" fillId="0" borderId="19" xfId="0" applyNumberFormat="1" applyFont="1" applyBorder="1" applyAlignment="1">
      <alignment horizontal="center"/>
    </xf>
    <xf numFmtId="9" fontId="73" fillId="0" borderId="16" xfId="0" applyNumberFormat="1" applyFont="1" applyBorder="1" applyAlignment="1">
      <alignment horizontal="center"/>
    </xf>
    <xf numFmtId="9" fontId="73" fillId="0" borderId="16" xfId="0" applyNumberFormat="1" applyFont="1" applyBorder="1"/>
    <xf numFmtId="0" fontId="73" fillId="2" borderId="16" xfId="0" applyFont="1" applyFill="1" applyBorder="1" applyAlignment="1">
      <alignment horizontal="center"/>
    </xf>
    <xf numFmtId="182" fontId="70" fillId="2" borderId="16" xfId="0" applyNumberFormat="1" applyFont="1" applyFill="1" applyBorder="1" applyAlignment="1">
      <alignment horizontal="center"/>
    </xf>
    <xf numFmtId="182" fontId="73" fillId="0" borderId="16" xfId="0" applyNumberFormat="1" applyFont="1" applyBorder="1" applyAlignment="1">
      <alignment horizontal="center"/>
    </xf>
    <xf numFmtId="0" fontId="67" fillId="0" borderId="16" xfId="0" applyFont="1" applyBorder="1"/>
    <xf numFmtId="0" fontId="73" fillId="0" borderId="16" xfId="0" applyFont="1" applyBorder="1"/>
    <xf numFmtId="0" fontId="73" fillId="2" borderId="16" xfId="0" applyFont="1" applyFill="1" applyBorder="1"/>
    <xf numFmtId="182" fontId="70" fillId="2" borderId="16" xfId="0" applyNumberFormat="1" applyFont="1" applyFill="1" applyBorder="1"/>
    <xf numFmtId="0" fontId="67" fillId="20" borderId="16" xfId="0" applyFont="1" applyFill="1" applyBorder="1" applyAlignment="1">
      <alignment horizontal="center"/>
    </xf>
    <xf numFmtId="0" fontId="67" fillId="20" borderId="16" xfId="0" applyFont="1" applyFill="1" applyBorder="1"/>
    <xf numFmtId="9" fontId="73" fillId="20" borderId="16" xfId="0" applyNumberFormat="1" applyFont="1" applyFill="1" applyBorder="1" applyAlignment="1">
      <alignment horizontal="center"/>
    </xf>
    <xf numFmtId="9" fontId="73" fillId="20" borderId="16" xfId="0" applyNumberFormat="1" applyFont="1" applyFill="1" applyBorder="1"/>
    <xf numFmtId="182" fontId="73" fillId="2" borderId="16" xfId="0" applyNumberFormat="1" applyFont="1" applyFill="1" applyBorder="1" applyAlignment="1">
      <alignment horizontal="center"/>
    </xf>
    <xf numFmtId="0" fontId="66" fillId="2" borderId="16" xfId="0" applyFont="1" applyFill="1" applyBorder="1"/>
    <xf numFmtId="0" fontId="66" fillId="2" borderId="16" xfId="0" applyFont="1" applyFill="1" applyBorder="1" applyAlignment="1">
      <alignment horizontal="center"/>
    </xf>
    <xf numFmtId="0" fontId="72" fillId="2" borderId="16" xfId="0" applyFont="1" applyFill="1" applyBorder="1"/>
    <xf numFmtId="0" fontId="44" fillId="16" borderId="1" xfId="0" applyFont="1" applyFill="1" applyBorder="1" applyAlignment="1">
      <alignment horizontal="center" wrapText="1"/>
    </xf>
    <xf numFmtId="0" fontId="44" fillId="16" borderId="1" xfId="0" applyFont="1" applyFill="1" applyBorder="1" applyAlignment="1">
      <alignment horizontal="center" vertical="center" wrapText="1"/>
    </xf>
    <xf numFmtId="0" fontId="45" fillId="16" borderId="0" xfId="0" applyFont="1" applyFill="1"/>
    <xf numFmtId="0" fontId="56" fillId="16" borderId="0" xfId="0" applyFont="1" applyFill="1" applyAlignment="1">
      <alignment vertical="center"/>
    </xf>
    <xf numFmtId="0" fontId="57" fillId="16" borderId="0" xfId="0" applyFont="1" applyFill="1" applyAlignment="1">
      <alignment vertical="center"/>
    </xf>
    <xf numFmtId="0" fontId="56" fillId="5" borderId="1" xfId="0" applyFont="1" applyFill="1" applyBorder="1" applyAlignment="1">
      <alignment vertical="center"/>
    </xf>
    <xf numFmtId="0" fontId="57" fillId="26" borderId="1" xfId="0" applyFont="1" applyFill="1" applyBorder="1" applyAlignment="1">
      <alignment vertical="center"/>
    </xf>
    <xf numFmtId="0" fontId="57" fillId="9" borderId="1" xfId="0" applyFont="1" applyFill="1" applyBorder="1" applyAlignment="1">
      <alignment vertical="center"/>
    </xf>
    <xf numFmtId="0" fontId="56" fillId="0" borderId="1" xfId="0" applyFont="1" applyBorder="1" applyAlignment="1">
      <alignment vertical="center"/>
    </xf>
    <xf numFmtId="0" fontId="33" fillId="27" borderId="21" xfId="0" applyFont="1" applyFill="1" applyBorder="1"/>
    <xf numFmtId="0" fontId="74" fillId="0" borderId="0" xfId="0" applyFont="1" applyAlignment="1">
      <alignment vertical="center"/>
    </xf>
    <xf numFmtId="183" fontId="73" fillId="2" borderId="16" xfId="0" applyNumberFormat="1" applyFont="1" applyFill="1" applyBorder="1" applyAlignment="1">
      <alignment horizontal="center" vertical="center"/>
    </xf>
    <xf numFmtId="2" fontId="66" fillId="21" borderId="16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54" fillId="0" borderId="0" xfId="0" applyFont="1"/>
    <xf numFmtId="168" fontId="74" fillId="0" borderId="0" xfId="2" applyNumberFormat="1" applyFont="1" applyAlignment="1">
      <alignment horizontal="center" vertical="center"/>
    </xf>
    <xf numFmtId="0" fontId="75" fillId="0" borderId="0" xfId="0" applyFont="1" applyAlignment="1">
      <alignment vertical="center"/>
    </xf>
    <xf numFmtId="43" fontId="74" fillId="0" borderId="0" xfId="2" applyFont="1"/>
    <xf numFmtId="9" fontId="54" fillId="0" borderId="0" xfId="0" applyNumberFormat="1" applyFont="1" applyAlignment="1">
      <alignment horizontal="center" vertical="center"/>
    </xf>
    <xf numFmtId="0" fontId="76" fillId="0" borderId="0" xfId="0" applyFont="1"/>
    <xf numFmtId="168" fontId="76" fillId="0" borderId="0" xfId="2" applyNumberFormat="1" applyFont="1"/>
    <xf numFmtId="0" fontId="76" fillId="0" borderId="0" xfId="0" applyFont="1" applyAlignment="1">
      <alignment horizontal="center"/>
    </xf>
    <xf numFmtId="0" fontId="76" fillId="0" borderId="0" xfId="0" applyFont="1" applyAlignment="1">
      <alignment horizontal="center" vertical="center"/>
    </xf>
    <xf numFmtId="0" fontId="76" fillId="0" borderId="0" xfId="0" applyFont="1" applyAlignment="1">
      <alignment vertical="center"/>
    </xf>
    <xf numFmtId="0" fontId="79" fillId="0" borderId="0" xfId="0" applyFont="1" applyAlignment="1">
      <alignment horizontal="center" vertical="center"/>
    </xf>
    <xf numFmtId="0" fontId="79" fillId="0" borderId="0" xfId="0" applyFont="1" applyAlignment="1">
      <alignment vertical="center"/>
    </xf>
    <xf numFmtId="168" fontId="76" fillId="0" borderId="0" xfId="2" applyNumberFormat="1" applyFont="1" applyAlignment="1">
      <alignment horizontal="center"/>
    </xf>
    <xf numFmtId="0" fontId="79" fillId="0" borderId="0" xfId="0" applyFont="1"/>
    <xf numFmtId="173" fontId="81" fillId="0" borderId="0" xfId="3" applyFont="1" applyFill="1"/>
    <xf numFmtId="0" fontId="82" fillId="0" borderId="0" xfId="0" applyFont="1"/>
    <xf numFmtId="173" fontId="81" fillId="0" borderId="0" xfId="3" applyFont="1" applyFill="1" applyAlignment="1">
      <alignment horizontal="center" vertical="center"/>
    </xf>
    <xf numFmtId="185" fontId="83" fillId="0" borderId="0" xfId="0" applyNumberFormat="1" applyFont="1"/>
    <xf numFmtId="168" fontId="82" fillId="0" borderId="0" xfId="2" applyNumberFormat="1" applyFont="1"/>
    <xf numFmtId="0" fontId="82" fillId="0" borderId="0" xfId="0" applyFont="1" applyAlignment="1">
      <alignment horizontal="center"/>
    </xf>
    <xf numFmtId="0" fontId="84" fillId="0" borderId="0" xfId="0" applyFont="1"/>
    <xf numFmtId="0" fontId="82" fillId="0" borderId="0" xfId="0" applyFont="1" applyAlignment="1">
      <alignment horizontal="center" vertical="center"/>
    </xf>
    <xf numFmtId="43" fontId="82" fillId="0" borderId="0" xfId="2" applyNumberFormat="1" applyFont="1" applyAlignment="1">
      <alignment horizontal="left"/>
    </xf>
    <xf numFmtId="0" fontId="82" fillId="0" borderId="0" xfId="0" applyFont="1" applyAlignment="1">
      <alignment vertical="center"/>
    </xf>
    <xf numFmtId="3" fontId="81" fillId="0" borderId="10" xfId="4" applyNumberFormat="1" applyFont="1" applyAlignment="1">
      <alignment horizontal="center" vertical="center" wrapText="1"/>
    </xf>
    <xf numFmtId="3" fontId="81" fillId="0" borderId="10" xfId="4" applyNumberFormat="1" applyFont="1" applyAlignment="1">
      <alignment horizontal="left" vertical="center" wrapText="1"/>
    </xf>
    <xf numFmtId="185" fontId="83" fillId="0" borderId="10" xfId="4" applyNumberFormat="1" applyFont="1" applyAlignment="1">
      <alignment horizontal="center" vertical="center" wrapText="1"/>
    </xf>
    <xf numFmtId="168" fontId="81" fillId="0" borderId="10" xfId="2" applyNumberFormat="1" applyFont="1" applyBorder="1" applyAlignment="1">
      <alignment horizontal="center" vertical="center" wrapText="1"/>
    </xf>
    <xf numFmtId="17" fontId="81" fillId="0" borderId="10" xfId="4" applyNumberFormat="1" applyFont="1" applyAlignment="1">
      <alignment horizontal="center" vertical="center" wrapText="1"/>
    </xf>
    <xf numFmtId="17" fontId="83" fillId="0" borderId="10" xfId="4" applyNumberFormat="1" applyFont="1" applyAlignment="1">
      <alignment horizontal="center" vertical="center" wrapText="1"/>
    </xf>
    <xf numFmtId="0" fontId="85" fillId="0" borderId="0" xfId="0" applyFont="1" applyAlignment="1">
      <alignment horizontal="center" vertical="center"/>
    </xf>
    <xf numFmtId="3" fontId="84" fillId="0" borderId="0" xfId="0" applyNumberFormat="1" applyFont="1" applyBorder="1" applyAlignment="1">
      <alignment horizontal="center" vertical="center"/>
    </xf>
    <xf numFmtId="185" fontId="83" fillId="0" borderId="0" xfId="0" applyNumberFormat="1" applyFont="1" applyAlignment="1">
      <alignment horizontal="center" vertical="center"/>
    </xf>
    <xf numFmtId="168" fontId="86" fillId="0" borderId="0" xfId="2" applyNumberFormat="1" applyFont="1" applyAlignment="1">
      <alignment horizontal="center" vertical="center"/>
    </xf>
    <xf numFmtId="3" fontId="84" fillId="0" borderId="0" xfId="0" applyNumberFormat="1" applyFont="1" applyAlignment="1">
      <alignment horizontal="center" vertical="center"/>
    </xf>
    <xf numFmtId="3" fontId="85" fillId="0" borderId="12" xfId="11" applyNumberFormat="1" applyFont="1" applyAlignment="1">
      <alignment horizontal="left" vertical="center"/>
    </xf>
    <xf numFmtId="3" fontId="85" fillId="0" borderId="12" xfId="11" applyNumberFormat="1" applyFont="1" applyAlignment="1">
      <alignment horizontal="center" vertical="center"/>
    </xf>
    <xf numFmtId="185" fontId="83" fillId="0" borderId="12" xfId="11" applyNumberFormat="1" applyFont="1" applyFill="1" applyAlignment="1">
      <alignment horizontal="right" vertical="center"/>
    </xf>
    <xf numFmtId="168" fontId="85" fillId="0" borderId="12" xfId="2" applyNumberFormat="1" applyFont="1" applyBorder="1" applyAlignment="1">
      <alignment horizontal="center" vertical="center"/>
    </xf>
    <xf numFmtId="3" fontId="83" fillId="0" borderId="12" xfId="11" applyNumberFormat="1" applyFont="1" applyAlignment="1">
      <alignment horizontal="center" vertical="center"/>
    </xf>
    <xf numFmtId="0" fontId="85" fillId="0" borderId="0" xfId="0" applyFont="1" applyAlignment="1">
      <alignment vertical="center"/>
    </xf>
    <xf numFmtId="3" fontId="84" fillId="0" borderId="0" xfId="0" applyNumberFormat="1" applyFont="1" applyBorder="1" applyAlignment="1">
      <alignment horizontal="left" vertical="center"/>
    </xf>
    <xf numFmtId="185" fontId="83" fillId="0" borderId="0" xfId="0" applyNumberFormat="1" applyFont="1" applyBorder="1" applyAlignment="1">
      <alignment horizontal="right" vertical="center"/>
    </xf>
    <xf numFmtId="168" fontId="86" fillId="0" borderId="0" xfId="2" applyNumberFormat="1" applyFont="1" applyBorder="1" applyAlignment="1">
      <alignment horizontal="right" vertical="center"/>
    </xf>
    <xf numFmtId="9" fontId="84" fillId="0" borderId="0" xfId="1" applyFont="1" applyBorder="1" applyAlignment="1">
      <alignment horizontal="center" vertical="center"/>
    </xf>
    <xf numFmtId="3" fontId="84" fillId="0" borderId="0" xfId="0" applyNumberFormat="1" applyFont="1" applyBorder="1" applyAlignment="1">
      <alignment vertical="center"/>
    </xf>
    <xf numFmtId="3" fontId="85" fillId="0" borderId="0" xfId="11" applyNumberFormat="1" applyFont="1" applyBorder="1" applyAlignment="1">
      <alignment horizontal="left" vertical="center"/>
    </xf>
    <xf numFmtId="3" fontId="85" fillId="0" borderId="0" xfId="11" applyNumberFormat="1" applyFont="1" applyBorder="1" applyAlignment="1">
      <alignment horizontal="center" vertical="center"/>
    </xf>
    <xf numFmtId="169" fontId="83" fillId="0" borderId="0" xfId="11" applyNumberFormat="1" applyFont="1" applyFill="1" applyBorder="1" applyAlignment="1">
      <alignment horizontal="right" vertical="center"/>
    </xf>
    <xf numFmtId="168" fontId="83" fillId="0" borderId="0" xfId="2" applyNumberFormat="1" applyFont="1" applyFill="1" applyBorder="1" applyAlignment="1">
      <alignment horizontal="right" vertical="center"/>
    </xf>
    <xf numFmtId="3" fontId="83" fillId="0" borderId="0" xfId="11" applyNumberFormat="1" applyFont="1" applyBorder="1" applyAlignment="1">
      <alignment horizontal="center" vertical="center"/>
    </xf>
    <xf numFmtId="3" fontId="87" fillId="0" borderId="0" xfId="0" applyNumberFormat="1" applyFont="1" applyBorder="1" applyAlignment="1">
      <alignment horizontal="left" vertical="center"/>
    </xf>
    <xf numFmtId="3" fontId="87" fillId="0" borderId="0" xfId="0" applyNumberFormat="1" applyFont="1" applyBorder="1" applyAlignment="1">
      <alignment vertical="center"/>
    </xf>
    <xf numFmtId="3" fontId="87" fillId="0" borderId="0" xfId="0" applyNumberFormat="1" applyFont="1" applyBorder="1" applyAlignment="1">
      <alignment horizontal="center" vertical="center"/>
    </xf>
    <xf numFmtId="185" fontId="88" fillId="0" borderId="0" xfId="0" applyNumberFormat="1" applyFont="1" applyBorder="1" applyAlignment="1">
      <alignment horizontal="right" vertical="center"/>
    </xf>
    <xf numFmtId="168" fontId="87" fillId="0" borderId="0" xfId="2" applyNumberFormat="1" applyFont="1" applyBorder="1" applyAlignment="1">
      <alignment horizontal="right" vertical="center"/>
    </xf>
    <xf numFmtId="0" fontId="89" fillId="0" borderId="0" xfId="0" applyFont="1" applyAlignment="1">
      <alignment vertical="center"/>
    </xf>
    <xf numFmtId="185" fontId="90" fillId="0" borderId="0" xfId="0" applyNumberFormat="1" applyFont="1" applyBorder="1" applyAlignment="1">
      <alignment horizontal="right" vertical="center"/>
    </xf>
    <xf numFmtId="3" fontId="87" fillId="0" borderId="0" xfId="0" applyNumberFormat="1" applyFont="1" applyBorder="1" applyAlignment="1">
      <alignment horizontal="right" vertical="center"/>
    </xf>
    <xf numFmtId="168" fontId="91" fillId="0" borderId="0" xfId="2" applyNumberFormat="1" applyFont="1" applyBorder="1" applyAlignment="1">
      <alignment horizontal="right" vertical="center"/>
    </xf>
    <xf numFmtId="3" fontId="85" fillId="0" borderId="11" xfId="5" applyNumberFormat="1" applyFont="1" applyAlignment="1">
      <alignment horizontal="left" vertical="center"/>
    </xf>
    <xf numFmtId="3" fontId="85" fillId="0" borderId="11" xfId="5" applyNumberFormat="1" applyFont="1" applyAlignment="1">
      <alignment horizontal="center" vertical="center"/>
    </xf>
    <xf numFmtId="185" fontId="83" fillId="0" borderId="11" xfId="5" applyNumberFormat="1" applyFont="1" applyFill="1" applyAlignment="1">
      <alignment horizontal="right" vertical="center"/>
    </xf>
    <xf numFmtId="168" fontId="83" fillId="0" borderId="11" xfId="2" applyNumberFormat="1" applyFont="1" applyFill="1" applyBorder="1" applyAlignment="1">
      <alignment horizontal="right" vertical="center"/>
    </xf>
    <xf numFmtId="3" fontId="83" fillId="0" borderId="11" xfId="5" applyNumberFormat="1" applyFont="1" applyFill="1" applyAlignment="1">
      <alignment horizontal="center" vertical="center"/>
    </xf>
    <xf numFmtId="168" fontId="82" fillId="0" borderId="0" xfId="2" applyNumberFormat="1" applyFont="1" applyAlignment="1">
      <alignment horizontal="center"/>
    </xf>
    <xf numFmtId="185" fontId="83" fillId="0" borderId="0" xfId="11" applyNumberFormat="1" applyFont="1" applyFill="1" applyBorder="1" applyAlignment="1">
      <alignment horizontal="center" vertical="center"/>
    </xf>
    <xf numFmtId="168" fontId="83" fillId="0" borderId="0" xfId="2" applyNumberFormat="1" applyFont="1" applyFill="1" applyBorder="1" applyAlignment="1">
      <alignment horizontal="center" vertical="center"/>
    </xf>
    <xf numFmtId="185" fontId="90" fillId="0" borderId="0" xfId="0" applyNumberFormat="1" applyFont="1" applyBorder="1" applyAlignment="1">
      <alignment horizontal="center" vertical="center"/>
    </xf>
    <xf numFmtId="168" fontId="91" fillId="0" borderId="0" xfId="2" applyNumberFormat="1" applyFont="1" applyBorder="1" applyAlignment="1">
      <alignment horizontal="center" vertical="center"/>
    </xf>
    <xf numFmtId="3" fontId="87" fillId="0" borderId="0" xfId="0" applyNumberFormat="1" applyFont="1" applyBorder="1" applyAlignment="1">
      <alignment horizontal="left"/>
    </xf>
    <xf numFmtId="3" fontId="87" fillId="0" borderId="0" xfId="0" applyNumberFormat="1" applyFont="1" applyBorder="1"/>
    <xf numFmtId="168" fontId="92" fillId="0" borderId="0" xfId="2" applyNumberFormat="1" applyFont="1" applyBorder="1" applyAlignment="1">
      <alignment horizontal="right"/>
    </xf>
    <xf numFmtId="168" fontId="90" fillId="0" borderId="0" xfId="2" applyNumberFormat="1" applyFont="1" applyBorder="1" applyAlignment="1">
      <alignment horizontal="center" vertical="center"/>
    </xf>
    <xf numFmtId="168" fontId="87" fillId="0" borderId="0" xfId="2" applyNumberFormat="1" applyFont="1" applyBorder="1" applyAlignment="1">
      <alignment horizontal="center" vertical="center"/>
    </xf>
    <xf numFmtId="167" fontId="83" fillId="0" borderId="0" xfId="1" applyNumberFormat="1" applyFont="1" applyFill="1" applyBorder="1" applyAlignment="1">
      <alignment horizontal="center" vertical="center"/>
    </xf>
    <xf numFmtId="167" fontId="90" fillId="0" borderId="0" xfId="1" applyNumberFormat="1" applyFont="1" applyBorder="1" applyAlignment="1">
      <alignment horizontal="center" vertical="center"/>
    </xf>
    <xf numFmtId="168" fontId="90" fillId="0" borderId="0" xfId="0" applyNumberFormat="1" applyFont="1" applyBorder="1" applyAlignment="1">
      <alignment horizontal="center"/>
    </xf>
    <xf numFmtId="185" fontId="83" fillId="0" borderId="11" xfId="5" applyNumberFormat="1" applyFont="1" applyFill="1" applyAlignment="1">
      <alignment horizontal="center" vertical="center"/>
    </xf>
    <xf numFmtId="3" fontId="81" fillId="0" borderId="10" xfId="4" applyNumberFormat="1" applyFont="1" applyAlignment="1">
      <alignment horizontal="center" wrapText="1"/>
    </xf>
    <xf numFmtId="3" fontId="81" fillId="0" borderId="10" xfId="4" applyNumberFormat="1" applyFont="1" applyAlignment="1">
      <alignment horizontal="left" wrapText="1"/>
    </xf>
    <xf numFmtId="185" fontId="83" fillId="0" borderId="10" xfId="4" applyNumberFormat="1" applyFont="1" applyAlignment="1">
      <alignment horizontal="center" wrapText="1"/>
    </xf>
    <xf numFmtId="168" fontId="81" fillId="0" borderId="10" xfId="2" applyNumberFormat="1" applyFont="1" applyBorder="1" applyAlignment="1">
      <alignment horizontal="center" wrapText="1"/>
    </xf>
    <xf numFmtId="0" fontId="84" fillId="0" borderId="0" xfId="0" applyFont="1" applyAlignment="1"/>
    <xf numFmtId="0" fontId="82" fillId="0" borderId="0" xfId="0" applyFont="1" applyAlignment="1"/>
    <xf numFmtId="168" fontId="82" fillId="0" borderId="0" xfId="0" applyNumberFormat="1" applyFont="1" applyAlignment="1"/>
    <xf numFmtId="166" fontId="82" fillId="0" borderId="0" xfId="2" applyNumberFormat="1" applyFont="1" applyAlignment="1">
      <alignment horizontal="center" vertical="center"/>
    </xf>
    <xf numFmtId="184" fontId="90" fillId="0" borderId="0" xfId="2" applyNumberFormat="1" applyFont="1" applyBorder="1" applyAlignment="1">
      <alignment horizontal="center" vertical="center"/>
    </xf>
    <xf numFmtId="184" fontId="91" fillId="0" borderId="0" xfId="2" applyNumberFormat="1" applyFont="1" applyBorder="1" applyAlignment="1">
      <alignment horizontal="center" vertical="center"/>
    </xf>
    <xf numFmtId="184" fontId="82" fillId="0" borderId="0" xfId="2" applyNumberFormat="1" applyFont="1" applyAlignment="1">
      <alignment horizontal="center" vertical="center"/>
    </xf>
    <xf numFmtId="186" fontId="84" fillId="0" borderId="0" xfId="0" applyNumberFormat="1" applyFont="1" applyAlignment="1">
      <alignment horizontal="center" vertical="center"/>
    </xf>
    <xf numFmtId="3" fontId="90" fillId="0" borderId="0" xfId="0" applyNumberFormat="1" applyFont="1" applyBorder="1" applyAlignment="1">
      <alignment horizontal="left" vertical="center"/>
    </xf>
    <xf numFmtId="0" fontId="85" fillId="0" borderId="0" xfId="0" applyFont="1"/>
    <xf numFmtId="9" fontId="82" fillId="0" borderId="0" xfId="1" applyFont="1" applyAlignment="1">
      <alignment horizontal="center" vertical="center"/>
    </xf>
    <xf numFmtId="0" fontId="84" fillId="0" borderId="0" xfId="0" applyFont="1" applyAlignment="1">
      <alignment vertical="center"/>
    </xf>
    <xf numFmtId="9" fontId="82" fillId="0" borderId="0" xfId="0" applyNumberFormat="1" applyFont="1" applyAlignment="1">
      <alignment horizontal="center" vertical="center"/>
    </xf>
    <xf numFmtId="185" fontId="82" fillId="0" borderId="0" xfId="2" applyNumberFormat="1" applyFont="1" applyAlignment="1">
      <alignment horizontal="center" vertical="center"/>
    </xf>
    <xf numFmtId="185" fontId="82" fillId="0" borderId="0" xfId="0" applyNumberFormat="1" applyFont="1"/>
    <xf numFmtId="168" fontId="82" fillId="0" borderId="0" xfId="0" applyNumberFormat="1" applyFont="1"/>
    <xf numFmtId="187" fontId="82" fillId="0" borderId="0" xfId="0" applyNumberFormat="1" applyFont="1"/>
    <xf numFmtId="3" fontId="82" fillId="0" borderId="0" xfId="0" applyNumberFormat="1" applyFont="1" applyAlignment="1">
      <alignment vertical="center"/>
    </xf>
    <xf numFmtId="0" fontId="93" fillId="14" borderId="3" xfId="0" applyFont="1" applyFill="1" applyBorder="1" applyAlignment="1">
      <alignment vertical="center"/>
    </xf>
    <xf numFmtId="0" fontId="93" fillId="14" borderId="3" xfId="0" applyFont="1" applyFill="1" applyBorder="1" applyAlignment="1">
      <alignment horizontal="center" vertical="center"/>
    </xf>
    <xf numFmtId="0" fontId="77" fillId="11" borderId="3" xfId="0" applyFont="1" applyFill="1" applyBorder="1" applyAlignment="1">
      <alignment horizontal="center" vertical="center"/>
    </xf>
    <xf numFmtId="0" fontId="93" fillId="14" borderId="0" xfId="0" applyFont="1" applyFill="1"/>
    <xf numFmtId="0" fontId="93" fillId="14" borderId="0" xfId="0" applyFont="1" applyFill="1" applyAlignment="1">
      <alignment horizontal="center"/>
    </xf>
    <xf numFmtId="0" fontId="77" fillId="11" borderId="0" xfId="0" applyFont="1" applyFill="1" applyAlignment="1">
      <alignment horizontal="center"/>
    </xf>
    <xf numFmtId="0" fontId="78" fillId="11" borderId="0" xfId="0" applyFont="1" applyFill="1" applyAlignment="1">
      <alignment horizontal="center"/>
    </xf>
    <xf numFmtId="0" fontId="94" fillId="14" borderId="0" xfId="0" applyFont="1" applyFill="1" applyAlignment="1">
      <alignment horizontal="center"/>
    </xf>
    <xf numFmtId="0" fontId="79" fillId="0" borderId="0" xfId="0" applyFont="1" applyFill="1" applyAlignment="1">
      <alignment horizontal="left" vertical="center"/>
    </xf>
    <xf numFmtId="0" fontId="79" fillId="0" borderId="0" xfId="0" applyFont="1" applyFill="1" applyAlignment="1">
      <alignment vertical="center"/>
    </xf>
    <xf numFmtId="0" fontId="79" fillId="0" borderId="0" xfId="0" applyFont="1" applyFill="1" applyAlignment="1">
      <alignment horizontal="center" vertical="center"/>
    </xf>
    <xf numFmtId="9" fontId="79" fillId="0" borderId="0" xfId="0" applyNumberFormat="1" applyFont="1" applyFill="1" applyAlignment="1">
      <alignment horizontal="center" vertical="center"/>
    </xf>
    <xf numFmtId="168" fontId="79" fillId="0" borderId="0" xfId="2" applyNumberFormat="1" applyFont="1" applyFill="1" applyAlignment="1">
      <alignment horizontal="center" vertical="center"/>
    </xf>
    <xf numFmtId="0" fontId="93" fillId="15" borderId="3" xfId="0" applyFont="1" applyFill="1" applyBorder="1" applyAlignment="1">
      <alignment horizontal="center" vertical="center" wrapText="1"/>
    </xf>
    <xf numFmtId="0" fontId="93" fillId="15" borderId="3" xfId="0" applyFont="1" applyFill="1" applyBorder="1" applyAlignment="1">
      <alignment horizontal="center" vertical="center"/>
    </xf>
    <xf numFmtId="17" fontId="93" fillId="15" borderId="3" xfId="0" applyNumberFormat="1" applyFont="1" applyFill="1" applyBorder="1" applyAlignment="1">
      <alignment horizontal="center" vertical="center"/>
    </xf>
    <xf numFmtId="0" fontId="93" fillId="14" borderId="4" xfId="0" applyFont="1" applyFill="1" applyBorder="1" applyAlignment="1">
      <alignment horizontal="center" vertical="center"/>
    </xf>
    <xf numFmtId="0" fontId="77" fillId="0" borderId="0" xfId="0" applyFont="1" applyBorder="1"/>
    <xf numFmtId="17" fontId="77" fillId="0" borderId="0" xfId="0" applyNumberFormat="1" applyFont="1" applyFill="1" applyBorder="1" applyAlignment="1">
      <alignment horizontal="center"/>
    </xf>
    <xf numFmtId="0" fontId="77" fillId="5" borderId="6" xfId="0" applyFont="1" applyFill="1" applyBorder="1" applyAlignment="1">
      <alignment vertical="center"/>
    </xf>
    <xf numFmtId="3" fontId="77" fillId="5" borderId="6" xfId="0" applyNumberFormat="1" applyFont="1" applyFill="1" applyBorder="1" applyAlignment="1">
      <alignment horizontal="center" vertical="center"/>
    </xf>
    <xf numFmtId="0" fontId="75" fillId="12" borderId="3" xfId="0" applyFont="1" applyFill="1" applyBorder="1" applyAlignment="1">
      <alignment horizontal="center" vertical="center"/>
    </xf>
    <xf numFmtId="170" fontId="75" fillId="12" borderId="3" xfId="0" applyNumberFormat="1" applyFont="1" applyFill="1" applyBorder="1" applyAlignment="1">
      <alignment horizontal="center" vertical="center"/>
    </xf>
    <xf numFmtId="9" fontId="77" fillId="0" borderId="0" xfId="1" applyFont="1" applyFill="1" applyBorder="1" applyAlignment="1">
      <alignment horizontal="center"/>
    </xf>
    <xf numFmtId="168" fontId="79" fillId="0" borderId="0" xfId="2" applyNumberFormat="1" applyFont="1" applyAlignment="1">
      <alignment horizontal="center" vertical="center"/>
    </xf>
    <xf numFmtId="0" fontId="77" fillId="27" borderId="6" xfId="0" applyFont="1" applyFill="1" applyBorder="1" applyAlignment="1">
      <alignment vertical="center"/>
    </xf>
    <xf numFmtId="3" fontId="77" fillId="27" borderId="6" xfId="0" applyNumberFormat="1" applyFont="1" applyFill="1" applyBorder="1" applyAlignment="1">
      <alignment horizontal="center" vertical="center"/>
    </xf>
    <xf numFmtId="43" fontId="77" fillId="0" borderId="0" xfId="2" applyFont="1" applyFill="1" applyBorder="1" applyAlignment="1">
      <alignment horizontal="center"/>
    </xf>
    <xf numFmtId="185" fontId="77" fillId="27" borderId="6" xfId="0" applyNumberFormat="1" applyFont="1" applyFill="1" applyBorder="1" applyAlignment="1">
      <alignment horizontal="center" vertical="center"/>
    </xf>
    <xf numFmtId="168" fontId="95" fillId="27" borderId="6" xfId="2" applyNumberFormat="1" applyFont="1" applyFill="1" applyBorder="1" applyAlignment="1">
      <alignment horizontal="center" vertical="center"/>
    </xf>
    <xf numFmtId="185" fontId="95" fillId="27" borderId="6" xfId="0" applyNumberFormat="1" applyFont="1" applyFill="1" applyBorder="1" applyAlignment="1">
      <alignment horizontal="center" vertical="center"/>
    </xf>
    <xf numFmtId="0" fontId="76" fillId="0" borderId="0" xfId="0" applyFont="1" applyFill="1"/>
    <xf numFmtId="176" fontId="77" fillId="0" borderId="0" xfId="2" applyNumberFormat="1" applyFont="1" applyFill="1" applyBorder="1" applyAlignment="1">
      <alignment horizontal="center"/>
    </xf>
    <xf numFmtId="0" fontId="76" fillId="0" borderId="51" xfId="0" applyFont="1" applyBorder="1"/>
    <xf numFmtId="0" fontId="76" fillId="0" borderId="0" xfId="0" applyFont="1" applyBorder="1"/>
    <xf numFmtId="0" fontId="76" fillId="0" borderId="0" xfId="0" applyFont="1" applyBorder="1" applyAlignment="1">
      <alignment horizontal="center"/>
    </xf>
    <xf numFmtId="17" fontId="77" fillId="0" borderId="52" xfId="0" applyNumberFormat="1" applyFont="1" applyFill="1" applyBorder="1" applyAlignment="1">
      <alignment horizontal="center"/>
    </xf>
    <xf numFmtId="0" fontId="77" fillId="27" borderId="53" xfId="0" applyFont="1" applyFill="1" applyBorder="1" applyAlignment="1">
      <alignment vertical="center"/>
    </xf>
    <xf numFmtId="9" fontId="77" fillId="27" borderId="6" xfId="1" applyFont="1" applyFill="1" applyBorder="1" applyAlignment="1">
      <alignment horizontal="center" vertical="center"/>
    </xf>
    <xf numFmtId="9" fontId="77" fillId="27" borderId="54" xfId="1" applyFont="1" applyFill="1" applyBorder="1" applyAlignment="1">
      <alignment horizontal="center" vertical="center"/>
    </xf>
    <xf numFmtId="9" fontId="76" fillId="0" borderId="0" xfId="0" applyNumberFormat="1" applyFont="1"/>
    <xf numFmtId="9" fontId="77" fillId="27" borderId="6" xfId="1" applyNumberFormat="1" applyFont="1" applyFill="1" applyBorder="1" applyAlignment="1">
      <alignment horizontal="center" vertical="center"/>
    </xf>
    <xf numFmtId="10" fontId="76" fillId="0" borderId="0" xfId="1" applyNumberFormat="1" applyFont="1" applyBorder="1" applyAlignment="1">
      <alignment horizontal="center"/>
    </xf>
    <xf numFmtId="10" fontId="76" fillId="0" borderId="0" xfId="1" applyNumberFormat="1" applyFont="1" applyBorder="1"/>
    <xf numFmtId="10" fontId="77" fillId="27" borderId="6" xfId="1" applyNumberFormat="1" applyFont="1" applyFill="1" applyBorder="1" applyAlignment="1">
      <alignment horizontal="center" vertical="center"/>
    </xf>
    <xf numFmtId="0" fontId="93" fillId="15" borderId="48" xfId="0" applyFont="1" applyFill="1" applyBorder="1" applyAlignment="1">
      <alignment horizontal="center" vertical="center" wrapText="1"/>
    </xf>
    <xf numFmtId="0" fontId="93" fillId="15" borderId="49" xfId="0" applyFont="1" applyFill="1" applyBorder="1" applyAlignment="1">
      <alignment horizontal="center" vertical="center" wrapText="1"/>
    </xf>
    <xf numFmtId="0" fontId="93" fillId="15" borderId="49" xfId="0" applyFont="1" applyFill="1" applyBorder="1" applyAlignment="1">
      <alignment horizontal="left" vertical="center"/>
    </xf>
    <xf numFmtId="17" fontId="93" fillId="15" borderId="49" xfId="0" applyNumberFormat="1" applyFont="1" applyFill="1" applyBorder="1" applyAlignment="1">
      <alignment horizontal="center" vertical="center"/>
    </xf>
    <xf numFmtId="17" fontId="93" fillId="15" borderId="50" xfId="0" applyNumberFormat="1" applyFont="1" applyFill="1" applyBorder="1" applyAlignment="1">
      <alignment horizontal="center" vertical="center"/>
    </xf>
    <xf numFmtId="9" fontId="76" fillId="0" borderId="0" xfId="0" applyNumberFormat="1" applyFont="1" applyAlignment="1">
      <alignment horizontal="center"/>
    </xf>
    <xf numFmtId="3" fontId="76" fillId="0" borderId="0" xfId="0" applyNumberFormat="1" applyFont="1"/>
    <xf numFmtId="0" fontId="75" fillId="12" borderId="57" xfId="0" applyFont="1" applyFill="1" applyBorder="1" applyAlignment="1">
      <alignment horizontal="center" vertical="center"/>
    </xf>
    <xf numFmtId="0" fontId="75" fillId="12" borderId="58" xfId="0" applyFont="1" applyFill="1" applyBorder="1" applyAlignment="1">
      <alignment horizontal="center" vertical="center"/>
    </xf>
    <xf numFmtId="170" fontId="75" fillId="12" borderId="58" xfId="0" applyNumberFormat="1" applyFont="1" applyFill="1" applyBorder="1" applyAlignment="1">
      <alignment horizontal="center" vertical="center"/>
    </xf>
    <xf numFmtId="170" fontId="75" fillId="12" borderId="59" xfId="0" applyNumberFormat="1" applyFont="1" applyFill="1" applyBorder="1" applyAlignment="1">
      <alignment horizontal="center" vertical="center"/>
    </xf>
    <xf numFmtId="0" fontId="93" fillId="15" borderId="49" xfId="0" applyFont="1" applyFill="1" applyBorder="1" applyAlignment="1">
      <alignment horizontal="center" vertical="center"/>
    </xf>
    <xf numFmtId="0" fontId="76" fillId="0" borderId="52" xfId="0" applyFont="1" applyBorder="1" applyAlignment="1">
      <alignment horizontal="center"/>
    </xf>
    <xf numFmtId="3" fontId="77" fillId="27" borderId="54" xfId="0" applyNumberFormat="1" applyFont="1" applyFill="1" applyBorder="1" applyAlignment="1">
      <alignment horizontal="center" vertical="center"/>
    </xf>
    <xf numFmtId="0" fontId="77" fillId="27" borderId="55" xfId="0" applyFont="1" applyFill="1" applyBorder="1" applyAlignment="1">
      <alignment vertical="center"/>
    </xf>
    <xf numFmtId="0" fontId="77" fillId="27" borderId="44" xfId="0" applyFont="1" applyFill="1" applyBorder="1" applyAlignment="1">
      <alignment vertical="center"/>
    </xf>
    <xf numFmtId="3" fontId="77" fillId="27" borderId="44" xfId="0" applyNumberFormat="1" applyFont="1" applyFill="1" applyBorder="1" applyAlignment="1">
      <alignment horizontal="center" vertical="center"/>
    </xf>
    <xf numFmtId="3" fontId="77" fillId="27" borderId="56" xfId="0" applyNumberFormat="1" applyFont="1" applyFill="1" applyBorder="1" applyAlignment="1">
      <alignment horizontal="center" vertical="center"/>
    </xf>
    <xf numFmtId="168" fontId="77" fillId="27" borderId="6" xfId="2" applyNumberFormat="1" applyFont="1" applyFill="1" applyBorder="1" applyAlignment="1">
      <alignment horizontal="center" vertical="center"/>
    </xf>
    <xf numFmtId="168" fontId="76" fillId="0" borderId="0" xfId="0" applyNumberFormat="1" applyFont="1" applyAlignment="1">
      <alignment horizontal="center"/>
    </xf>
    <xf numFmtId="168" fontId="77" fillId="0" borderId="0" xfId="2" applyNumberFormat="1" applyFont="1" applyFill="1" applyBorder="1" applyAlignment="1">
      <alignment horizontal="center"/>
    </xf>
    <xf numFmtId="168" fontId="75" fillId="12" borderId="3" xfId="2" applyNumberFormat="1" applyFont="1" applyFill="1" applyBorder="1" applyAlignment="1">
      <alignment horizontal="center" vertical="center"/>
    </xf>
    <xf numFmtId="168" fontId="79" fillId="0" borderId="0" xfId="0" applyNumberFormat="1" applyFont="1" applyAlignment="1">
      <alignment horizontal="center"/>
    </xf>
    <xf numFmtId="3" fontId="76" fillId="0" borderId="0" xfId="0" applyNumberFormat="1" applyFont="1" applyAlignment="1">
      <alignment horizontal="center"/>
    </xf>
    <xf numFmtId="1" fontId="76" fillId="0" borderId="0" xfId="0" applyNumberFormat="1" applyFont="1"/>
    <xf numFmtId="167" fontId="76" fillId="0" borderId="0" xfId="0" applyNumberFormat="1" applyFont="1" applyAlignment="1">
      <alignment horizontal="center"/>
    </xf>
    <xf numFmtId="9" fontId="77" fillId="0" borderId="0" xfId="0" applyNumberFormat="1" applyFont="1" applyFill="1" applyBorder="1" applyAlignment="1">
      <alignment horizontal="center"/>
    </xf>
    <xf numFmtId="0" fontId="77" fillId="31" borderId="6" xfId="0" applyFont="1" applyFill="1" applyBorder="1" applyAlignment="1">
      <alignment vertical="center"/>
    </xf>
    <xf numFmtId="167" fontId="77" fillId="31" borderId="6" xfId="1" applyNumberFormat="1" applyFont="1" applyFill="1" applyBorder="1" applyAlignment="1">
      <alignment horizontal="center" vertical="center"/>
    </xf>
    <xf numFmtId="0" fontId="93" fillId="24" borderId="3" xfId="0" applyFont="1" applyFill="1" applyBorder="1" applyAlignment="1">
      <alignment horizontal="center" vertical="center" wrapText="1"/>
    </xf>
    <xf numFmtId="0" fontId="93" fillId="24" borderId="3" xfId="0" applyFont="1" applyFill="1" applyBorder="1" applyAlignment="1">
      <alignment horizontal="center" vertical="center"/>
    </xf>
    <xf numFmtId="17" fontId="93" fillId="24" borderId="3" xfId="0" applyNumberFormat="1" applyFont="1" applyFill="1" applyBorder="1" applyAlignment="1">
      <alignment horizontal="center" vertical="center"/>
    </xf>
    <xf numFmtId="0" fontId="77" fillId="5" borderId="34" xfId="0" applyFont="1" applyFill="1" applyBorder="1" applyAlignment="1">
      <alignment vertical="center"/>
    </xf>
    <xf numFmtId="9" fontId="77" fillId="5" borderId="35" xfId="0" applyNumberFormat="1" applyFont="1" applyFill="1" applyBorder="1" applyAlignment="1">
      <alignment vertical="center"/>
    </xf>
    <xf numFmtId="0" fontId="77" fillId="5" borderId="35" xfId="0" applyFont="1" applyFill="1" applyBorder="1" applyAlignment="1">
      <alignment vertical="center"/>
    </xf>
    <xf numFmtId="168" fontId="77" fillId="5" borderId="35" xfId="2" applyNumberFormat="1" applyFont="1" applyFill="1" applyBorder="1" applyAlignment="1">
      <alignment horizontal="center" vertical="center"/>
    </xf>
    <xf numFmtId="0" fontId="80" fillId="5" borderId="36" xfId="0" applyFont="1" applyFill="1" applyBorder="1" applyAlignment="1">
      <alignment vertical="center"/>
    </xf>
    <xf numFmtId="9" fontId="80" fillId="5" borderId="37" xfId="0" applyNumberFormat="1" applyFont="1" applyFill="1" applyBorder="1" applyAlignment="1">
      <alignment vertical="center"/>
    </xf>
    <xf numFmtId="0" fontId="80" fillId="5" borderId="37" xfId="0" applyFont="1" applyFill="1" applyBorder="1" applyAlignment="1">
      <alignment vertical="center"/>
    </xf>
    <xf numFmtId="168" fontId="80" fillId="5" borderId="37" xfId="2" applyNumberFormat="1" applyFont="1" applyFill="1" applyBorder="1" applyAlignment="1">
      <alignment horizontal="center" vertical="center"/>
    </xf>
    <xf numFmtId="0" fontId="96" fillId="0" borderId="0" xfId="0" applyFont="1" applyAlignment="1">
      <alignment horizontal="center"/>
    </xf>
    <xf numFmtId="0" fontId="96" fillId="0" borderId="0" xfId="0" applyFont="1"/>
    <xf numFmtId="9" fontId="96" fillId="0" borderId="0" xfId="0" applyNumberFormat="1" applyFont="1" applyAlignment="1">
      <alignment horizontal="center"/>
    </xf>
    <xf numFmtId="0" fontId="75" fillId="24" borderId="3" xfId="0" applyFont="1" applyFill="1" applyBorder="1" applyAlignment="1">
      <alignment horizontal="center" vertical="center"/>
    </xf>
    <xf numFmtId="168" fontId="75" fillId="24" borderId="3" xfId="2" applyNumberFormat="1" applyFont="1" applyFill="1" applyBorder="1" applyAlignment="1">
      <alignment horizontal="center" vertical="center"/>
    </xf>
    <xf numFmtId="9" fontId="77" fillId="5" borderId="35" xfId="1" applyFont="1" applyFill="1" applyBorder="1" applyAlignment="1">
      <alignment horizontal="center" vertical="center"/>
    </xf>
    <xf numFmtId="0" fontId="97" fillId="5" borderId="37" xfId="0" applyFont="1" applyFill="1" applyBorder="1" applyAlignment="1">
      <alignment vertical="center"/>
    </xf>
    <xf numFmtId="168" fontId="97" fillId="5" borderId="37" xfId="2" applyNumberFormat="1" applyFont="1" applyFill="1" applyBorder="1" applyAlignment="1">
      <alignment horizontal="center" vertical="center"/>
    </xf>
    <xf numFmtId="167" fontId="77" fillId="5" borderId="35" xfId="1" applyNumberFormat="1" applyFont="1" applyFill="1" applyBorder="1" applyAlignment="1">
      <alignment horizontal="center" vertical="center"/>
    </xf>
    <xf numFmtId="168" fontId="76" fillId="15" borderId="0" xfId="0" applyNumberFormat="1" applyFont="1" applyFill="1" applyAlignment="1">
      <alignment horizontal="center"/>
    </xf>
    <xf numFmtId="0" fontId="93" fillId="19" borderId="3" xfId="0" applyFont="1" applyFill="1" applyBorder="1" applyAlignment="1">
      <alignment horizontal="center" vertical="center" wrapText="1"/>
    </xf>
    <xf numFmtId="0" fontId="93" fillId="19" borderId="3" xfId="0" applyFont="1" applyFill="1" applyBorder="1" applyAlignment="1">
      <alignment horizontal="center" vertical="center"/>
    </xf>
    <xf numFmtId="17" fontId="93" fillId="19" borderId="3" xfId="0" applyNumberFormat="1" applyFont="1" applyFill="1" applyBorder="1" applyAlignment="1">
      <alignment horizontal="center" vertical="center"/>
    </xf>
    <xf numFmtId="168" fontId="98" fillId="0" borderId="0" xfId="2" applyNumberFormat="1" applyFont="1"/>
    <xf numFmtId="0" fontId="93" fillId="14" borderId="3" xfId="0" applyFont="1" applyFill="1" applyBorder="1"/>
    <xf numFmtId="0" fontId="94" fillId="14" borderId="3" xfId="0" applyFont="1" applyFill="1" applyBorder="1"/>
    <xf numFmtId="0" fontId="94" fillId="14" borderId="3" xfId="0" applyFont="1" applyFill="1" applyBorder="1" applyAlignment="1">
      <alignment horizontal="center"/>
    </xf>
    <xf numFmtId="0" fontId="94" fillId="14" borderId="0" xfId="0" applyFont="1" applyFill="1"/>
    <xf numFmtId="0" fontId="79" fillId="0" borderId="40" xfId="0" applyFont="1" applyFill="1" applyBorder="1" applyAlignment="1">
      <alignment horizontal="center" vertical="center"/>
    </xf>
    <xf numFmtId="0" fontId="93" fillId="14" borderId="60" xfId="0" applyFont="1" applyFill="1" applyBorder="1" applyAlignment="1">
      <alignment horizontal="center" vertical="center"/>
    </xf>
    <xf numFmtId="17" fontId="93" fillId="15" borderId="41" xfId="0" applyNumberFormat="1" applyFont="1" applyFill="1" applyBorder="1" applyAlignment="1">
      <alignment horizontal="center" vertical="center"/>
    </xf>
    <xf numFmtId="17" fontId="93" fillId="15" borderId="0" xfId="0" applyNumberFormat="1" applyFont="1" applyFill="1" applyBorder="1" applyAlignment="1">
      <alignment horizontal="center" vertical="center"/>
    </xf>
    <xf numFmtId="17" fontId="93" fillId="15" borderId="42" xfId="0" applyNumberFormat="1" applyFont="1" applyFill="1" applyBorder="1" applyAlignment="1">
      <alignment horizontal="center" vertical="center"/>
    </xf>
    <xf numFmtId="17" fontId="93" fillId="15" borderId="30" xfId="0" applyNumberFormat="1" applyFont="1" applyFill="1" applyBorder="1" applyAlignment="1">
      <alignment horizontal="center" vertical="center"/>
    </xf>
    <xf numFmtId="17" fontId="93" fillId="15" borderId="31" xfId="0" applyNumberFormat="1" applyFont="1" applyFill="1" applyBorder="1" applyAlignment="1">
      <alignment horizontal="center" vertical="center"/>
    </xf>
    <xf numFmtId="0" fontId="77" fillId="0" borderId="51" xfId="0" applyFont="1" applyBorder="1"/>
    <xf numFmtId="17" fontId="77" fillId="0" borderId="41" xfId="0" applyNumberFormat="1" applyFont="1" applyFill="1" applyBorder="1" applyAlignment="1">
      <alignment horizontal="center"/>
    </xf>
    <xf numFmtId="17" fontId="77" fillId="0" borderId="42" xfId="0" applyNumberFormat="1" applyFont="1" applyFill="1" applyBorder="1" applyAlignment="1">
      <alignment horizontal="center"/>
    </xf>
    <xf numFmtId="17" fontId="77" fillId="0" borderId="25" xfId="0" applyNumberFormat="1" applyFont="1" applyFill="1" applyBorder="1" applyAlignment="1">
      <alignment horizontal="center"/>
    </xf>
    <xf numFmtId="17" fontId="77" fillId="0" borderId="26" xfId="0" applyNumberFormat="1" applyFont="1" applyFill="1" applyBorder="1" applyAlignment="1">
      <alignment horizontal="center"/>
    </xf>
    <xf numFmtId="0" fontId="77" fillId="5" borderId="53" xfId="0" applyFont="1" applyFill="1" applyBorder="1" applyAlignment="1">
      <alignment vertical="center"/>
    </xf>
    <xf numFmtId="9" fontId="75" fillId="23" borderId="6" xfId="1" applyFont="1" applyFill="1" applyBorder="1" applyAlignment="1">
      <alignment horizontal="center" vertical="center"/>
    </xf>
    <xf numFmtId="3" fontId="75" fillId="23" borderId="46" xfId="0" applyNumberFormat="1" applyFont="1" applyFill="1" applyBorder="1" applyAlignment="1">
      <alignment horizontal="center" vertical="center"/>
    </xf>
    <xf numFmtId="3" fontId="75" fillId="23" borderId="6" xfId="0" applyNumberFormat="1" applyFont="1" applyFill="1" applyBorder="1" applyAlignment="1">
      <alignment horizontal="center" vertical="center"/>
    </xf>
    <xf numFmtId="3" fontId="75" fillId="23" borderId="47" xfId="0" applyNumberFormat="1" applyFont="1" applyFill="1" applyBorder="1" applyAlignment="1">
      <alignment horizontal="center" vertical="center"/>
    </xf>
    <xf numFmtId="3" fontId="75" fillId="23" borderId="32" xfId="0" applyNumberFormat="1" applyFont="1" applyFill="1" applyBorder="1" applyAlignment="1">
      <alignment horizontal="center" vertical="center"/>
    </xf>
    <xf numFmtId="3" fontId="76" fillId="0" borderId="0" xfId="0" applyNumberFormat="1" applyFont="1" applyAlignment="1">
      <alignment vertical="center"/>
    </xf>
    <xf numFmtId="3" fontId="75" fillId="23" borderId="33" xfId="0" applyNumberFormat="1" applyFont="1" applyFill="1" applyBorder="1" applyAlignment="1">
      <alignment horizontal="center" vertical="center"/>
    </xf>
    <xf numFmtId="0" fontId="76" fillId="0" borderId="41" xfId="0" applyFont="1" applyBorder="1"/>
    <xf numFmtId="0" fontId="76" fillId="0" borderId="42" xfId="0" applyFont="1" applyBorder="1"/>
    <xf numFmtId="9" fontId="75" fillId="30" borderId="6" xfId="1" applyFont="1" applyFill="1" applyBorder="1" applyAlignment="1">
      <alignment horizontal="center" vertical="center"/>
    </xf>
    <xf numFmtId="3" fontId="75" fillId="30" borderId="6" xfId="0" applyNumberFormat="1" applyFont="1" applyFill="1" applyBorder="1" applyAlignment="1">
      <alignment horizontal="center" vertical="center"/>
    </xf>
    <xf numFmtId="3" fontId="75" fillId="30" borderId="43" xfId="0" applyNumberFormat="1" applyFont="1" applyFill="1" applyBorder="1" applyAlignment="1">
      <alignment horizontal="center" vertical="center"/>
    </xf>
    <xf numFmtId="3" fontId="75" fillId="30" borderId="44" xfId="0" applyNumberFormat="1" applyFont="1" applyFill="1" applyBorder="1" applyAlignment="1">
      <alignment horizontal="center" vertical="center"/>
    </xf>
    <xf numFmtId="3" fontId="75" fillId="30" borderId="45" xfId="0" applyNumberFormat="1" applyFont="1" applyFill="1" applyBorder="1" applyAlignment="1">
      <alignment horizontal="center" vertical="center"/>
    </xf>
    <xf numFmtId="3" fontId="75" fillId="30" borderId="27" xfId="0" applyNumberFormat="1" applyFont="1" applyFill="1" applyBorder="1" applyAlignment="1">
      <alignment horizontal="center" vertical="center"/>
    </xf>
    <xf numFmtId="3" fontId="75" fillId="30" borderId="28" xfId="0" applyNumberFormat="1" applyFont="1" applyFill="1" applyBorder="1" applyAlignment="1">
      <alignment horizontal="center" vertical="center"/>
    </xf>
    <xf numFmtId="3" fontId="75" fillId="30" borderId="29" xfId="0" applyNumberFormat="1" applyFont="1" applyFill="1" applyBorder="1" applyAlignment="1">
      <alignment horizontal="center" vertical="center"/>
    </xf>
    <xf numFmtId="0" fontId="75" fillId="27" borderId="53" xfId="0" applyFont="1" applyFill="1" applyBorder="1" applyAlignment="1">
      <alignment vertical="center"/>
    </xf>
    <xf numFmtId="0" fontId="93" fillId="29" borderId="48" xfId="0" applyFont="1" applyFill="1" applyBorder="1" applyAlignment="1">
      <alignment horizontal="center" vertical="center" wrapText="1"/>
    </xf>
    <xf numFmtId="0" fontId="93" fillId="29" borderId="49" xfId="0" applyFont="1" applyFill="1" applyBorder="1" applyAlignment="1">
      <alignment horizontal="center" vertical="center" wrapText="1"/>
    </xf>
    <xf numFmtId="0" fontId="93" fillId="29" borderId="49" xfId="0" applyFont="1" applyFill="1" applyBorder="1" applyAlignment="1">
      <alignment horizontal="center" vertical="center"/>
    </xf>
    <xf numFmtId="17" fontId="93" fillId="29" borderId="49" xfId="0" applyNumberFormat="1" applyFont="1" applyFill="1" applyBorder="1" applyAlignment="1">
      <alignment horizontal="center" vertical="center"/>
    </xf>
    <xf numFmtId="17" fontId="93" fillId="29" borderId="50" xfId="0" applyNumberFormat="1" applyFont="1" applyFill="1" applyBorder="1" applyAlignment="1">
      <alignment horizontal="center" vertical="center"/>
    </xf>
    <xf numFmtId="168" fontId="77" fillId="27" borderId="54" xfId="2" applyNumberFormat="1" applyFont="1" applyFill="1" applyBorder="1" applyAlignment="1">
      <alignment horizontal="center" vertical="center"/>
    </xf>
    <xf numFmtId="9" fontId="75" fillId="12" borderId="3" xfId="1" applyFont="1" applyFill="1" applyBorder="1" applyAlignment="1">
      <alignment horizontal="center" vertical="center"/>
    </xf>
    <xf numFmtId="168" fontId="75" fillId="12" borderId="58" xfId="2" applyNumberFormat="1" applyFont="1" applyFill="1" applyBorder="1" applyAlignment="1">
      <alignment horizontal="center" vertical="center"/>
    </xf>
    <xf numFmtId="168" fontId="75" fillId="12" borderId="59" xfId="2" applyNumberFormat="1" applyFont="1" applyFill="1" applyBorder="1" applyAlignment="1">
      <alignment horizontal="center" vertical="center"/>
    </xf>
    <xf numFmtId="0" fontId="75" fillId="23" borderId="6" xfId="0" applyFont="1" applyFill="1" applyBorder="1" applyAlignment="1">
      <alignment vertical="center"/>
    </xf>
    <xf numFmtId="168" fontId="76" fillId="0" borderId="0" xfId="2" applyNumberFormat="1" applyFont="1" applyAlignment="1">
      <alignment horizontal="center" vertical="center"/>
    </xf>
    <xf numFmtId="167" fontId="99" fillId="31" borderId="6" xfId="1" applyNumberFormat="1" applyFont="1" applyFill="1" applyBorder="1" applyAlignment="1">
      <alignment horizontal="center" vertical="center"/>
    </xf>
    <xf numFmtId="0" fontId="76" fillId="0" borderId="0" xfId="0" applyFont="1" applyAlignment="1">
      <alignment horizontal="left"/>
    </xf>
    <xf numFmtId="9" fontId="77" fillId="5" borderId="6" xfId="1" applyFont="1" applyFill="1" applyBorder="1" applyAlignment="1">
      <alignment horizontal="center" vertical="center"/>
    </xf>
    <xf numFmtId="9" fontId="75" fillId="24" borderId="3" xfId="1" applyFont="1" applyFill="1" applyBorder="1" applyAlignment="1">
      <alignment horizontal="center" vertical="center"/>
    </xf>
    <xf numFmtId="168" fontId="76" fillId="0" borderId="0" xfId="2" applyNumberFormat="1" applyFont="1" applyAlignment="1">
      <alignment vertical="center"/>
    </xf>
    <xf numFmtId="9" fontId="95" fillId="23" borderId="6" xfId="1" applyFont="1" applyFill="1" applyBorder="1" applyAlignment="1">
      <alignment horizontal="center" vertical="center"/>
    </xf>
    <xf numFmtId="4" fontId="95" fillId="23" borderId="6" xfId="0" applyNumberFormat="1" applyFont="1" applyFill="1" applyBorder="1" applyAlignment="1">
      <alignment horizontal="center" vertical="center"/>
    </xf>
    <xf numFmtId="172" fontId="95" fillId="23" borderId="6" xfId="0" applyNumberFormat="1" applyFont="1" applyFill="1" applyBorder="1" applyAlignment="1">
      <alignment horizontal="center" vertical="center"/>
    </xf>
    <xf numFmtId="43" fontId="74" fillId="0" borderId="0" xfId="2" applyFont="1" applyAlignment="1">
      <alignment horizontal="center"/>
    </xf>
    <xf numFmtId="43" fontId="74" fillId="0" borderId="0" xfId="2" applyFont="1" applyAlignment="1">
      <alignment vertical="center"/>
    </xf>
    <xf numFmtId="3" fontId="100" fillId="0" borderId="0" xfId="0" applyNumberFormat="1" applyFont="1" applyBorder="1" applyAlignment="1">
      <alignment horizontal="center" vertical="center"/>
    </xf>
    <xf numFmtId="3" fontId="87" fillId="0" borderId="20" xfId="0" applyNumberFormat="1" applyFont="1" applyBorder="1" applyAlignment="1">
      <alignment horizontal="center" vertical="center"/>
    </xf>
    <xf numFmtId="185" fontId="90" fillId="0" borderId="20" xfId="0" applyNumberFormat="1" applyFont="1" applyBorder="1" applyAlignment="1">
      <alignment horizontal="right" vertical="center"/>
    </xf>
    <xf numFmtId="185" fontId="91" fillId="0" borderId="20" xfId="2" applyNumberFormat="1" applyFont="1" applyBorder="1" applyAlignment="1">
      <alignment horizontal="center" vertical="center"/>
    </xf>
    <xf numFmtId="185" fontId="82" fillId="0" borderId="20" xfId="0" applyNumberFormat="1" applyFont="1" applyBorder="1" applyAlignment="1">
      <alignment horizontal="right" vertical="center"/>
    </xf>
    <xf numFmtId="185" fontId="84" fillId="0" borderId="62" xfId="0" applyNumberFormat="1" applyFont="1" applyBorder="1" applyAlignment="1">
      <alignment vertical="center"/>
    </xf>
    <xf numFmtId="3" fontId="87" fillId="0" borderId="2" xfId="0" applyNumberFormat="1" applyFont="1" applyBorder="1" applyAlignment="1">
      <alignment horizontal="center" vertical="center"/>
    </xf>
    <xf numFmtId="185" fontId="90" fillId="0" borderId="2" xfId="0" applyNumberFormat="1" applyFont="1" applyBorder="1" applyAlignment="1">
      <alignment horizontal="right" vertical="center"/>
    </xf>
    <xf numFmtId="185" fontId="91" fillId="0" borderId="2" xfId="2" applyNumberFormat="1" applyFont="1" applyBorder="1" applyAlignment="1">
      <alignment horizontal="center" vertical="center"/>
    </xf>
    <xf numFmtId="0" fontId="82" fillId="0" borderId="2" xfId="0" applyFont="1" applyBorder="1" applyAlignment="1">
      <alignment horizontal="right" vertical="center"/>
    </xf>
    <xf numFmtId="185" fontId="84" fillId="0" borderId="64" xfId="0" applyNumberFormat="1" applyFont="1" applyBorder="1" applyAlignment="1">
      <alignment vertical="center"/>
    </xf>
    <xf numFmtId="168" fontId="74" fillId="0" borderId="0" xfId="2" applyNumberFormat="1" applyFont="1" applyAlignment="1">
      <alignment vertical="center"/>
    </xf>
    <xf numFmtId="43" fontId="74" fillId="0" borderId="0" xfId="2" applyFont="1" applyAlignment="1">
      <alignment horizontal="center" vertical="center"/>
    </xf>
    <xf numFmtId="9" fontId="54" fillId="0" borderId="0" xfId="0" applyNumberFormat="1" applyFont="1" applyAlignment="1">
      <alignment vertical="center"/>
    </xf>
    <xf numFmtId="168" fontId="54" fillId="0" borderId="0" xfId="2" applyNumberFormat="1" applyFont="1" applyAlignment="1">
      <alignment vertical="center"/>
    </xf>
    <xf numFmtId="187" fontId="76" fillId="0" borderId="0" xfId="0" applyNumberFormat="1" applyFont="1" applyAlignment="1">
      <alignment horizontal="center"/>
    </xf>
    <xf numFmtId="168" fontId="76" fillId="0" borderId="0" xfId="0" applyNumberFormat="1" applyFont="1"/>
    <xf numFmtId="169" fontId="76" fillId="0" borderId="0" xfId="0" applyNumberFormat="1" applyFont="1" applyAlignment="1">
      <alignment horizontal="center"/>
    </xf>
    <xf numFmtId="176" fontId="76" fillId="0" borderId="0" xfId="0" applyNumberFormat="1" applyFont="1"/>
    <xf numFmtId="185" fontId="88" fillId="21" borderId="0" xfId="0" applyNumberFormat="1" applyFont="1" applyFill="1" applyBorder="1" applyAlignment="1">
      <alignment horizontal="right" vertical="center"/>
    </xf>
    <xf numFmtId="185" fontId="83" fillId="21" borderId="10" xfId="4" applyNumberFormat="1" applyFont="1" applyFill="1" applyAlignment="1">
      <alignment horizontal="center" vertical="center" wrapText="1"/>
    </xf>
    <xf numFmtId="168" fontId="83" fillId="21" borderId="0" xfId="2" applyNumberFormat="1" applyFont="1" applyFill="1" applyBorder="1" applyAlignment="1">
      <alignment horizontal="center" vertical="center"/>
    </xf>
    <xf numFmtId="168" fontId="87" fillId="21" borderId="0" xfId="2" applyNumberFormat="1" applyFont="1" applyFill="1" applyBorder="1" applyAlignment="1">
      <alignment horizontal="center" vertical="center"/>
    </xf>
    <xf numFmtId="168" fontId="101" fillId="21" borderId="0" xfId="2" applyNumberFormat="1" applyFont="1" applyFill="1" applyBorder="1" applyAlignment="1">
      <alignment horizontal="center" vertical="center"/>
    </xf>
    <xf numFmtId="185" fontId="83" fillId="21" borderId="11" xfId="5" applyNumberFormat="1" applyFont="1" applyFill="1" applyAlignment="1">
      <alignment horizontal="right" vertical="center"/>
    </xf>
    <xf numFmtId="168" fontId="83" fillId="12" borderId="11" xfId="2" applyNumberFormat="1" applyFont="1" applyFill="1" applyBorder="1" applyAlignment="1">
      <alignment horizontal="right" vertical="center"/>
    </xf>
    <xf numFmtId="17" fontId="77" fillId="21" borderId="0" xfId="0" applyNumberFormat="1" applyFont="1" applyFill="1" applyBorder="1" applyAlignment="1">
      <alignment horizontal="center"/>
    </xf>
    <xf numFmtId="3" fontId="77" fillId="21" borderId="6" xfId="0" applyNumberFormat="1" applyFont="1" applyFill="1" applyBorder="1" applyAlignment="1">
      <alignment horizontal="center" vertical="center"/>
    </xf>
    <xf numFmtId="17" fontId="102" fillId="21" borderId="3" xfId="0" applyNumberFormat="1" applyFont="1" applyFill="1" applyBorder="1" applyAlignment="1">
      <alignment horizontal="center" vertical="center"/>
    </xf>
    <xf numFmtId="0" fontId="93" fillId="14" borderId="3" xfId="0" applyFont="1" applyFill="1" applyBorder="1" applyAlignment="1">
      <alignment horizontal="center" vertical="center"/>
    </xf>
    <xf numFmtId="0" fontId="77" fillId="11" borderId="3" xfId="0" applyFont="1" applyFill="1" applyBorder="1" applyAlignment="1">
      <alignment horizontal="center" vertical="center"/>
    </xf>
    <xf numFmtId="168" fontId="75" fillId="33" borderId="0" xfId="0" applyNumberFormat="1" applyFont="1" applyFill="1" applyAlignment="1">
      <alignment horizontal="center" vertical="center"/>
    </xf>
    <xf numFmtId="168" fontId="75" fillId="32" borderId="0" xfId="0" applyNumberFormat="1" applyFont="1" applyFill="1" applyAlignment="1">
      <alignment horizontal="center" vertical="center"/>
    </xf>
    <xf numFmtId="3" fontId="87" fillId="0" borderId="61" xfId="0" applyNumberFormat="1" applyFont="1" applyBorder="1" applyAlignment="1">
      <alignment horizontal="center" vertical="center"/>
    </xf>
    <xf numFmtId="3" fontId="87" fillId="0" borderId="63" xfId="0" applyNumberFormat="1" applyFont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3" fontId="81" fillId="21" borderId="0" xfId="4" applyNumberFormat="1" applyFont="1" applyFill="1" applyBorder="1" applyAlignment="1">
      <alignment horizontal="center" vertical="center" wrapText="1"/>
    </xf>
    <xf numFmtId="3" fontId="81" fillId="0" borderId="0" xfId="4" applyNumberFormat="1" applyFont="1" applyBorder="1" applyAlignment="1">
      <alignment horizontal="center" vertical="center" wrapText="1"/>
    </xf>
    <xf numFmtId="185" fontId="83" fillId="0" borderId="10" xfId="4" applyNumberFormat="1" applyFont="1" applyAlignment="1">
      <alignment horizontal="center" wrapText="1"/>
    </xf>
    <xf numFmtId="0" fontId="93" fillId="14" borderId="0" xfId="0" applyFont="1" applyFill="1" applyAlignment="1">
      <alignment horizontal="center"/>
    </xf>
    <xf numFmtId="0" fontId="79" fillId="0" borderId="38" xfId="0" applyFont="1" applyFill="1" applyBorder="1" applyAlignment="1">
      <alignment horizontal="center" vertical="center"/>
    </xf>
    <xf numFmtId="0" fontId="79" fillId="0" borderId="39" xfId="0" applyFont="1" applyFill="1" applyBorder="1" applyAlignment="1">
      <alignment horizontal="center" vertical="center"/>
    </xf>
    <xf numFmtId="0" fontId="79" fillId="0" borderId="22" xfId="0" applyFont="1" applyFill="1" applyBorder="1" applyAlignment="1">
      <alignment horizontal="center" vertical="center"/>
    </xf>
    <xf numFmtId="0" fontId="79" fillId="0" borderId="23" xfId="0" applyFont="1" applyFill="1" applyBorder="1" applyAlignment="1">
      <alignment horizontal="center" vertical="center"/>
    </xf>
    <xf numFmtId="0" fontId="79" fillId="0" borderId="24" xfId="0" applyFont="1" applyFill="1" applyBorder="1" applyAlignment="1">
      <alignment horizontal="center" vertical="center"/>
    </xf>
    <xf numFmtId="0" fontId="75" fillId="28" borderId="0" xfId="0" applyFont="1" applyFill="1" applyAlignment="1">
      <alignment horizontal="center" vertical="center"/>
    </xf>
    <xf numFmtId="0" fontId="93" fillId="15" borderId="48" xfId="0" applyFont="1" applyFill="1" applyBorder="1" applyAlignment="1">
      <alignment horizontal="center" vertical="center" wrapText="1"/>
    </xf>
    <xf numFmtId="0" fontId="93" fillId="15" borderId="49" xfId="0" applyFont="1" applyFill="1" applyBorder="1" applyAlignment="1">
      <alignment horizontal="center" vertical="center" wrapText="1"/>
    </xf>
    <xf numFmtId="0" fontId="66" fillId="2" borderId="19" xfId="0" applyFont="1" applyFill="1" applyBorder="1" applyAlignment="1">
      <alignment horizontal="center" vertical="center"/>
    </xf>
    <xf numFmtId="0" fontId="67" fillId="2" borderId="18" xfId="0" applyFont="1" applyFill="1" applyBorder="1" applyAlignment="1">
      <alignment horizontal="center" vertical="center"/>
    </xf>
    <xf numFmtId="49" fontId="66" fillId="0" borderId="19" xfId="0" applyNumberFormat="1" applyFont="1" applyBorder="1" applyAlignment="1">
      <alignment horizontal="center" vertical="center"/>
    </xf>
    <xf numFmtId="49" fontId="67" fillId="0" borderId="18" xfId="0" applyNumberFormat="1" applyFont="1" applyBorder="1" applyAlignment="1">
      <alignment horizontal="center" vertical="center"/>
    </xf>
    <xf numFmtId="0" fontId="66" fillId="0" borderId="19" xfId="0" applyFont="1" applyBorder="1" applyAlignment="1">
      <alignment horizontal="center" vertical="center"/>
    </xf>
    <xf numFmtId="0" fontId="67" fillId="0" borderId="18" xfId="0" applyFont="1" applyBorder="1" applyAlignment="1">
      <alignment horizontal="center" vertical="center"/>
    </xf>
    <xf numFmtId="0" fontId="59" fillId="13" borderId="0" xfId="8" applyFont="1" applyFill="1" applyAlignment="1">
      <alignment horizontal="center" vertical="center"/>
    </xf>
    <xf numFmtId="0" fontId="30" fillId="19" borderId="0" xfId="0" applyFont="1" applyFill="1" applyAlignment="1">
      <alignment horizontal="center" vertical="center"/>
    </xf>
    <xf numFmtId="0" fontId="45" fillId="0" borderId="0" xfId="0" applyFont="1" applyAlignment="1">
      <alignment horizontal="center"/>
    </xf>
  </cellXfs>
  <cellStyles count="18">
    <cellStyle name="Milliers" xfId="2" builtinId="3"/>
    <cellStyle name="Normal" xfId="0" builtinId="0"/>
    <cellStyle name="Normal 4 2" xfId="7"/>
    <cellStyle name="Normal_CNP Danette Nouveaux Parfums" xfId="6"/>
    <cellStyle name="Pourcentage" xfId="1" builtinId="5"/>
    <cellStyle name="Smart Forecast" xfId="17"/>
    <cellStyle name="Smart General" xfId="13"/>
    <cellStyle name="Smart Percent" xfId="12"/>
    <cellStyle name="Smart Source" xfId="15"/>
    <cellStyle name="Smart Subtitle 1" xfId="9"/>
    <cellStyle name="Smart Subtitle 1 2" xfId="10"/>
    <cellStyle name="Smart Subtitle 1 8" xfId="4"/>
    <cellStyle name="Smart Subtitle 2" xfId="16"/>
    <cellStyle name="Smart Subtotal" xfId="11"/>
    <cellStyle name="Smart Title" xfId="3"/>
    <cellStyle name="Smart Title 3" xfId="8"/>
    <cellStyle name="Smart Total" xfId="14"/>
    <cellStyle name="Smart Total 8" xfId="5"/>
  </cellStyles>
  <dxfs count="0"/>
  <tableStyles count="0" defaultTableStyle="TableStyleMedium2" defaultPivotStyle="PivotStyleLight16"/>
  <colors>
    <mruColors>
      <color rgb="FF8E0000"/>
      <color rgb="FFFF6161"/>
      <color rgb="FFEFF6FB"/>
      <color rgb="FFFEF5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DENOR2017\Projet%20SIDENOR\Ateliers%20de%20Fa&#231;onnage\Rentabilit&#233;\Plan%20Budget%20Pr&#233;visionnel%20E3_10_2018%20(251018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up%203.10.18\Desktop\TREFILERIE\TRIFELERIE%20BAS%20CARBONE\ASSISTANCE%20TECHNIQUE\ETUDE%20DE%20RENTABILITE\Rentabilit&#233;%20bi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DENOR2017\Projet%20SIDENOR\Ateliers%20de%20Fa&#231;onnage\Rentabilit&#233;\Simulation\Simulation%20Rentabilit&#233;%20%20Laminage%20Machine%20Retap&#233;(020219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DENOR2017\Projet%20SIDENOR\Ateliers%20de%20Fa&#231;onnage\Rentabilit&#233;\Prix%20de%20Revient%20Laminage-Fa&#231;onnag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DENOR2017\Investissements%202018\Credit%20Financement\BP%20Financement%20CMT_2018%20(031218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DENOR2017\Investissements%202018\Credit%20Financement\R&#233;sultat%20Pr&#233;visionnel_2020-2026%20(111218)D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X E0-2010"/>
      <sheetName val="Pour Prés."/>
      <sheetName val="Hypotheses "/>
      <sheetName val="MP"/>
      <sheetName val="Base Famille PF"/>
      <sheetName val="Base Formules"/>
      <sheetName val="Base Famille MP &amp; EMB"/>
      <sheetName val="Base Produits"/>
      <sheetName val="Vente Volume"/>
      <sheetName val="Production "/>
      <sheetName val="Prix Vente_CA"/>
      <sheetName val="Charges Personnel"/>
      <sheetName val="Base Prix MP &amp; EMB"/>
      <sheetName val="Autres charges d'Exploitation"/>
      <sheetName val="QTé_Billettes_Ch_Fix"/>
      <sheetName val="VAL_Billett_Cha_Fix"/>
      <sheetName val="Achats Billettes"/>
      <sheetName val="Billettes_Men_18"/>
      <sheetName val="Stock PF"/>
      <sheetName val="Charges Fin_Financements"/>
      <sheetName val="Balance 31-12-17"/>
      <sheetName val="Détail Ch.Personnel"/>
      <sheetName val="Feuil2"/>
      <sheetName val="1.P&amp;L Laminage Chaud"/>
      <sheetName val="Capex &amp;Dot"/>
      <sheetName val="Investissement"/>
      <sheetName val="P&amp;L Prév BP"/>
      <sheetName val="Inv2018"/>
      <sheetName val="Code Rebrique"/>
      <sheetName val="2.P&amp;L RB Bobine Compact"/>
      <sheetName val="3.P&amp;L Armatures"/>
      <sheetName val="4.P&amp;L Laminage à Froid"/>
      <sheetName val="5.P&amp;L Tréillis Soudé"/>
      <sheetName val="Total P&amp;L"/>
      <sheetName val="MOD_Ateliers"/>
      <sheetName val="Balance2017"/>
      <sheetName val="Détails Frais Structure "/>
      <sheetName val="MOD"/>
      <sheetName val="Clé Répartition"/>
      <sheetName val="Coût Industrielles"/>
      <sheetName val="Amortissement"/>
      <sheetName val="RECAP CVM"/>
      <sheetName val="MS"/>
      <sheetName val="Récap Qté MP-Emb CM"/>
      <sheetName val="Récap Qté Pertes Ind."/>
      <sheetName val="Récap Qté Casse"/>
      <sheetName val="Récap Qté MP-Emb"/>
      <sheetName val="Récap PPED Valeur"/>
      <sheetName val="Récap Casse Valeur"/>
      <sheetName val="Récap Pertes Ind. Valeur"/>
      <sheetName val="Récap MP-Emb Valeur"/>
      <sheetName val="Récap MP-Emb Valeur CM"/>
      <sheetName val="Préparation Prix MP &amp; EMB "/>
      <sheetName val="Jours Ouvrables"/>
    </sheetNames>
    <sheetDataSet>
      <sheetData sheetId="0"/>
      <sheetData sheetId="1"/>
      <sheetData sheetId="2">
        <row r="9">
          <cell r="Q9">
            <v>0.1</v>
          </cell>
          <cell r="R9">
            <v>0.1</v>
          </cell>
          <cell r="S9">
            <v>0.1</v>
          </cell>
          <cell r="T9">
            <v>0.1</v>
          </cell>
        </row>
        <row r="10">
          <cell r="Q10">
            <v>0.06</v>
          </cell>
          <cell r="R10">
            <v>0.06</v>
          </cell>
          <cell r="S10">
            <v>0.06</v>
          </cell>
          <cell r="T10">
            <v>0.06</v>
          </cell>
        </row>
        <row r="11">
          <cell r="Q11">
            <v>0.1</v>
          </cell>
          <cell r="R11">
            <v>0.1</v>
          </cell>
          <cell r="S11">
            <v>0.1</v>
          </cell>
          <cell r="T11">
            <v>0.1</v>
          </cell>
        </row>
        <row r="12">
          <cell r="Q12">
            <v>0.1</v>
          </cell>
          <cell r="R12">
            <v>0.1</v>
          </cell>
          <cell r="S12">
            <v>0.1</v>
          </cell>
          <cell r="T12">
            <v>0.1</v>
          </cell>
        </row>
        <row r="13">
          <cell r="Q13">
            <v>0.15</v>
          </cell>
          <cell r="R13">
            <v>0.15</v>
          </cell>
          <cell r="S13">
            <v>0.15</v>
          </cell>
          <cell r="T13">
            <v>0.15</v>
          </cell>
        </row>
      </sheetData>
      <sheetData sheetId="3"/>
      <sheetData sheetId="4">
        <row r="1">
          <cell r="A1" t="str">
            <v>Code Pdts</v>
          </cell>
          <cell r="B1" t="str">
            <v xml:space="preserve">Description Produits </v>
          </cell>
          <cell r="C1" t="str">
            <v>Code Gamme</v>
          </cell>
          <cell r="D1" t="str">
            <v xml:space="preserve">Gamme de Produits </v>
          </cell>
          <cell r="E1" t="str">
            <v>Code Atelier</v>
          </cell>
          <cell r="F1" t="str">
            <v xml:space="preserve">Description Atelier_Ligne </v>
          </cell>
          <cell r="G1" t="str">
            <v>CODE Gamme</v>
          </cell>
          <cell r="H1" t="str">
            <v>Description Gamme</v>
          </cell>
          <cell r="I1" t="str">
            <v>CODE Activité</v>
          </cell>
          <cell r="J1" t="str">
            <v>Descr. Activité</v>
          </cell>
          <cell r="K1">
            <v>0</v>
          </cell>
        </row>
        <row r="2">
          <cell r="A2" t="str">
            <v>PF0101</v>
          </cell>
          <cell r="B2" t="str">
            <v>D08 RB500</v>
          </cell>
          <cell r="C2" t="str">
            <v>F01</v>
          </cell>
          <cell r="D2" t="str">
            <v>Rond à Beton en Barre</v>
          </cell>
          <cell r="E2" t="str">
            <v>M01</v>
          </cell>
          <cell r="F2" t="str">
            <v>Ligne Laminoire à Chaud</v>
          </cell>
          <cell r="G2">
            <v>0</v>
          </cell>
          <cell r="H2" t="str">
            <v>Laminage à Chaud</v>
          </cell>
          <cell r="I2" t="str">
            <v>PFF</v>
          </cell>
          <cell r="J2" t="str">
            <v>01-PRODUITS SID</v>
          </cell>
          <cell r="K2">
            <v>0</v>
          </cell>
        </row>
        <row r="3">
          <cell r="A3" t="str">
            <v>PF0102</v>
          </cell>
          <cell r="B3" t="str">
            <v>D10 RB500</v>
          </cell>
          <cell r="C3" t="str">
            <v>F01</v>
          </cell>
          <cell r="D3" t="str">
            <v>Rond à Beton en Barre</v>
          </cell>
          <cell r="E3" t="str">
            <v>M01</v>
          </cell>
          <cell r="F3" t="str">
            <v>Ligne Laminoire à Chaud</v>
          </cell>
          <cell r="G3">
            <v>0</v>
          </cell>
          <cell r="H3" t="str">
            <v>Laminage à Chaud</v>
          </cell>
          <cell r="I3">
            <v>0</v>
          </cell>
          <cell r="J3" t="str">
            <v>01-PRODUITS SID</v>
          </cell>
          <cell r="K3">
            <v>0</v>
          </cell>
        </row>
        <row r="4">
          <cell r="A4" t="str">
            <v>PF0103</v>
          </cell>
          <cell r="B4" t="str">
            <v>D12 RB500</v>
          </cell>
          <cell r="C4" t="str">
            <v>F01</v>
          </cell>
          <cell r="D4" t="str">
            <v>Rond à Beton en Barre</v>
          </cell>
          <cell r="E4" t="str">
            <v>M01</v>
          </cell>
          <cell r="F4" t="str">
            <v>Ligne Laminoire à Chaud</v>
          </cell>
          <cell r="G4">
            <v>0</v>
          </cell>
          <cell r="H4" t="str">
            <v>Laminage à Chaud</v>
          </cell>
          <cell r="I4">
            <v>0</v>
          </cell>
          <cell r="J4" t="str">
            <v>01-PRODUITS SID</v>
          </cell>
          <cell r="K4">
            <v>0</v>
          </cell>
        </row>
        <row r="5">
          <cell r="A5" t="str">
            <v>PF0104</v>
          </cell>
          <cell r="B5" t="str">
            <v>D14 RB500</v>
          </cell>
          <cell r="C5" t="str">
            <v>F01</v>
          </cell>
          <cell r="D5" t="str">
            <v>Rond à Beton en Barre</v>
          </cell>
          <cell r="E5" t="str">
            <v>M01</v>
          </cell>
          <cell r="F5" t="str">
            <v>Ligne Laminoire à Chaud</v>
          </cell>
          <cell r="G5">
            <v>0</v>
          </cell>
          <cell r="H5" t="str">
            <v>Laminage à Chaud</v>
          </cell>
          <cell r="I5">
            <v>0</v>
          </cell>
          <cell r="J5" t="str">
            <v>01-PRODUITS SID</v>
          </cell>
          <cell r="K5">
            <v>0</v>
          </cell>
        </row>
        <row r="6">
          <cell r="A6" t="str">
            <v>PF0105</v>
          </cell>
          <cell r="B6" t="str">
            <v>D16 RB500</v>
          </cell>
          <cell r="C6" t="str">
            <v>F01</v>
          </cell>
          <cell r="D6" t="str">
            <v>Rond à Beton en Barre</v>
          </cell>
          <cell r="E6" t="str">
            <v>M01</v>
          </cell>
          <cell r="F6" t="str">
            <v>Ligne Laminoire à Chaud</v>
          </cell>
          <cell r="G6">
            <v>0</v>
          </cell>
          <cell r="H6" t="str">
            <v>Laminage à Chaud</v>
          </cell>
          <cell r="I6">
            <v>0</v>
          </cell>
          <cell r="J6" t="str">
            <v>01-PRODUITS SID</v>
          </cell>
          <cell r="K6">
            <v>0</v>
          </cell>
        </row>
        <row r="7">
          <cell r="A7" t="str">
            <v>PF0106</v>
          </cell>
          <cell r="B7" t="str">
            <v>D20 RB500</v>
          </cell>
          <cell r="C7" t="str">
            <v>F01</v>
          </cell>
          <cell r="D7" t="str">
            <v>Rond à Beton en Barre</v>
          </cell>
          <cell r="E7" t="str">
            <v>M01</v>
          </cell>
          <cell r="F7" t="str">
            <v>Ligne Laminoire à Chaud</v>
          </cell>
          <cell r="G7">
            <v>0</v>
          </cell>
          <cell r="H7" t="str">
            <v>Laminage à Chaud</v>
          </cell>
          <cell r="I7">
            <v>0</v>
          </cell>
          <cell r="J7" t="str">
            <v>01-PRODUITS SID</v>
          </cell>
          <cell r="K7">
            <v>0</v>
          </cell>
        </row>
        <row r="8">
          <cell r="A8" t="str">
            <v>PF0107</v>
          </cell>
          <cell r="B8" t="str">
            <v>D25 RB500</v>
          </cell>
          <cell r="C8" t="str">
            <v>F01</v>
          </cell>
          <cell r="D8" t="str">
            <v>Rond à Beton en Barre</v>
          </cell>
          <cell r="E8" t="str">
            <v>M01</v>
          </cell>
          <cell r="F8" t="str">
            <v>Ligne Laminoire à Chaud</v>
          </cell>
          <cell r="G8">
            <v>0</v>
          </cell>
          <cell r="H8" t="str">
            <v>Laminage à Chaud</v>
          </cell>
          <cell r="I8">
            <v>0</v>
          </cell>
          <cell r="J8" t="str">
            <v>01-PRODUITS SID</v>
          </cell>
          <cell r="K8">
            <v>0</v>
          </cell>
        </row>
        <row r="9">
          <cell r="A9" t="str">
            <v>PF0108</v>
          </cell>
          <cell r="B9" t="str">
            <v>D32 RB500</v>
          </cell>
          <cell r="C9" t="str">
            <v>F01</v>
          </cell>
          <cell r="D9" t="str">
            <v>Rond à Beton en Barre</v>
          </cell>
          <cell r="E9" t="str">
            <v>M01</v>
          </cell>
          <cell r="F9" t="str">
            <v>Ligne Laminoire à Chaud</v>
          </cell>
          <cell r="G9">
            <v>0</v>
          </cell>
          <cell r="H9" t="str">
            <v>Laminage à Chaud</v>
          </cell>
          <cell r="I9">
            <v>0</v>
          </cell>
          <cell r="J9" t="str">
            <v>01-PRODUITS SID</v>
          </cell>
          <cell r="K9">
            <v>0</v>
          </cell>
        </row>
        <row r="10">
          <cell r="A10" t="str">
            <v>PF0201</v>
          </cell>
          <cell r="B10" t="str">
            <v>D5,5 3SPPS</v>
          </cell>
          <cell r="C10" t="str">
            <v>F02</v>
          </cell>
          <cell r="D10" t="str">
            <v xml:space="preserve">Fil  Machine en bobine </v>
          </cell>
          <cell r="E10" t="str">
            <v>M02</v>
          </cell>
          <cell r="F10" t="str">
            <v>Ligne Fil Machine</v>
          </cell>
          <cell r="G10">
            <v>0</v>
          </cell>
          <cell r="H10" t="str">
            <v>Laminage à Chaud</v>
          </cell>
          <cell r="I10">
            <v>0</v>
          </cell>
          <cell r="J10" t="str">
            <v>01-PRODUITS SID</v>
          </cell>
          <cell r="K10">
            <v>0</v>
          </cell>
        </row>
        <row r="11">
          <cell r="A11" t="str">
            <v>PF0202</v>
          </cell>
          <cell r="B11" t="str">
            <v>D5,5 SAE1006</v>
          </cell>
          <cell r="C11" t="str">
            <v>F02</v>
          </cell>
          <cell r="D11" t="str">
            <v xml:space="preserve">Fil  Machine en bobine </v>
          </cell>
          <cell r="E11" t="str">
            <v>M02</v>
          </cell>
          <cell r="F11" t="str">
            <v>Ligne Fil Machine</v>
          </cell>
          <cell r="G11">
            <v>0</v>
          </cell>
          <cell r="H11" t="str">
            <v>Laminage à Chaud</v>
          </cell>
          <cell r="I11">
            <v>0</v>
          </cell>
          <cell r="J11" t="str">
            <v>01-PRODUITS SID</v>
          </cell>
          <cell r="K11">
            <v>0</v>
          </cell>
        </row>
        <row r="12">
          <cell r="A12" t="str">
            <v>PF0203</v>
          </cell>
          <cell r="B12" t="str">
            <v>R LISSE D06</v>
          </cell>
          <cell r="C12" t="str">
            <v>F02</v>
          </cell>
          <cell r="D12" t="str">
            <v xml:space="preserve">Fil  Machine en bobine </v>
          </cell>
          <cell r="E12" t="str">
            <v>M02</v>
          </cell>
          <cell r="F12" t="str">
            <v>Ligne Fil Machine</v>
          </cell>
          <cell r="G12">
            <v>0</v>
          </cell>
          <cell r="H12" t="str">
            <v>Laminage à Chaud</v>
          </cell>
          <cell r="I12">
            <v>0</v>
          </cell>
          <cell r="J12" t="str">
            <v>01-PRODUITS SID</v>
          </cell>
          <cell r="K12">
            <v>0</v>
          </cell>
        </row>
        <row r="13">
          <cell r="A13" t="str">
            <v>PF0204</v>
          </cell>
          <cell r="B13" t="str">
            <v>D7 SAE1006</v>
          </cell>
          <cell r="C13" t="str">
            <v>F02</v>
          </cell>
          <cell r="D13" t="str">
            <v xml:space="preserve">Fil  Machine en bobine </v>
          </cell>
          <cell r="E13" t="str">
            <v>M02</v>
          </cell>
          <cell r="F13" t="str">
            <v>Ligne Fil Machine</v>
          </cell>
          <cell r="G13">
            <v>0</v>
          </cell>
          <cell r="H13" t="str">
            <v>Laminage à Chaud</v>
          </cell>
          <cell r="I13">
            <v>0</v>
          </cell>
          <cell r="J13" t="str">
            <v>01-PRODUITS SID</v>
          </cell>
          <cell r="K13">
            <v>0</v>
          </cell>
        </row>
        <row r="14">
          <cell r="A14" t="str">
            <v>PF0301</v>
          </cell>
          <cell r="B14" t="str">
            <v>D06 lisse  en   Bobine</v>
          </cell>
          <cell r="C14" t="str">
            <v>F03</v>
          </cell>
          <cell r="D14" t="str">
            <v>Rond à Beton en Bobine Compact</v>
          </cell>
          <cell r="E14" t="str">
            <v>L3</v>
          </cell>
          <cell r="F14" t="str">
            <v xml:space="preserve">Ligne Bobineuse </v>
          </cell>
          <cell r="G14">
            <v>0</v>
          </cell>
          <cell r="H14" t="str">
            <v>Laminage à Froid</v>
          </cell>
          <cell r="I14" t="str">
            <v>PFF</v>
          </cell>
          <cell r="J14" t="str">
            <v>01-PRODUITS SID</v>
          </cell>
          <cell r="K14">
            <v>0</v>
          </cell>
        </row>
        <row r="15">
          <cell r="A15" t="str">
            <v>PF0302</v>
          </cell>
          <cell r="B15" t="str">
            <v>D08 RB500  en Bobine</v>
          </cell>
          <cell r="C15" t="str">
            <v>F03</v>
          </cell>
          <cell r="D15" t="str">
            <v>Rond à Beton en Bobine Compact</v>
          </cell>
          <cell r="E15" t="str">
            <v>L3</v>
          </cell>
          <cell r="F15" t="str">
            <v xml:space="preserve">Ligne Bobineuse </v>
          </cell>
          <cell r="G15">
            <v>0</v>
          </cell>
          <cell r="H15" t="str">
            <v>Laminage à Froid</v>
          </cell>
          <cell r="I15">
            <v>0</v>
          </cell>
          <cell r="J15" t="str">
            <v>01-PRODUITS SID</v>
          </cell>
          <cell r="K15">
            <v>0</v>
          </cell>
        </row>
        <row r="16">
          <cell r="A16" t="str">
            <v>PF0303</v>
          </cell>
          <cell r="B16" t="str">
            <v>D10 RB500  en Bobine</v>
          </cell>
          <cell r="C16" t="str">
            <v>F03</v>
          </cell>
          <cell r="D16" t="str">
            <v>Rond à Beton en Bobine Compact</v>
          </cell>
          <cell r="E16" t="str">
            <v>L3</v>
          </cell>
          <cell r="F16" t="str">
            <v xml:space="preserve">Ligne Bobineuse </v>
          </cell>
          <cell r="G16">
            <v>0</v>
          </cell>
          <cell r="H16" t="str">
            <v>Laminage à Froid</v>
          </cell>
          <cell r="I16">
            <v>0</v>
          </cell>
          <cell r="J16" t="str">
            <v>01-PRODUITS SID</v>
          </cell>
          <cell r="K16">
            <v>0</v>
          </cell>
        </row>
        <row r="17">
          <cell r="A17" t="str">
            <v>PF0304</v>
          </cell>
          <cell r="B17" t="str">
            <v>D12 RB500 en Bobine</v>
          </cell>
          <cell r="C17" t="str">
            <v>F03</v>
          </cell>
          <cell r="D17" t="str">
            <v>Rond à Beton en Bobine Compact</v>
          </cell>
          <cell r="E17" t="str">
            <v>L3</v>
          </cell>
          <cell r="F17" t="str">
            <v xml:space="preserve">Ligne Bobineuse </v>
          </cell>
          <cell r="G17">
            <v>0</v>
          </cell>
          <cell r="H17" t="str">
            <v>Laminage à Froid</v>
          </cell>
          <cell r="I17">
            <v>0</v>
          </cell>
          <cell r="J17" t="str">
            <v>01-PRODUITS SID</v>
          </cell>
          <cell r="K17">
            <v>0</v>
          </cell>
        </row>
        <row r="18">
          <cell r="A18" t="str">
            <v>PF0305</v>
          </cell>
          <cell r="B18" t="str">
            <v>D14 RB500 en bobine</v>
          </cell>
          <cell r="C18" t="str">
            <v>F03</v>
          </cell>
          <cell r="D18" t="str">
            <v>Rond à Beton en Bobine Compact</v>
          </cell>
          <cell r="E18" t="str">
            <v>L3</v>
          </cell>
          <cell r="F18" t="str">
            <v xml:space="preserve">Ligne Bobineuse </v>
          </cell>
          <cell r="G18">
            <v>0</v>
          </cell>
          <cell r="H18" t="str">
            <v>Laminage à Froid</v>
          </cell>
          <cell r="I18">
            <v>0</v>
          </cell>
          <cell r="J18" t="str">
            <v>01-PRODUITS SID</v>
          </cell>
          <cell r="K18">
            <v>0</v>
          </cell>
        </row>
        <row r="19">
          <cell r="A19" t="str">
            <v>PF0306</v>
          </cell>
          <cell r="B19" t="str">
            <v>D16 RB500 en bobine</v>
          </cell>
          <cell r="C19" t="str">
            <v>F03</v>
          </cell>
          <cell r="D19" t="str">
            <v>Rond à Beton en Bobine Compact</v>
          </cell>
          <cell r="E19" t="str">
            <v>L3</v>
          </cell>
          <cell r="F19" t="str">
            <v xml:space="preserve">Ligne Bobineuse </v>
          </cell>
          <cell r="G19">
            <v>0</v>
          </cell>
          <cell r="H19" t="str">
            <v>Laminage à Froid</v>
          </cell>
          <cell r="I19">
            <v>0</v>
          </cell>
          <cell r="J19" t="str">
            <v>01-PRODUITS SID</v>
          </cell>
          <cell r="K19">
            <v>0</v>
          </cell>
        </row>
        <row r="20">
          <cell r="A20" t="str">
            <v>PF0307</v>
          </cell>
          <cell r="B20" t="str">
            <v>D20 RB500 en bobine</v>
          </cell>
          <cell r="C20" t="str">
            <v>F03</v>
          </cell>
          <cell r="D20" t="str">
            <v>Rond à Beton en Bobine Compact</v>
          </cell>
          <cell r="E20" t="str">
            <v>L3</v>
          </cell>
          <cell r="F20" t="str">
            <v xml:space="preserve">Ligne Bobineuse </v>
          </cell>
          <cell r="G20">
            <v>0</v>
          </cell>
          <cell r="H20" t="str">
            <v>Laminage à Froid</v>
          </cell>
          <cell r="I20">
            <v>0</v>
          </cell>
          <cell r="J20" t="str">
            <v>01-PRODUITS SID</v>
          </cell>
          <cell r="K20">
            <v>0</v>
          </cell>
        </row>
        <row r="21">
          <cell r="A21" t="str">
            <v>PF0401</v>
          </cell>
          <cell r="B21" t="str">
            <v>Armatures Diam8</v>
          </cell>
          <cell r="C21" t="str">
            <v>F04</v>
          </cell>
          <cell r="D21" t="str">
            <v>Armatures Pré-Fabriqués</v>
          </cell>
          <cell r="E21" t="str">
            <v>L04</v>
          </cell>
          <cell r="F21" t="str">
            <v>Atelier de Façonnage</v>
          </cell>
          <cell r="G21">
            <v>0</v>
          </cell>
          <cell r="H21">
            <v>0</v>
          </cell>
          <cell r="I21" t="str">
            <v>PFF</v>
          </cell>
          <cell r="J21" t="str">
            <v>01-PRODUITS SID</v>
          </cell>
          <cell r="K21">
            <v>0</v>
          </cell>
        </row>
        <row r="22">
          <cell r="A22" t="str">
            <v>PF0402</v>
          </cell>
          <cell r="B22" t="str">
            <v>Armatures Diam10</v>
          </cell>
          <cell r="C22" t="str">
            <v>F04</v>
          </cell>
          <cell r="D22" t="str">
            <v>Armatures Pré-Fabriqués</v>
          </cell>
          <cell r="E22" t="str">
            <v>L04</v>
          </cell>
          <cell r="F22" t="str">
            <v>Atelier de Façonnage</v>
          </cell>
          <cell r="G22">
            <v>0</v>
          </cell>
          <cell r="H22">
            <v>0</v>
          </cell>
          <cell r="I22" t="str">
            <v>PFF</v>
          </cell>
          <cell r="J22" t="str">
            <v>01-PRODUITS SID</v>
          </cell>
          <cell r="K22">
            <v>0</v>
          </cell>
        </row>
        <row r="23">
          <cell r="A23" t="str">
            <v>PF0403</v>
          </cell>
          <cell r="B23" t="str">
            <v>Armatures Diam12</v>
          </cell>
          <cell r="C23" t="str">
            <v>F04</v>
          </cell>
          <cell r="D23" t="str">
            <v>Armatures Pré-Fabriqués</v>
          </cell>
          <cell r="E23" t="str">
            <v>L04</v>
          </cell>
          <cell r="F23" t="str">
            <v>Atelier de Façonnage</v>
          </cell>
          <cell r="G23">
            <v>0</v>
          </cell>
          <cell r="H23">
            <v>0</v>
          </cell>
          <cell r="I23" t="str">
            <v>PFF</v>
          </cell>
          <cell r="J23" t="str">
            <v>01-PRODUITS SID</v>
          </cell>
          <cell r="K23">
            <v>0</v>
          </cell>
        </row>
        <row r="24">
          <cell r="A24" t="str">
            <v>PF0404</v>
          </cell>
          <cell r="B24" t="str">
            <v>Armatures Diam14</v>
          </cell>
          <cell r="C24" t="str">
            <v>F04</v>
          </cell>
          <cell r="D24" t="str">
            <v>Armatures Pré-Fabriqués</v>
          </cell>
          <cell r="E24" t="str">
            <v>L04</v>
          </cell>
          <cell r="F24" t="str">
            <v>Atelier de Façonnage</v>
          </cell>
          <cell r="G24">
            <v>0</v>
          </cell>
          <cell r="H24">
            <v>0</v>
          </cell>
          <cell r="I24" t="str">
            <v>PFF</v>
          </cell>
          <cell r="J24" t="str">
            <v>01-PRODUITS SID</v>
          </cell>
          <cell r="K24">
            <v>0</v>
          </cell>
        </row>
        <row r="25">
          <cell r="A25" t="str">
            <v>PF0501</v>
          </cell>
          <cell r="B25" t="str">
            <v xml:space="preserve">D03 en Bobine </v>
          </cell>
          <cell r="C25" t="str">
            <v>F05</v>
          </cell>
          <cell r="D25" t="str">
            <v>Fil machine Diam 3 en bobine</v>
          </cell>
          <cell r="E25" t="str">
            <v>L05</v>
          </cell>
          <cell r="F25" t="str">
            <v xml:space="preserve">Ligne Laminage à Froid </v>
          </cell>
          <cell r="G25">
            <v>0</v>
          </cell>
          <cell r="H25" t="str">
            <v>Laminage à Froid</v>
          </cell>
          <cell r="I25" t="str">
            <v>PFF</v>
          </cell>
          <cell r="J25" t="str">
            <v>01-PRODUITS SID</v>
          </cell>
          <cell r="K25">
            <v>0</v>
          </cell>
        </row>
        <row r="26">
          <cell r="A26" t="str">
            <v>PF0502</v>
          </cell>
          <cell r="B26" t="str">
            <v xml:space="preserve">D04 en Bobine </v>
          </cell>
          <cell r="C26" t="str">
            <v>F05</v>
          </cell>
          <cell r="D26" t="str">
            <v>Fil machine Diam 4 en bobine</v>
          </cell>
          <cell r="E26" t="str">
            <v>L06</v>
          </cell>
          <cell r="F26" t="str">
            <v xml:space="preserve">Ligne Laminage à Froid </v>
          </cell>
          <cell r="G26">
            <v>0</v>
          </cell>
          <cell r="H26" t="str">
            <v>Laminage à Froid</v>
          </cell>
          <cell r="I26">
            <v>0</v>
          </cell>
          <cell r="J26" t="str">
            <v>01-PRODUITS SID</v>
          </cell>
          <cell r="K26">
            <v>0</v>
          </cell>
        </row>
        <row r="27">
          <cell r="A27" t="str">
            <v>PF0503</v>
          </cell>
          <cell r="B27" t="str">
            <v xml:space="preserve">D05 en Bobine </v>
          </cell>
          <cell r="C27" t="str">
            <v>F05</v>
          </cell>
          <cell r="D27" t="str">
            <v>Fil machine Diam 5 en bobine</v>
          </cell>
          <cell r="E27" t="str">
            <v>L07</v>
          </cell>
          <cell r="F27" t="str">
            <v xml:space="preserve">Ligne Laminage à Froid </v>
          </cell>
          <cell r="G27">
            <v>0</v>
          </cell>
          <cell r="H27" t="str">
            <v>Laminage à Froid</v>
          </cell>
          <cell r="I27">
            <v>0</v>
          </cell>
          <cell r="J27" t="str">
            <v>01-PRODUITS SID</v>
          </cell>
          <cell r="K27">
            <v>0</v>
          </cell>
        </row>
        <row r="28">
          <cell r="A28" t="str">
            <v>PF0504</v>
          </cell>
          <cell r="B28" t="str">
            <v xml:space="preserve">D06 en Bobine </v>
          </cell>
          <cell r="C28" t="str">
            <v>F05</v>
          </cell>
          <cell r="D28" t="str">
            <v>Fil machine Diam 6 en bobine</v>
          </cell>
          <cell r="E28" t="str">
            <v>L08</v>
          </cell>
          <cell r="F28" t="str">
            <v xml:space="preserve">Ligne Laminage à Froid </v>
          </cell>
          <cell r="G28">
            <v>0</v>
          </cell>
          <cell r="H28" t="str">
            <v>Laminage à Froid</v>
          </cell>
          <cell r="I28">
            <v>0</v>
          </cell>
          <cell r="J28" t="str">
            <v>01-PRODUITS SID</v>
          </cell>
          <cell r="K28">
            <v>0</v>
          </cell>
        </row>
        <row r="29">
          <cell r="A29" t="str">
            <v>PF0601</v>
          </cell>
          <cell r="B29" t="str">
            <v>Produits  TR_Soudé  Section 3</v>
          </cell>
          <cell r="C29" t="str">
            <v>F06</v>
          </cell>
          <cell r="D29" t="str">
            <v>Treillis Soudé</v>
          </cell>
          <cell r="E29" t="str">
            <v>L06</v>
          </cell>
          <cell r="F29" t="str">
            <v>Ligne Treillis Soudés</v>
          </cell>
          <cell r="G29">
            <v>0</v>
          </cell>
          <cell r="H29">
            <v>0</v>
          </cell>
          <cell r="I29" t="str">
            <v>PFF</v>
          </cell>
          <cell r="J29" t="str">
            <v>01-PRODUITS SID</v>
          </cell>
          <cell r="K29">
            <v>0</v>
          </cell>
        </row>
        <row r="30">
          <cell r="A30" t="str">
            <v>PF0602</v>
          </cell>
          <cell r="B30" t="str">
            <v>Produits  TR_Soudé  Section 4</v>
          </cell>
          <cell r="C30" t="str">
            <v>F06</v>
          </cell>
          <cell r="D30" t="str">
            <v>Treillis Soudé</v>
          </cell>
          <cell r="E30" t="str">
            <v>L06</v>
          </cell>
          <cell r="F30" t="str">
            <v>Ligne Treillis Soudés</v>
          </cell>
          <cell r="G30">
            <v>0</v>
          </cell>
          <cell r="H30">
            <v>0</v>
          </cell>
          <cell r="I30" t="str">
            <v>PFF</v>
          </cell>
          <cell r="J30" t="str">
            <v>01-PRODUITS SID</v>
          </cell>
          <cell r="K30">
            <v>0</v>
          </cell>
        </row>
        <row r="31">
          <cell r="A31" t="str">
            <v>PF0603</v>
          </cell>
          <cell r="B31" t="str">
            <v>Produits  TR_Soudé  Section 6</v>
          </cell>
          <cell r="C31" t="str">
            <v>F06</v>
          </cell>
          <cell r="D31" t="str">
            <v>Treillis Soudé</v>
          </cell>
          <cell r="E31" t="str">
            <v>L06</v>
          </cell>
          <cell r="F31" t="str">
            <v>Ligne Treillis Soudés</v>
          </cell>
          <cell r="G31">
            <v>0</v>
          </cell>
          <cell r="H31">
            <v>0</v>
          </cell>
          <cell r="I31" t="str">
            <v>PFF</v>
          </cell>
          <cell r="J31" t="str">
            <v>01-PRODUITS SID</v>
          </cell>
          <cell r="K31">
            <v>0</v>
          </cell>
        </row>
        <row r="32">
          <cell r="A32" t="str">
            <v>PF0604</v>
          </cell>
          <cell r="B32" t="str">
            <v>Produits  TR_Soudé  Section 8</v>
          </cell>
          <cell r="C32" t="str">
            <v>F06</v>
          </cell>
          <cell r="D32" t="str">
            <v>Treillis Soudé</v>
          </cell>
          <cell r="E32" t="str">
            <v>L06</v>
          </cell>
          <cell r="F32" t="str">
            <v>Ligne Treillis Soudés</v>
          </cell>
          <cell r="G32">
            <v>0</v>
          </cell>
          <cell r="H32">
            <v>0</v>
          </cell>
          <cell r="I32" t="str">
            <v>PFF</v>
          </cell>
          <cell r="J32" t="str">
            <v>01-PRODUITS SID</v>
          </cell>
          <cell r="K32">
            <v>0</v>
          </cell>
        </row>
        <row r="33">
          <cell r="A33" t="str">
            <v>PF0605</v>
          </cell>
          <cell r="B33" t="str">
            <v>Produits  TR_Soudé  Section 10</v>
          </cell>
          <cell r="C33" t="str">
            <v>F06</v>
          </cell>
          <cell r="D33" t="str">
            <v>Treillis Soudé</v>
          </cell>
          <cell r="E33" t="str">
            <v>L06</v>
          </cell>
          <cell r="F33" t="str">
            <v>Ligne Treillis Soudés</v>
          </cell>
          <cell r="G33">
            <v>0</v>
          </cell>
          <cell r="H33">
            <v>0</v>
          </cell>
          <cell r="I33" t="str">
            <v>PFF</v>
          </cell>
          <cell r="J33" t="str">
            <v>01-PRODUITS SID</v>
          </cell>
          <cell r="K33">
            <v>0</v>
          </cell>
        </row>
        <row r="34">
          <cell r="A34" t="str">
            <v>PF0701</v>
          </cell>
          <cell r="B34" t="str">
            <v>Produits FAS 1</v>
          </cell>
          <cell r="C34" t="str">
            <v>F07</v>
          </cell>
          <cell r="D34" t="str">
            <v>Amataures façconnés_Assemblé_Soudé</v>
          </cell>
          <cell r="E34" t="str">
            <v>L07</v>
          </cell>
          <cell r="F34" t="str">
            <v>Atelier de Façonnage</v>
          </cell>
          <cell r="G34">
            <v>0</v>
          </cell>
          <cell r="H34">
            <v>0</v>
          </cell>
          <cell r="I34" t="str">
            <v>PFF</v>
          </cell>
          <cell r="J34" t="str">
            <v>01-PRODUITS SID</v>
          </cell>
          <cell r="K34">
            <v>0</v>
          </cell>
        </row>
        <row r="35">
          <cell r="A35" t="str">
            <v>PF0702</v>
          </cell>
          <cell r="B35" t="str">
            <v>Produits FAS 2</v>
          </cell>
          <cell r="C35" t="str">
            <v>F07</v>
          </cell>
          <cell r="D35" t="str">
            <v>Amataures façconnés_Assemblé_Soudé</v>
          </cell>
          <cell r="E35" t="str">
            <v>L07</v>
          </cell>
          <cell r="F35" t="str">
            <v>Atelier de Façonnage</v>
          </cell>
          <cell r="G35">
            <v>0</v>
          </cell>
          <cell r="H35">
            <v>0</v>
          </cell>
          <cell r="I35" t="str">
            <v>PFF</v>
          </cell>
          <cell r="J35" t="str">
            <v>01-PRODUITS SID</v>
          </cell>
          <cell r="K35">
            <v>0</v>
          </cell>
        </row>
        <row r="36">
          <cell r="A36" t="str">
            <v>PF0703</v>
          </cell>
          <cell r="B36" t="str">
            <v>Produits FAS 3</v>
          </cell>
          <cell r="C36" t="str">
            <v>F07</v>
          </cell>
          <cell r="D36" t="str">
            <v>Amataures façconnés_Assemblé_Soudé</v>
          </cell>
          <cell r="E36" t="str">
            <v>L07</v>
          </cell>
          <cell r="F36" t="str">
            <v>Atelier de Façonnage</v>
          </cell>
          <cell r="G36">
            <v>0</v>
          </cell>
          <cell r="H36">
            <v>0</v>
          </cell>
          <cell r="I36" t="str">
            <v>PFF</v>
          </cell>
          <cell r="J36" t="str">
            <v>01-PRODUITS SID</v>
          </cell>
          <cell r="K36">
            <v>0</v>
          </cell>
        </row>
        <row r="37">
          <cell r="A37" t="str">
            <v>PF0704</v>
          </cell>
          <cell r="B37" t="str">
            <v>Produits FAS 4</v>
          </cell>
          <cell r="C37" t="str">
            <v>F07</v>
          </cell>
          <cell r="D37" t="str">
            <v>Amataures façconnés_Assemblé_Soudé</v>
          </cell>
          <cell r="E37" t="str">
            <v>L07</v>
          </cell>
          <cell r="F37" t="str">
            <v>Atelier de Façonnage</v>
          </cell>
          <cell r="G37">
            <v>0</v>
          </cell>
          <cell r="H37">
            <v>0</v>
          </cell>
          <cell r="I37" t="str">
            <v>PFF</v>
          </cell>
          <cell r="J37" t="str">
            <v>01-PRODUITS SID</v>
          </cell>
          <cell r="K37">
            <v>0</v>
          </cell>
        </row>
        <row r="38">
          <cell r="A38" t="str">
            <v>PR0101</v>
          </cell>
          <cell r="B38" t="str">
            <v xml:space="preserve">Barres Courtes </v>
          </cell>
          <cell r="C38" t="str">
            <v>F08</v>
          </cell>
          <cell r="D38" t="str">
            <v>Produits résiduels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 t="str">
            <v>PR</v>
          </cell>
          <cell r="J38" t="str">
            <v>01-PRODUITS SID</v>
          </cell>
          <cell r="K38">
            <v>0</v>
          </cell>
        </row>
        <row r="39">
          <cell r="A39" t="str">
            <v>PR0102</v>
          </cell>
          <cell r="B39" t="str">
            <v>Calamine</v>
          </cell>
          <cell r="C39" t="str">
            <v>F02</v>
          </cell>
          <cell r="D39" t="str">
            <v>Produits résiduels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 t="str">
            <v>PR</v>
          </cell>
          <cell r="J39" t="str">
            <v>01-PRODUITS SID</v>
          </cell>
          <cell r="K39">
            <v>0</v>
          </cell>
        </row>
        <row r="40">
          <cell r="A40" t="str">
            <v>PR0103</v>
          </cell>
          <cell r="B40" t="str">
            <v>Produits Féraille</v>
          </cell>
          <cell r="C40" t="str">
            <v>F02</v>
          </cell>
          <cell r="D40" t="str">
            <v>Produits résiduels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 t="str">
            <v>PR</v>
          </cell>
          <cell r="J40" t="str">
            <v>01-PRODUITS SID</v>
          </cell>
          <cell r="K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</sheetData>
      <sheetData sheetId="5">
        <row r="8">
          <cell r="O8" t="str">
            <v>MP0001</v>
          </cell>
          <cell r="X8">
            <v>3964.8968750000004</v>
          </cell>
          <cell r="Y8">
            <v>0</v>
          </cell>
          <cell r="Z8">
            <v>4353.4968750000007</v>
          </cell>
          <cell r="AA8">
            <v>0</v>
          </cell>
          <cell r="AB8">
            <v>1495.8770833333333</v>
          </cell>
          <cell r="AC8">
            <v>0</v>
          </cell>
          <cell r="AD8">
            <v>3093.2979166666673</v>
          </cell>
          <cell r="AE8">
            <v>0</v>
          </cell>
          <cell r="AF8">
            <v>3265.905208333334</v>
          </cell>
          <cell r="AG8">
            <v>3403.7918244949501</v>
          </cell>
          <cell r="AH8">
            <v>3403.7918244949501</v>
          </cell>
          <cell r="AI8">
            <v>3403.7918244949501</v>
          </cell>
        </row>
        <row r="9">
          <cell r="O9" t="str">
            <v>MP0004</v>
          </cell>
          <cell r="X9">
            <v>389765.22240000003</v>
          </cell>
          <cell r="Y9">
            <v>0</v>
          </cell>
          <cell r="Z9">
            <v>427966.1568</v>
          </cell>
          <cell r="AA9">
            <v>0</v>
          </cell>
          <cell r="AB9">
            <v>147050.70079999999</v>
          </cell>
          <cell r="AC9">
            <v>0</v>
          </cell>
          <cell r="AD9">
            <v>304083.55840000004</v>
          </cell>
          <cell r="AE9">
            <v>0</v>
          </cell>
          <cell r="AF9">
            <v>321051.54560000007</v>
          </cell>
          <cell r="AG9">
            <v>334606.35151515156</v>
          </cell>
          <cell r="AH9">
            <v>334606.35151515156</v>
          </cell>
          <cell r="AI9">
            <v>334606.35151515156</v>
          </cell>
        </row>
        <row r="10">
          <cell r="O10" t="str">
            <v>MP0005</v>
          </cell>
          <cell r="X10">
            <v>148445.739</v>
          </cell>
          <cell r="Y10">
            <v>0</v>
          </cell>
          <cell r="Z10">
            <v>162994.92300000001</v>
          </cell>
          <cell r="AA10">
            <v>0</v>
          </cell>
          <cell r="AB10">
            <v>56005.637999999999</v>
          </cell>
          <cell r="AC10">
            <v>0</v>
          </cell>
          <cell r="AD10">
            <v>115813.07400000001</v>
          </cell>
          <cell r="AE10">
            <v>0</v>
          </cell>
          <cell r="AF10">
            <v>122275.49100000001</v>
          </cell>
          <cell r="AG10">
            <v>127437.96590909093</v>
          </cell>
          <cell r="AH10">
            <v>127437.96590909093</v>
          </cell>
          <cell r="AI10">
            <v>127437.96590909093</v>
          </cell>
        </row>
        <row r="11">
          <cell r="O11" t="str">
            <v>MP0006</v>
          </cell>
          <cell r="X11">
            <v>5709.4515000000001</v>
          </cell>
          <cell r="Y11">
            <v>0</v>
          </cell>
          <cell r="Z11">
            <v>6269.0355</v>
          </cell>
          <cell r="AA11">
            <v>0</v>
          </cell>
          <cell r="AB11">
            <v>2154.0630000000001</v>
          </cell>
          <cell r="AC11">
            <v>0</v>
          </cell>
          <cell r="AD11">
            <v>4454.3490000000002</v>
          </cell>
          <cell r="AE11">
            <v>0</v>
          </cell>
          <cell r="AF11">
            <v>4702.9035000000003</v>
          </cell>
          <cell r="AG11">
            <v>4901.4602272727279</v>
          </cell>
          <cell r="AH11">
            <v>4901.4602272727279</v>
          </cell>
          <cell r="AI11">
            <v>4901.4602272727279</v>
          </cell>
        </row>
        <row r="12">
          <cell r="O12" t="str">
            <v>MP0007</v>
          </cell>
          <cell r="X12">
            <v>97441.305600000007</v>
          </cell>
          <cell r="Y12">
            <v>0</v>
          </cell>
          <cell r="Z12">
            <v>106991.5392</v>
          </cell>
          <cell r="AA12">
            <v>0</v>
          </cell>
          <cell r="AB12">
            <v>36762.675199999998</v>
          </cell>
          <cell r="AC12">
            <v>0</v>
          </cell>
          <cell r="AD12">
            <v>76020.88960000001</v>
          </cell>
          <cell r="AE12">
            <v>0</v>
          </cell>
          <cell r="AF12">
            <v>80262.886400000018</v>
          </cell>
          <cell r="AG12">
            <v>83651.58787878789</v>
          </cell>
          <cell r="AH12">
            <v>83651.58787878789</v>
          </cell>
          <cell r="AI12">
            <v>83651.58787878789</v>
          </cell>
        </row>
        <row r="13">
          <cell r="O13" t="str">
            <v>MP0008</v>
          </cell>
          <cell r="X13">
            <v>3806.3009999999999</v>
          </cell>
          <cell r="Y13">
            <v>0</v>
          </cell>
          <cell r="Z13">
            <v>4179.357</v>
          </cell>
          <cell r="AA13">
            <v>0</v>
          </cell>
          <cell r="AB13">
            <v>1436.0419999999999</v>
          </cell>
          <cell r="AC13">
            <v>0</v>
          </cell>
          <cell r="AD13">
            <v>2969.5660000000003</v>
          </cell>
          <cell r="AE13">
            <v>0</v>
          </cell>
          <cell r="AF13">
            <v>3135.2690000000002</v>
          </cell>
          <cell r="AG13">
            <v>3267.640151515152</v>
          </cell>
          <cell r="AH13">
            <v>3267.640151515152</v>
          </cell>
          <cell r="AI13">
            <v>3267.640151515152</v>
          </cell>
        </row>
        <row r="14">
          <cell r="O14" t="str">
            <v>MP0009</v>
          </cell>
          <cell r="X14">
            <v>3806.3009999999999</v>
          </cell>
          <cell r="Y14">
            <v>0</v>
          </cell>
          <cell r="Z14">
            <v>4179.357</v>
          </cell>
          <cell r="AA14">
            <v>0</v>
          </cell>
          <cell r="AB14">
            <v>1436.0419999999999</v>
          </cell>
          <cell r="AC14">
            <v>0</v>
          </cell>
          <cell r="AD14">
            <v>2969.5660000000003</v>
          </cell>
          <cell r="AE14">
            <v>0</v>
          </cell>
          <cell r="AF14">
            <v>3135.2690000000002</v>
          </cell>
          <cell r="AG14">
            <v>3267.640151515152</v>
          </cell>
          <cell r="AH14">
            <v>3267.640151515152</v>
          </cell>
          <cell r="AI14">
            <v>3267.640151515152</v>
          </cell>
        </row>
        <row r="15">
          <cell r="O15" t="str">
            <v>MP0010</v>
          </cell>
          <cell r="X15">
            <v>3806.3009999999999</v>
          </cell>
          <cell r="Y15">
            <v>0</v>
          </cell>
          <cell r="Z15">
            <v>4179.357</v>
          </cell>
          <cell r="AA15">
            <v>0</v>
          </cell>
          <cell r="AB15">
            <v>1436.0419999999999</v>
          </cell>
          <cell r="AC15">
            <v>0</v>
          </cell>
          <cell r="AD15">
            <v>2969.5660000000003</v>
          </cell>
          <cell r="AE15">
            <v>0</v>
          </cell>
          <cell r="AF15">
            <v>3135.2690000000002</v>
          </cell>
          <cell r="AG15">
            <v>3267.640151515152</v>
          </cell>
          <cell r="AH15">
            <v>3267.640151515152</v>
          </cell>
          <cell r="AI15">
            <v>3267.640151515152</v>
          </cell>
        </row>
        <row r="16">
          <cell r="O16" t="str">
            <v>MP0011</v>
          </cell>
          <cell r="X16">
            <v>3806.3009999999999</v>
          </cell>
          <cell r="Y16">
            <v>0</v>
          </cell>
          <cell r="Z16">
            <v>4179.357</v>
          </cell>
          <cell r="AA16">
            <v>0</v>
          </cell>
          <cell r="AB16">
            <v>1436.0419999999999</v>
          </cell>
          <cell r="AC16">
            <v>0</v>
          </cell>
          <cell r="AD16">
            <v>2969.5660000000003</v>
          </cell>
          <cell r="AE16">
            <v>0</v>
          </cell>
          <cell r="AF16">
            <v>3135.2690000000002</v>
          </cell>
          <cell r="AG16">
            <v>3267.640151515152</v>
          </cell>
          <cell r="AH16">
            <v>3267.640151515152</v>
          </cell>
          <cell r="AI16">
            <v>3267.640151515152</v>
          </cell>
        </row>
        <row r="17">
          <cell r="O17" t="str">
            <v>MP0012</v>
          </cell>
          <cell r="X17">
            <v>3806.3009999999999</v>
          </cell>
          <cell r="Y17">
            <v>0</v>
          </cell>
          <cell r="Z17">
            <v>4179.357</v>
          </cell>
          <cell r="AA17">
            <v>0</v>
          </cell>
          <cell r="AB17">
            <v>1436.0419999999999</v>
          </cell>
          <cell r="AC17">
            <v>0</v>
          </cell>
          <cell r="AD17">
            <v>2969.5660000000003</v>
          </cell>
          <cell r="AE17">
            <v>0</v>
          </cell>
          <cell r="AF17">
            <v>3135.2690000000002</v>
          </cell>
          <cell r="AG17">
            <v>3267.640151515152</v>
          </cell>
          <cell r="AH17">
            <v>3267.640151515152</v>
          </cell>
          <cell r="AI17">
            <v>3267.640151515152</v>
          </cell>
        </row>
        <row r="18">
          <cell r="O18" t="str">
            <v>MP0013</v>
          </cell>
          <cell r="X18">
            <v>3806.3009999999999</v>
          </cell>
          <cell r="Y18">
            <v>0</v>
          </cell>
          <cell r="Z18">
            <v>4179.357</v>
          </cell>
          <cell r="AA18">
            <v>0</v>
          </cell>
          <cell r="AB18">
            <v>1436.0419999999999</v>
          </cell>
          <cell r="AC18">
            <v>0</v>
          </cell>
          <cell r="AD18">
            <v>2969.5660000000003</v>
          </cell>
          <cell r="AE18">
            <v>0</v>
          </cell>
          <cell r="AF18">
            <v>3135.2690000000002</v>
          </cell>
          <cell r="AG18">
            <v>3267.640151515152</v>
          </cell>
          <cell r="AH18">
            <v>3267.640151515152</v>
          </cell>
          <cell r="AI18">
            <v>3267.640151515152</v>
          </cell>
        </row>
        <row r="19">
          <cell r="O19" t="str">
            <v>MP0014</v>
          </cell>
          <cell r="X19">
            <v>3806.3009999999999</v>
          </cell>
          <cell r="Y19">
            <v>0</v>
          </cell>
          <cell r="Z19">
            <v>4179.357</v>
          </cell>
          <cell r="AA19">
            <v>0</v>
          </cell>
          <cell r="AB19">
            <v>1436.0419999999999</v>
          </cell>
          <cell r="AC19">
            <v>0</v>
          </cell>
          <cell r="AD19">
            <v>2969.5660000000003</v>
          </cell>
          <cell r="AE19">
            <v>0</v>
          </cell>
          <cell r="AF19">
            <v>3135.2690000000002</v>
          </cell>
          <cell r="AG19">
            <v>3267.640151515152</v>
          </cell>
          <cell r="AH19">
            <v>3267.640151515152</v>
          </cell>
          <cell r="AI19">
            <v>3267.640151515152</v>
          </cell>
        </row>
        <row r="20">
          <cell r="O20" t="str">
            <v>MP0015</v>
          </cell>
          <cell r="X20">
            <v>3806.3009999999999</v>
          </cell>
          <cell r="Y20">
            <v>0</v>
          </cell>
          <cell r="Z20">
            <v>4179.357</v>
          </cell>
          <cell r="AA20">
            <v>0</v>
          </cell>
          <cell r="AB20">
            <v>1436.0419999999999</v>
          </cell>
          <cell r="AC20">
            <v>0</v>
          </cell>
          <cell r="AD20">
            <v>2969.5660000000003</v>
          </cell>
          <cell r="AE20">
            <v>0</v>
          </cell>
          <cell r="AF20">
            <v>3135.2690000000002</v>
          </cell>
          <cell r="AG20">
            <v>3267.640151515152</v>
          </cell>
          <cell r="AH20">
            <v>3267.640151515152</v>
          </cell>
          <cell r="AI20">
            <v>3267.640151515152</v>
          </cell>
        </row>
        <row r="21">
          <cell r="O21" t="str">
            <v>MP0016</v>
          </cell>
          <cell r="X21">
            <v>3806.3009999999999</v>
          </cell>
          <cell r="Y21">
            <v>0</v>
          </cell>
          <cell r="Z21">
            <v>4179.357</v>
          </cell>
          <cell r="AA21">
            <v>0</v>
          </cell>
          <cell r="AB21">
            <v>1436.0419999999999</v>
          </cell>
          <cell r="AC21">
            <v>0</v>
          </cell>
          <cell r="AD21">
            <v>2969.5660000000003</v>
          </cell>
          <cell r="AE21">
            <v>0</v>
          </cell>
          <cell r="AF21">
            <v>3135.2690000000002</v>
          </cell>
          <cell r="AG21">
            <v>3267.640151515152</v>
          </cell>
          <cell r="AH21">
            <v>3267.640151515152</v>
          </cell>
          <cell r="AI21">
            <v>3267.640151515152</v>
          </cell>
        </row>
        <row r="22">
          <cell r="O22" t="str">
            <v>MP0001</v>
          </cell>
          <cell r="X22">
            <v>2555.1395833333336</v>
          </cell>
          <cell r="Y22">
            <v>5672.4197916666672</v>
          </cell>
          <cell r="Z22">
            <v>10302.060416666667</v>
          </cell>
          <cell r="AA22">
            <v>862.04270833333339</v>
          </cell>
          <cell r="AB22">
            <v>3654.0406250000001</v>
          </cell>
          <cell r="AC22">
            <v>3171.5906250000007</v>
          </cell>
          <cell r="AD22">
            <v>3914.3218750000001</v>
          </cell>
          <cell r="AE22">
            <v>5112.75</v>
          </cell>
          <cell r="AF22">
            <v>811.93229166666674</v>
          </cell>
          <cell r="AG22">
            <v>4209.9530460858596</v>
          </cell>
          <cell r="AH22">
            <v>4209.9530460858596</v>
          </cell>
          <cell r="AI22">
            <v>4209.9530460858596</v>
          </cell>
        </row>
        <row r="23">
          <cell r="O23" t="str">
            <v>MP0004</v>
          </cell>
          <cell r="X23">
            <v>251180.44160000002</v>
          </cell>
          <cell r="Y23">
            <v>557621.55520000006</v>
          </cell>
          <cell r="Z23">
            <v>1012733.7472</v>
          </cell>
          <cell r="AA23">
            <v>84742.246400000004</v>
          </cell>
          <cell r="AB23">
            <v>359206.80960000004</v>
          </cell>
          <cell r="AC23">
            <v>311780.04480000003</v>
          </cell>
          <cell r="AD23">
            <v>384793.4976</v>
          </cell>
          <cell r="AE23">
            <v>502603.77600000001</v>
          </cell>
          <cell r="AF23">
            <v>79816.19200000001</v>
          </cell>
          <cell r="AG23">
            <v>413855.2242424243</v>
          </cell>
          <cell r="AH23">
            <v>413855.2242424243</v>
          </cell>
          <cell r="AI23">
            <v>413855.2242424243</v>
          </cell>
        </row>
        <row r="24">
          <cell r="O24" t="str">
            <v>MP0005</v>
          </cell>
          <cell r="X24">
            <v>95664.426000000007</v>
          </cell>
          <cell r="Y24">
            <v>212375.397</v>
          </cell>
          <cell r="Z24">
            <v>385709.14199999999</v>
          </cell>
          <cell r="AA24">
            <v>32274.879000000001</v>
          </cell>
          <cell r="AB24">
            <v>136807.28099999999</v>
          </cell>
          <cell r="AC24">
            <v>118744.35300000002</v>
          </cell>
          <cell r="AD24">
            <v>146552.21099999998</v>
          </cell>
          <cell r="AE24">
            <v>191421.36</v>
          </cell>
          <cell r="AF24">
            <v>30398.745000000003</v>
          </cell>
          <cell r="AG24">
            <v>157620.64204545456</v>
          </cell>
          <cell r="AH24">
            <v>157620.64204545456</v>
          </cell>
          <cell r="AI24">
            <v>157620.64204545456</v>
          </cell>
        </row>
        <row r="25">
          <cell r="O25" t="str">
            <v>MP0006</v>
          </cell>
          <cell r="X25">
            <v>3679.4010000000003</v>
          </cell>
          <cell r="Y25">
            <v>8168.2844999999998</v>
          </cell>
          <cell r="Z25">
            <v>14834.966999999999</v>
          </cell>
          <cell r="AA25">
            <v>1241.3415</v>
          </cell>
          <cell r="AB25">
            <v>5261.8184999999994</v>
          </cell>
          <cell r="AC25">
            <v>4567.0905000000002</v>
          </cell>
          <cell r="AD25">
            <v>5636.6234999999997</v>
          </cell>
          <cell r="AE25">
            <v>7362.36</v>
          </cell>
          <cell r="AF25">
            <v>1169.1825000000001</v>
          </cell>
          <cell r="AG25">
            <v>6062.3323863636369</v>
          </cell>
          <cell r="AH25">
            <v>6062.3323863636369</v>
          </cell>
          <cell r="AI25">
            <v>6062.3323863636369</v>
          </cell>
        </row>
        <row r="26">
          <cell r="O26" t="str">
            <v>MP0007</v>
          </cell>
          <cell r="X26">
            <v>62795.110400000005</v>
          </cell>
          <cell r="Y26">
            <v>139405.38880000002</v>
          </cell>
          <cell r="Z26">
            <v>253183.4368</v>
          </cell>
          <cell r="AA26">
            <v>21185.561600000001</v>
          </cell>
          <cell r="AB26">
            <v>89801.702400000009</v>
          </cell>
          <cell r="AC26">
            <v>77945.011200000008</v>
          </cell>
          <cell r="AD26">
            <v>96198.374400000001</v>
          </cell>
          <cell r="AE26">
            <v>125650.944</v>
          </cell>
          <cell r="AF26">
            <v>19954.048000000003</v>
          </cell>
          <cell r="AG26">
            <v>103463.80606060608</v>
          </cell>
          <cell r="AH26">
            <v>103463.80606060608</v>
          </cell>
          <cell r="AI26">
            <v>103463.80606060608</v>
          </cell>
        </row>
        <row r="27">
          <cell r="O27" t="str">
            <v>MP0008</v>
          </cell>
          <cell r="X27">
            <v>2452.9340000000002</v>
          </cell>
          <cell r="Y27">
            <v>5445.5230000000001</v>
          </cell>
          <cell r="Z27">
            <v>9889.9779999999992</v>
          </cell>
          <cell r="AA27">
            <v>827.56100000000004</v>
          </cell>
          <cell r="AB27">
            <v>3507.8789999999999</v>
          </cell>
          <cell r="AC27">
            <v>3044.7270000000003</v>
          </cell>
          <cell r="AD27">
            <v>3757.7489999999998</v>
          </cell>
          <cell r="AE27">
            <v>4908.24</v>
          </cell>
          <cell r="AF27">
            <v>779.45500000000004</v>
          </cell>
          <cell r="AG27">
            <v>4041.5549242424245</v>
          </cell>
          <cell r="AH27">
            <v>4041.5549242424245</v>
          </cell>
          <cell r="AI27">
            <v>4041.5549242424245</v>
          </cell>
        </row>
        <row r="28">
          <cell r="O28" t="str">
            <v>MP0009</v>
          </cell>
          <cell r="X28">
            <v>2452.9340000000002</v>
          </cell>
          <cell r="Y28">
            <v>5445.5230000000001</v>
          </cell>
          <cell r="Z28">
            <v>9889.9779999999992</v>
          </cell>
          <cell r="AA28">
            <v>827.56100000000004</v>
          </cell>
          <cell r="AB28">
            <v>3507.8789999999999</v>
          </cell>
          <cell r="AC28">
            <v>3044.7270000000003</v>
          </cell>
          <cell r="AD28">
            <v>3757.7489999999998</v>
          </cell>
          <cell r="AE28">
            <v>4908.24</v>
          </cell>
          <cell r="AF28">
            <v>779.45500000000004</v>
          </cell>
          <cell r="AG28">
            <v>4041.5549242424245</v>
          </cell>
          <cell r="AH28">
            <v>4041.5549242424245</v>
          </cell>
          <cell r="AI28">
            <v>4041.5549242424245</v>
          </cell>
        </row>
        <row r="29">
          <cell r="O29" t="str">
            <v>MP0010</v>
          </cell>
          <cell r="X29">
            <v>2452.9340000000002</v>
          </cell>
          <cell r="Y29">
            <v>5445.5230000000001</v>
          </cell>
          <cell r="Z29">
            <v>9889.9779999999992</v>
          </cell>
          <cell r="AA29">
            <v>827.56100000000004</v>
          </cell>
          <cell r="AB29">
            <v>3507.8789999999999</v>
          </cell>
          <cell r="AC29">
            <v>3044.7270000000003</v>
          </cell>
          <cell r="AD29">
            <v>3757.7489999999998</v>
          </cell>
          <cell r="AE29">
            <v>4908.24</v>
          </cell>
          <cell r="AF29">
            <v>779.45500000000004</v>
          </cell>
          <cell r="AG29">
            <v>4041.5549242424245</v>
          </cell>
          <cell r="AH29">
            <v>4041.5549242424245</v>
          </cell>
          <cell r="AI29">
            <v>4041.5549242424245</v>
          </cell>
        </row>
        <row r="30">
          <cell r="O30" t="str">
            <v>MP0011</v>
          </cell>
          <cell r="X30">
            <v>2452.9340000000002</v>
          </cell>
          <cell r="Y30">
            <v>5445.5230000000001</v>
          </cell>
          <cell r="Z30">
            <v>9889.9779999999992</v>
          </cell>
          <cell r="AA30">
            <v>827.56100000000004</v>
          </cell>
          <cell r="AB30">
            <v>3507.8789999999999</v>
          </cell>
          <cell r="AC30">
            <v>3044.7270000000003</v>
          </cell>
          <cell r="AD30">
            <v>3757.7489999999998</v>
          </cell>
          <cell r="AE30">
            <v>4908.24</v>
          </cell>
          <cell r="AF30">
            <v>779.45500000000004</v>
          </cell>
          <cell r="AG30">
            <v>4041.5549242424245</v>
          </cell>
          <cell r="AH30">
            <v>4041.5549242424245</v>
          </cell>
          <cell r="AI30">
            <v>4041.5549242424245</v>
          </cell>
        </row>
        <row r="31">
          <cell r="O31" t="str">
            <v>MP0012</v>
          </cell>
          <cell r="X31">
            <v>2452.9340000000002</v>
          </cell>
          <cell r="Y31">
            <v>5445.5230000000001</v>
          </cell>
          <cell r="Z31">
            <v>9889.9779999999992</v>
          </cell>
          <cell r="AA31">
            <v>827.56100000000004</v>
          </cell>
          <cell r="AB31">
            <v>3507.8789999999999</v>
          </cell>
          <cell r="AC31">
            <v>3044.7270000000003</v>
          </cell>
          <cell r="AD31">
            <v>3757.7489999999998</v>
          </cell>
          <cell r="AE31">
            <v>4908.24</v>
          </cell>
          <cell r="AF31">
            <v>779.45500000000004</v>
          </cell>
          <cell r="AG31">
            <v>4041.5549242424245</v>
          </cell>
          <cell r="AH31">
            <v>4041.5549242424245</v>
          </cell>
          <cell r="AI31">
            <v>4041.5549242424245</v>
          </cell>
        </row>
        <row r="32">
          <cell r="O32" t="str">
            <v>MP0013</v>
          </cell>
          <cell r="X32">
            <v>2452.9340000000002</v>
          </cell>
          <cell r="Y32">
            <v>5445.5230000000001</v>
          </cell>
          <cell r="Z32">
            <v>9889.9779999999992</v>
          </cell>
          <cell r="AA32">
            <v>827.56100000000004</v>
          </cell>
          <cell r="AB32">
            <v>3507.8789999999999</v>
          </cell>
          <cell r="AC32">
            <v>3044.7270000000003</v>
          </cell>
          <cell r="AD32">
            <v>3757.7489999999998</v>
          </cell>
          <cell r="AE32">
            <v>4908.24</v>
          </cell>
          <cell r="AF32">
            <v>779.45500000000004</v>
          </cell>
          <cell r="AG32">
            <v>4041.5549242424245</v>
          </cell>
          <cell r="AH32">
            <v>4041.5549242424245</v>
          </cell>
          <cell r="AI32">
            <v>4041.5549242424245</v>
          </cell>
        </row>
        <row r="33">
          <cell r="O33" t="str">
            <v>MP0014</v>
          </cell>
          <cell r="X33">
            <v>2452.9340000000002</v>
          </cell>
          <cell r="Y33">
            <v>5445.5230000000001</v>
          </cell>
          <cell r="Z33">
            <v>9889.9779999999992</v>
          </cell>
          <cell r="AA33">
            <v>827.56100000000004</v>
          </cell>
          <cell r="AB33">
            <v>3507.8789999999999</v>
          </cell>
          <cell r="AC33">
            <v>3044.7270000000003</v>
          </cell>
          <cell r="AD33">
            <v>3757.7489999999998</v>
          </cell>
          <cell r="AE33">
            <v>4908.24</v>
          </cell>
          <cell r="AF33">
            <v>779.45500000000004</v>
          </cell>
          <cell r="AG33">
            <v>4041.5549242424245</v>
          </cell>
          <cell r="AH33">
            <v>4041.5549242424245</v>
          </cell>
          <cell r="AI33">
            <v>4041.5549242424245</v>
          </cell>
        </row>
        <row r="34">
          <cell r="O34" t="str">
            <v>MP0015</v>
          </cell>
          <cell r="X34">
            <v>2452.9340000000002</v>
          </cell>
          <cell r="Y34">
            <v>5445.5230000000001</v>
          </cell>
          <cell r="Z34">
            <v>9889.9779999999992</v>
          </cell>
          <cell r="AA34">
            <v>827.56100000000004</v>
          </cell>
          <cell r="AB34">
            <v>3507.8789999999999</v>
          </cell>
          <cell r="AC34">
            <v>3044.7270000000003</v>
          </cell>
          <cell r="AD34">
            <v>3757.7489999999998</v>
          </cell>
          <cell r="AE34">
            <v>4908.24</v>
          </cell>
          <cell r="AF34">
            <v>779.45500000000004</v>
          </cell>
          <cell r="AG34">
            <v>4041.5549242424245</v>
          </cell>
          <cell r="AH34">
            <v>4041.5549242424245</v>
          </cell>
          <cell r="AI34">
            <v>4041.5549242424245</v>
          </cell>
        </row>
        <row r="35">
          <cell r="O35" t="str">
            <v>MP0016</v>
          </cell>
          <cell r="X35">
            <v>2452.9340000000002</v>
          </cell>
          <cell r="Y35">
            <v>5445.5230000000001</v>
          </cell>
          <cell r="Z35">
            <v>9889.9779999999992</v>
          </cell>
          <cell r="AA35">
            <v>827.56100000000004</v>
          </cell>
          <cell r="AB35">
            <v>3507.8789999999999</v>
          </cell>
          <cell r="AC35">
            <v>3044.7270000000003</v>
          </cell>
          <cell r="AD35">
            <v>3757.7489999999998</v>
          </cell>
          <cell r="AE35">
            <v>4908.24</v>
          </cell>
          <cell r="AF35">
            <v>779.45500000000004</v>
          </cell>
          <cell r="AG35">
            <v>4041.5549242424245</v>
          </cell>
          <cell r="AH35">
            <v>4041.5549242424245</v>
          </cell>
          <cell r="AI35">
            <v>4041.5549242424245</v>
          </cell>
        </row>
        <row r="36">
          <cell r="O36" t="str">
            <v>MP0001</v>
          </cell>
          <cell r="X36">
            <v>0</v>
          </cell>
          <cell r="Y36">
            <v>5796.0625000000009</v>
          </cell>
          <cell r="Z36">
            <v>7430.9822916666672</v>
          </cell>
          <cell r="AA36">
            <v>5793.6520833333334</v>
          </cell>
          <cell r="AB36">
            <v>7070.6760416666675</v>
          </cell>
          <cell r="AC36">
            <v>3024.3760416666669</v>
          </cell>
          <cell r="AD36">
            <v>1828.9375000000002</v>
          </cell>
          <cell r="AE36">
            <v>0</v>
          </cell>
          <cell r="AF36">
            <v>4857.5708333333341</v>
          </cell>
          <cell r="AG36">
            <v>3493.3652935606065</v>
          </cell>
          <cell r="AH36">
            <v>3493.3652935606065</v>
          </cell>
          <cell r="AI36">
            <v>3493.3652935606065</v>
          </cell>
        </row>
        <row r="37">
          <cell r="O37" t="str">
            <v>MP0004</v>
          </cell>
          <cell r="X37">
            <v>0</v>
          </cell>
          <cell r="Y37">
            <v>569776.12800000003</v>
          </cell>
          <cell r="Z37">
            <v>730495.28320000006</v>
          </cell>
          <cell r="AA37">
            <v>569539.17440000002</v>
          </cell>
          <cell r="AB37">
            <v>695075.73760000011</v>
          </cell>
          <cell r="AC37">
            <v>297308.26240000001</v>
          </cell>
          <cell r="AD37">
            <v>179791.87200000003</v>
          </cell>
          <cell r="AE37">
            <v>0</v>
          </cell>
          <cell r="AF37">
            <v>477518.64320000005</v>
          </cell>
          <cell r="AG37">
            <v>343411.78181818186</v>
          </cell>
          <cell r="AH37">
            <v>343411.78181818186</v>
          </cell>
          <cell r="AI37">
            <v>343411.78181818186</v>
          </cell>
        </row>
        <row r="38">
          <cell r="O38" t="str">
            <v>MP0005</v>
          </cell>
          <cell r="X38">
            <v>0</v>
          </cell>
          <cell r="Y38">
            <v>217004.58000000002</v>
          </cell>
          <cell r="Z38">
            <v>278215.97700000001</v>
          </cell>
          <cell r="AA38">
            <v>216914.334</v>
          </cell>
          <cell r="AB38">
            <v>264726.11100000003</v>
          </cell>
          <cell r="AC38">
            <v>113232.639</v>
          </cell>
          <cell r="AD38">
            <v>68475.420000000013</v>
          </cell>
          <cell r="AE38">
            <v>0</v>
          </cell>
          <cell r="AF38">
            <v>181867.45199999999</v>
          </cell>
          <cell r="AG38">
            <v>130791.5965909091</v>
          </cell>
          <cell r="AH38">
            <v>130791.5965909091</v>
          </cell>
          <cell r="AI38">
            <v>130791.5965909091</v>
          </cell>
        </row>
        <row r="39">
          <cell r="O39" t="str">
            <v>MP0006</v>
          </cell>
          <cell r="X39">
            <v>0</v>
          </cell>
          <cell r="Y39">
            <v>8346.33</v>
          </cell>
          <cell r="Z39">
            <v>10700.6145</v>
          </cell>
          <cell r="AA39">
            <v>8342.8590000000004</v>
          </cell>
          <cell r="AB39">
            <v>10181.773499999999</v>
          </cell>
          <cell r="AC39">
            <v>4355.1014999999998</v>
          </cell>
          <cell r="AD39">
            <v>2633.67</v>
          </cell>
          <cell r="AE39">
            <v>0</v>
          </cell>
          <cell r="AF39">
            <v>6994.902</v>
          </cell>
          <cell r="AG39">
            <v>5030.446022727273</v>
          </cell>
          <cell r="AH39">
            <v>5030.446022727273</v>
          </cell>
          <cell r="AI39">
            <v>5030.446022727273</v>
          </cell>
        </row>
        <row r="40">
          <cell r="O40" t="str">
            <v>MP0007</v>
          </cell>
          <cell r="X40">
            <v>0</v>
          </cell>
          <cell r="Y40">
            <v>142444.03200000001</v>
          </cell>
          <cell r="Z40">
            <v>182623.82080000002</v>
          </cell>
          <cell r="AA40">
            <v>142384.7936</v>
          </cell>
          <cell r="AB40">
            <v>173768.93440000003</v>
          </cell>
          <cell r="AC40">
            <v>74327.065600000002</v>
          </cell>
          <cell r="AD40">
            <v>44947.968000000008</v>
          </cell>
          <cell r="AE40">
            <v>0</v>
          </cell>
          <cell r="AF40">
            <v>119379.66080000001</v>
          </cell>
          <cell r="AG40">
            <v>85852.945454545465</v>
          </cell>
          <cell r="AH40">
            <v>85852.945454545465</v>
          </cell>
          <cell r="AI40">
            <v>85852.945454545465</v>
          </cell>
        </row>
        <row r="41">
          <cell r="O41" t="str">
            <v>MP0008</v>
          </cell>
          <cell r="X41">
            <v>0</v>
          </cell>
          <cell r="Y41">
            <v>5564.22</v>
          </cell>
          <cell r="Z41">
            <v>7133.7430000000004</v>
          </cell>
          <cell r="AA41">
            <v>5561.9059999999999</v>
          </cell>
          <cell r="AB41">
            <v>6787.8490000000002</v>
          </cell>
          <cell r="AC41">
            <v>2903.4009999999998</v>
          </cell>
          <cell r="AD41">
            <v>1755.7800000000002</v>
          </cell>
          <cell r="AE41">
            <v>0</v>
          </cell>
          <cell r="AF41">
            <v>4663.268</v>
          </cell>
          <cell r="AG41">
            <v>3353.630681818182</v>
          </cell>
          <cell r="AH41">
            <v>3353.630681818182</v>
          </cell>
          <cell r="AI41">
            <v>3353.630681818182</v>
          </cell>
        </row>
        <row r="42">
          <cell r="O42" t="str">
            <v>MP0009</v>
          </cell>
          <cell r="X42">
            <v>0</v>
          </cell>
          <cell r="Y42">
            <v>5564.22</v>
          </cell>
          <cell r="Z42">
            <v>7133.7430000000004</v>
          </cell>
          <cell r="AA42">
            <v>5561.9059999999999</v>
          </cell>
          <cell r="AB42">
            <v>6787.8490000000002</v>
          </cell>
          <cell r="AC42">
            <v>2903.4009999999998</v>
          </cell>
          <cell r="AD42">
            <v>1755.7800000000002</v>
          </cell>
          <cell r="AE42">
            <v>0</v>
          </cell>
          <cell r="AF42">
            <v>4663.268</v>
          </cell>
          <cell r="AG42">
            <v>3353.630681818182</v>
          </cell>
          <cell r="AH42">
            <v>3353.630681818182</v>
          </cell>
          <cell r="AI42">
            <v>3353.630681818182</v>
          </cell>
        </row>
        <row r="43">
          <cell r="O43" t="str">
            <v>MP0010</v>
          </cell>
          <cell r="X43">
            <v>0</v>
          </cell>
          <cell r="Y43">
            <v>5564.22</v>
          </cell>
          <cell r="Z43">
            <v>7133.7430000000004</v>
          </cell>
          <cell r="AA43">
            <v>5561.9059999999999</v>
          </cell>
          <cell r="AB43">
            <v>6787.8490000000002</v>
          </cell>
          <cell r="AC43">
            <v>2903.4009999999998</v>
          </cell>
          <cell r="AD43">
            <v>1755.7800000000002</v>
          </cell>
          <cell r="AE43">
            <v>0</v>
          </cell>
          <cell r="AF43">
            <v>4663.268</v>
          </cell>
          <cell r="AG43">
            <v>3353.630681818182</v>
          </cell>
          <cell r="AH43">
            <v>3353.630681818182</v>
          </cell>
          <cell r="AI43">
            <v>3353.630681818182</v>
          </cell>
        </row>
        <row r="44">
          <cell r="O44" t="str">
            <v>MP0011</v>
          </cell>
          <cell r="X44">
            <v>0</v>
          </cell>
          <cell r="Y44">
            <v>5564.22</v>
          </cell>
          <cell r="Z44">
            <v>7133.7430000000004</v>
          </cell>
          <cell r="AA44">
            <v>5561.9059999999999</v>
          </cell>
          <cell r="AB44">
            <v>6787.8490000000002</v>
          </cell>
          <cell r="AC44">
            <v>2903.4009999999998</v>
          </cell>
          <cell r="AD44">
            <v>1755.7800000000002</v>
          </cell>
          <cell r="AE44">
            <v>0</v>
          </cell>
          <cell r="AF44">
            <v>4663.268</v>
          </cell>
          <cell r="AG44">
            <v>3353.630681818182</v>
          </cell>
          <cell r="AH44">
            <v>3353.630681818182</v>
          </cell>
          <cell r="AI44">
            <v>3353.630681818182</v>
          </cell>
        </row>
        <row r="45">
          <cell r="O45" t="str">
            <v>MP0012</v>
          </cell>
          <cell r="X45">
            <v>0</v>
          </cell>
          <cell r="Y45">
            <v>5564.22</v>
          </cell>
          <cell r="Z45">
            <v>7133.7430000000004</v>
          </cell>
          <cell r="AA45">
            <v>5561.9059999999999</v>
          </cell>
          <cell r="AB45">
            <v>6787.8490000000002</v>
          </cell>
          <cell r="AC45">
            <v>2903.4009999999998</v>
          </cell>
          <cell r="AD45">
            <v>1755.7800000000002</v>
          </cell>
          <cell r="AE45">
            <v>0</v>
          </cell>
          <cell r="AF45">
            <v>4663.268</v>
          </cell>
          <cell r="AG45">
            <v>3353.630681818182</v>
          </cell>
          <cell r="AH45">
            <v>3353.630681818182</v>
          </cell>
          <cell r="AI45">
            <v>3353.630681818182</v>
          </cell>
        </row>
        <row r="46">
          <cell r="O46" t="str">
            <v>MP0013</v>
          </cell>
          <cell r="X46">
            <v>0</v>
          </cell>
          <cell r="Y46">
            <v>5564.22</v>
          </cell>
          <cell r="Z46">
            <v>7133.7430000000004</v>
          </cell>
          <cell r="AA46">
            <v>5561.9059999999999</v>
          </cell>
          <cell r="AB46">
            <v>6787.8490000000002</v>
          </cell>
          <cell r="AC46">
            <v>2903.4009999999998</v>
          </cell>
          <cell r="AD46">
            <v>1755.7800000000002</v>
          </cell>
          <cell r="AE46">
            <v>0</v>
          </cell>
          <cell r="AF46">
            <v>4663.268</v>
          </cell>
          <cell r="AG46">
            <v>3353.630681818182</v>
          </cell>
          <cell r="AH46">
            <v>3353.630681818182</v>
          </cell>
          <cell r="AI46">
            <v>3353.630681818182</v>
          </cell>
        </row>
        <row r="47">
          <cell r="O47" t="str">
            <v>MP0014</v>
          </cell>
          <cell r="X47">
            <v>0</v>
          </cell>
          <cell r="Y47">
            <v>5564.22</v>
          </cell>
          <cell r="Z47">
            <v>7133.7430000000004</v>
          </cell>
          <cell r="AA47">
            <v>5561.9059999999999</v>
          </cell>
          <cell r="AB47">
            <v>6787.8490000000002</v>
          </cell>
          <cell r="AC47">
            <v>2903.4009999999998</v>
          </cell>
          <cell r="AD47">
            <v>1755.7800000000002</v>
          </cell>
          <cell r="AE47">
            <v>0</v>
          </cell>
          <cell r="AF47">
            <v>4663.268</v>
          </cell>
          <cell r="AG47">
            <v>3353.630681818182</v>
          </cell>
          <cell r="AH47">
            <v>3353.630681818182</v>
          </cell>
          <cell r="AI47">
            <v>3353.630681818182</v>
          </cell>
        </row>
        <row r="48">
          <cell r="O48" t="str">
            <v>MP0015</v>
          </cell>
          <cell r="X48">
            <v>0</v>
          </cell>
          <cell r="Y48">
            <v>5564.22</v>
          </cell>
          <cell r="Z48">
            <v>7133.7430000000004</v>
          </cell>
          <cell r="AA48">
            <v>5561.9059999999999</v>
          </cell>
          <cell r="AB48">
            <v>6787.8490000000002</v>
          </cell>
          <cell r="AC48">
            <v>2903.4009999999998</v>
          </cell>
          <cell r="AD48">
            <v>1755.7800000000002</v>
          </cell>
          <cell r="AE48">
            <v>0</v>
          </cell>
          <cell r="AF48">
            <v>4663.268</v>
          </cell>
          <cell r="AG48">
            <v>3353.630681818182</v>
          </cell>
          <cell r="AH48">
            <v>3353.630681818182</v>
          </cell>
          <cell r="AI48">
            <v>3353.630681818182</v>
          </cell>
        </row>
        <row r="49">
          <cell r="O49" t="str">
            <v>MP0016</v>
          </cell>
          <cell r="X49">
            <v>0</v>
          </cell>
          <cell r="Y49">
            <v>5564.22</v>
          </cell>
          <cell r="Z49">
            <v>7133.7430000000004</v>
          </cell>
          <cell r="AA49">
            <v>5561.9059999999999</v>
          </cell>
          <cell r="AB49">
            <v>6787.8490000000002</v>
          </cell>
          <cell r="AC49">
            <v>2903.4009999999998</v>
          </cell>
          <cell r="AD49">
            <v>1755.7800000000002</v>
          </cell>
          <cell r="AE49">
            <v>0</v>
          </cell>
          <cell r="AF49">
            <v>4663.268</v>
          </cell>
          <cell r="AG49">
            <v>3353.630681818182</v>
          </cell>
          <cell r="AH49">
            <v>3353.630681818182</v>
          </cell>
          <cell r="AI49">
            <v>3353.630681818182</v>
          </cell>
        </row>
        <row r="50">
          <cell r="O50" t="str">
            <v>MP0001</v>
          </cell>
          <cell r="X50">
            <v>2996.8500000000004</v>
          </cell>
          <cell r="Y50">
            <v>5068.4583333333339</v>
          </cell>
          <cell r="Z50">
            <v>0</v>
          </cell>
          <cell r="AA50">
            <v>3780.3260416666667</v>
          </cell>
          <cell r="AB50">
            <v>0</v>
          </cell>
          <cell r="AC50">
            <v>1966.6302083333335</v>
          </cell>
          <cell r="AD50">
            <v>0</v>
          </cell>
          <cell r="AE50">
            <v>2261.2989583333338</v>
          </cell>
          <cell r="AF50">
            <v>3899.3229166666665</v>
          </cell>
          <cell r="AG50">
            <v>1881.0428503787882</v>
          </cell>
          <cell r="AH50">
            <v>1881.0428503787882</v>
          </cell>
          <cell r="AI50">
            <v>1881.0428503787882</v>
          </cell>
        </row>
        <row r="51">
          <cell r="O51" t="str">
            <v>MP0004</v>
          </cell>
          <cell r="X51">
            <v>294602.34240000002</v>
          </cell>
          <cell r="Y51">
            <v>498249.72800000006</v>
          </cell>
          <cell r="Z51">
            <v>0</v>
          </cell>
          <cell r="AA51">
            <v>371621.17119999998</v>
          </cell>
          <cell r="AB51">
            <v>0</v>
          </cell>
          <cell r="AC51">
            <v>193327.61600000001</v>
          </cell>
          <cell r="AD51">
            <v>0</v>
          </cell>
          <cell r="AE51">
            <v>222294.73280000003</v>
          </cell>
          <cell r="AF51">
            <v>383319.03999999998</v>
          </cell>
          <cell r="AG51">
            <v>184914.03636363638</v>
          </cell>
          <cell r="AH51">
            <v>184914.03636363638</v>
          </cell>
          <cell r="AI51">
            <v>184914.03636363638</v>
          </cell>
        </row>
        <row r="52">
          <cell r="O52" t="str">
            <v>MP0005</v>
          </cell>
          <cell r="X52">
            <v>112202.064</v>
          </cell>
          <cell r="Y52">
            <v>189763.08000000002</v>
          </cell>
          <cell r="Z52">
            <v>0</v>
          </cell>
          <cell r="AA52">
            <v>141535.40700000001</v>
          </cell>
          <cell r="AB52">
            <v>0</v>
          </cell>
          <cell r="AC52">
            <v>73630.634999999995</v>
          </cell>
          <cell r="AD52">
            <v>0</v>
          </cell>
          <cell r="AE52">
            <v>84663.03300000001</v>
          </cell>
          <cell r="AF52">
            <v>145990.64999999997</v>
          </cell>
          <cell r="AG52">
            <v>70426.244318181823</v>
          </cell>
          <cell r="AH52">
            <v>70426.244318181823</v>
          </cell>
          <cell r="AI52">
            <v>70426.244318181823</v>
          </cell>
        </row>
        <row r="53">
          <cell r="O53" t="str">
            <v>MP0006</v>
          </cell>
          <cell r="X53">
            <v>4315.4639999999999</v>
          </cell>
          <cell r="Y53">
            <v>7298.58</v>
          </cell>
          <cell r="Z53">
            <v>0</v>
          </cell>
          <cell r="AA53">
            <v>5443.6695</v>
          </cell>
          <cell r="AB53">
            <v>0</v>
          </cell>
          <cell r="AC53">
            <v>2831.9474999999998</v>
          </cell>
          <cell r="AD53">
            <v>0</v>
          </cell>
          <cell r="AE53">
            <v>3256.2705000000005</v>
          </cell>
          <cell r="AF53">
            <v>5615.0249999999996</v>
          </cell>
          <cell r="AG53">
            <v>2708.701704545455</v>
          </cell>
          <cell r="AH53">
            <v>2708.701704545455</v>
          </cell>
          <cell r="AI53">
            <v>2708.701704545455</v>
          </cell>
        </row>
        <row r="54">
          <cell r="O54" t="str">
            <v>MP0007</v>
          </cell>
          <cell r="X54">
            <v>73650.585600000006</v>
          </cell>
          <cell r="Y54">
            <v>124562.43200000002</v>
          </cell>
          <cell r="Z54">
            <v>0</v>
          </cell>
          <cell r="AA54">
            <v>92905.292799999996</v>
          </cell>
          <cell r="AB54">
            <v>0</v>
          </cell>
          <cell r="AC54">
            <v>48331.904000000002</v>
          </cell>
          <cell r="AD54">
            <v>0</v>
          </cell>
          <cell r="AE54">
            <v>55573.683200000007</v>
          </cell>
          <cell r="AF54">
            <v>95829.759999999995</v>
          </cell>
          <cell r="AG54">
            <v>46228.509090909094</v>
          </cell>
          <cell r="AH54">
            <v>46228.509090909094</v>
          </cell>
          <cell r="AI54">
            <v>46228.509090909094</v>
          </cell>
        </row>
        <row r="55">
          <cell r="O55" t="str">
            <v>MP0008</v>
          </cell>
          <cell r="X55">
            <v>2876.9760000000001</v>
          </cell>
          <cell r="Y55">
            <v>4865.72</v>
          </cell>
          <cell r="Z55">
            <v>0</v>
          </cell>
          <cell r="AA55">
            <v>3629.1129999999998</v>
          </cell>
          <cell r="AB55">
            <v>0</v>
          </cell>
          <cell r="AC55">
            <v>1887.9649999999999</v>
          </cell>
          <cell r="AD55">
            <v>0</v>
          </cell>
          <cell r="AE55">
            <v>2170.8470000000002</v>
          </cell>
          <cell r="AF55">
            <v>3743.3499999999995</v>
          </cell>
          <cell r="AG55">
            <v>1805.8011363636365</v>
          </cell>
          <cell r="AH55">
            <v>1805.8011363636365</v>
          </cell>
          <cell r="AI55">
            <v>1805.8011363636365</v>
          </cell>
        </row>
        <row r="56">
          <cell r="O56" t="str">
            <v>MP0009</v>
          </cell>
          <cell r="X56">
            <v>2876.9760000000001</v>
          </cell>
          <cell r="Y56">
            <v>4865.72</v>
          </cell>
          <cell r="Z56">
            <v>0</v>
          </cell>
          <cell r="AA56">
            <v>3629.1129999999998</v>
          </cell>
          <cell r="AB56">
            <v>0</v>
          </cell>
          <cell r="AC56">
            <v>1887.9649999999999</v>
          </cell>
          <cell r="AD56">
            <v>0</v>
          </cell>
          <cell r="AE56">
            <v>2170.8470000000002</v>
          </cell>
          <cell r="AF56">
            <v>3743.3499999999995</v>
          </cell>
          <cell r="AG56">
            <v>1805.8011363636365</v>
          </cell>
          <cell r="AH56">
            <v>1805.8011363636365</v>
          </cell>
          <cell r="AI56">
            <v>1805.8011363636365</v>
          </cell>
        </row>
        <row r="57">
          <cell r="O57" t="str">
            <v>MP0010</v>
          </cell>
          <cell r="X57">
            <v>2876.9760000000001</v>
          </cell>
          <cell r="Y57">
            <v>4865.72</v>
          </cell>
          <cell r="Z57">
            <v>0</v>
          </cell>
          <cell r="AA57">
            <v>3629.1129999999998</v>
          </cell>
          <cell r="AB57">
            <v>0</v>
          </cell>
          <cell r="AC57">
            <v>1887.9649999999999</v>
          </cell>
          <cell r="AD57">
            <v>0</v>
          </cell>
          <cell r="AE57">
            <v>2170.8470000000002</v>
          </cell>
          <cell r="AF57">
            <v>3743.3499999999995</v>
          </cell>
          <cell r="AG57">
            <v>1805.8011363636365</v>
          </cell>
          <cell r="AH57">
            <v>1805.8011363636365</v>
          </cell>
          <cell r="AI57">
            <v>1805.8011363636365</v>
          </cell>
        </row>
        <row r="58">
          <cell r="O58" t="str">
            <v>MP0011</v>
          </cell>
          <cell r="X58">
            <v>2876.9760000000001</v>
          </cell>
          <cell r="Y58">
            <v>4865.72</v>
          </cell>
          <cell r="Z58">
            <v>0</v>
          </cell>
          <cell r="AA58">
            <v>3629.1129999999998</v>
          </cell>
          <cell r="AB58">
            <v>0</v>
          </cell>
          <cell r="AC58">
            <v>1887.9649999999999</v>
          </cell>
          <cell r="AD58">
            <v>0</v>
          </cell>
          <cell r="AE58">
            <v>2170.8470000000002</v>
          </cell>
          <cell r="AF58">
            <v>3743.3499999999995</v>
          </cell>
          <cell r="AG58">
            <v>1805.8011363636365</v>
          </cell>
          <cell r="AH58">
            <v>1805.8011363636365</v>
          </cell>
          <cell r="AI58">
            <v>1805.8011363636365</v>
          </cell>
        </row>
        <row r="59">
          <cell r="O59" t="str">
            <v>MP0012</v>
          </cell>
          <cell r="X59">
            <v>2876.9760000000001</v>
          </cell>
          <cell r="Y59">
            <v>4865.72</v>
          </cell>
          <cell r="Z59">
            <v>0</v>
          </cell>
          <cell r="AA59">
            <v>3629.1129999999998</v>
          </cell>
          <cell r="AB59">
            <v>0</v>
          </cell>
          <cell r="AC59">
            <v>1887.9649999999999</v>
          </cell>
          <cell r="AD59">
            <v>0</v>
          </cell>
          <cell r="AE59">
            <v>2170.8470000000002</v>
          </cell>
          <cell r="AF59">
            <v>3743.3499999999995</v>
          </cell>
          <cell r="AG59">
            <v>1805.8011363636365</v>
          </cell>
          <cell r="AH59">
            <v>1805.8011363636365</v>
          </cell>
          <cell r="AI59">
            <v>1805.8011363636365</v>
          </cell>
        </row>
        <row r="60">
          <cell r="O60" t="str">
            <v>MP0013</v>
          </cell>
          <cell r="X60">
            <v>2876.9760000000001</v>
          </cell>
          <cell r="Y60">
            <v>4865.72</v>
          </cell>
          <cell r="Z60">
            <v>0</v>
          </cell>
          <cell r="AA60">
            <v>3629.1129999999998</v>
          </cell>
          <cell r="AB60">
            <v>0</v>
          </cell>
          <cell r="AC60">
            <v>1887.9649999999999</v>
          </cell>
          <cell r="AD60">
            <v>0</v>
          </cell>
          <cell r="AE60">
            <v>2170.8470000000002</v>
          </cell>
          <cell r="AF60">
            <v>3743.3499999999995</v>
          </cell>
          <cell r="AG60">
            <v>1805.8011363636365</v>
          </cell>
          <cell r="AH60">
            <v>1805.8011363636365</v>
          </cell>
          <cell r="AI60">
            <v>1805.8011363636365</v>
          </cell>
        </row>
        <row r="61">
          <cell r="O61" t="str">
            <v>MP0014</v>
          </cell>
          <cell r="X61">
            <v>2876.9760000000001</v>
          </cell>
          <cell r="Y61">
            <v>4865.72</v>
          </cell>
          <cell r="Z61">
            <v>0</v>
          </cell>
          <cell r="AA61">
            <v>3629.1129999999998</v>
          </cell>
          <cell r="AB61">
            <v>0</v>
          </cell>
          <cell r="AC61">
            <v>1887.9649999999999</v>
          </cell>
          <cell r="AD61">
            <v>0</v>
          </cell>
          <cell r="AE61">
            <v>2170.8470000000002</v>
          </cell>
          <cell r="AF61">
            <v>3743.3499999999995</v>
          </cell>
          <cell r="AG61">
            <v>1805.8011363636365</v>
          </cell>
          <cell r="AH61">
            <v>1805.8011363636365</v>
          </cell>
          <cell r="AI61">
            <v>1805.8011363636365</v>
          </cell>
        </row>
        <row r="62">
          <cell r="O62" t="str">
            <v>MP0015</v>
          </cell>
          <cell r="X62">
            <v>2876.9760000000001</v>
          </cell>
          <cell r="Y62">
            <v>4865.72</v>
          </cell>
          <cell r="Z62">
            <v>0</v>
          </cell>
          <cell r="AA62">
            <v>3629.1129999999998</v>
          </cell>
          <cell r="AB62">
            <v>0</v>
          </cell>
          <cell r="AC62">
            <v>1887.9649999999999</v>
          </cell>
          <cell r="AD62">
            <v>0</v>
          </cell>
          <cell r="AE62">
            <v>2170.8470000000002</v>
          </cell>
          <cell r="AF62">
            <v>3743.3499999999995</v>
          </cell>
          <cell r="AG62">
            <v>1805.8011363636365</v>
          </cell>
          <cell r="AH62">
            <v>1805.8011363636365</v>
          </cell>
          <cell r="AI62">
            <v>1805.8011363636365</v>
          </cell>
        </row>
        <row r="63">
          <cell r="O63" t="str">
            <v>MP0016</v>
          </cell>
          <cell r="X63">
            <v>2876.9760000000001</v>
          </cell>
          <cell r="Y63">
            <v>4865.72</v>
          </cell>
          <cell r="Z63">
            <v>0</v>
          </cell>
          <cell r="AA63">
            <v>3629.1129999999998</v>
          </cell>
          <cell r="AB63">
            <v>0</v>
          </cell>
          <cell r="AC63">
            <v>1887.9649999999999</v>
          </cell>
          <cell r="AD63">
            <v>0</v>
          </cell>
          <cell r="AE63">
            <v>2170.8470000000002</v>
          </cell>
          <cell r="AF63">
            <v>3743.3499999999995</v>
          </cell>
          <cell r="AG63">
            <v>1805.8011363636365</v>
          </cell>
          <cell r="AH63">
            <v>1805.8011363636365</v>
          </cell>
          <cell r="AI63">
            <v>1805.8011363636365</v>
          </cell>
        </row>
        <row r="64">
          <cell r="O64" t="str">
            <v>MP0001</v>
          </cell>
          <cell r="X64">
            <v>849.44895833333339</v>
          </cell>
          <cell r="Y64">
            <v>0</v>
          </cell>
          <cell r="Z64">
            <v>0</v>
          </cell>
          <cell r="AA64">
            <v>1667.2718749999999</v>
          </cell>
          <cell r="AB64">
            <v>0</v>
          </cell>
          <cell r="AC64">
            <v>692.46354166666674</v>
          </cell>
          <cell r="AD64">
            <v>0</v>
          </cell>
          <cell r="AE64">
            <v>1568.9802083333334</v>
          </cell>
          <cell r="AF64">
            <v>0</v>
          </cell>
          <cell r="AG64">
            <v>1164.4550978535356</v>
          </cell>
          <cell r="AH64">
            <v>1164.4550978535356</v>
          </cell>
          <cell r="AI64">
            <v>1164.4550978535356</v>
          </cell>
        </row>
        <row r="65">
          <cell r="O65" t="str">
            <v>MP0004</v>
          </cell>
          <cell r="X65">
            <v>83504.2304</v>
          </cell>
          <cell r="Y65">
            <v>0</v>
          </cell>
          <cell r="Z65">
            <v>0</v>
          </cell>
          <cell r="AA65">
            <v>163899.4944</v>
          </cell>
          <cell r="AB65">
            <v>0</v>
          </cell>
          <cell r="AC65">
            <v>68071.936000000002</v>
          </cell>
          <cell r="AD65">
            <v>0</v>
          </cell>
          <cell r="AE65">
            <v>154237.03040000002</v>
          </cell>
          <cell r="AF65">
            <v>0</v>
          </cell>
          <cell r="AG65">
            <v>114470.59393939395</v>
          </cell>
          <cell r="AH65">
            <v>114470.59393939395</v>
          </cell>
          <cell r="AI65">
            <v>114470.59393939395</v>
          </cell>
        </row>
        <row r="66">
          <cell r="O66" t="str">
            <v>MP0005</v>
          </cell>
          <cell r="X66">
            <v>31803.368999999999</v>
          </cell>
          <cell r="Y66">
            <v>0</v>
          </cell>
          <cell r="Z66">
            <v>0</v>
          </cell>
          <cell r="AA66">
            <v>62422.659</v>
          </cell>
          <cell r="AB66">
            <v>0</v>
          </cell>
          <cell r="AC66">
            <v>25925.834999999999</v>
          </cell>
          <cell r="AD66">
            <v>0</v>
          </cell>
          <cell r="AE66">
            <v>58742.618999999999</v>
          </cell>
          <cell r="AF66">
            <v>0</v>
          </cell>
          <cell r="AG66">
            <v>43597.198863636368</v>
          </cell>
          <cell r="AH66">
            <v>43597.198863636368</v>
          </cell>
          <cell r="AI66">
            <v>43597.198863636368</v>
          </cell>
        </row>
        <row r="67">
          <cell r="O67" t="str">
            <v>MP0006</v>
          </cell>
          <cell r="X67">
            <v>1223.2065</v>
          </cell>
          <cell r="Y67">
            <v>0</v>
          </cell>
          <cell r="Z67">
            <v>0</v>
          </cell>
          <cell r="AA67">
            <v>2400.8714999999997</v>
          </cell>
          <cell r="AB67">
            <v>0</v>
          </cell>
          <cell r="AC67">
            <v>997.14750000000004</v>
          </cell>
          <cell r="AD67">
            <v>0</v>
          </cell>
          <cell r="AE67">
            <v>2259.3315000000002</v>
          </cell>
          <cell r="AF67">
            <v>0</v>
          </cell>
          <cell r="AG67">
            <v>1676.815340909091</v>
          </cell>
          <cell r="AH67">
            <v>1676.815340909091</v>
          </cell>
          <cell r="AI67">
            <v>1676.815340909091</v>
          </cell>
        </row>
        <row r="68">
          <cell r="O68" t="str">
            <v>MP0007</v>
          </cell>
          <cell r="X68">
            <v>20876.0576</v>
          </cell>
          <cell r="Y68">
            <v>0</v>
          </cell>
          <cell r="Z68">
            <v>0</v>
          </cell>
          <cell r="AA68">
            <v>40974.873599999999</v>
          </cell>
          <cell r="AB68">
            <v>0</v>
          </cell>
          <cell r="AC68">
            <v>17017.984</v>
          </cell>
          <cell r="AD68">
            <v>0</v>
          </cell>
          <cell r="AE68">
            <v>38559.257600000004</v>
          </cell>
          <cell r="AF68">
            <v>0</v>
          </cell>
          <cell r="AG68">
            <v>28617.648484848487</v>
          </cell>
          <cell r="AH68">
            <v>28617.648484848487</v>
          </cell>
          <cell r="AI68">
            <v>28617.648484848487</v>
          </cell>
        </row>
        <row r="69">
          <cell r="O69" t="str">
            <v>MP0008</v>
          </cell>
          <cell r="X69">
            <v>815.471</v>
          </cell>
          <cell r="Y69">
            <v>0</v>
          </cell>
          <cell r="Z69">
            <v>0</v>
          </cell>
          <cell r="AA69">
            <v>1600.5809999999999</v>
          </cell>
          <cell r="AB69">
            <v>0</v>
          </cell>
          <cell r="AC69">
            <v>664.76499999999999</v>
          </cell>
          <cell r="AD69">
            <v>0</v>
          </cell>
          <cell r="AE69">
            <v>1506.221</v>
          </cell>
          <cell r="AF69">
            <v>0</v>
          </cell>
          <cell r="AG69">
            <v>1117.876893939394</v>
          </cell>
          <cell r="AH69">
            <v>1117.876893939394</v>
          </cell>
          <cell r="AI69">
            <v>1117.876893939394</v>
          </cell>
        </row>
        <row r="70">
          <cell r="O70" t="str">
            <v>MP0009</v>
          </cell>
          <cell r="X70">
            <v>815.471</v>
          </cell>
          <cell r="Y70">
            <v>0</v>
          </cell>
          <cell r="Z70">
            <v>0</v>
          </cell>
          <cell r="AA70">
            <v>1600.5809999999999</v>
          </cell>
          <cell r="AB70">
            <v>0</v>
          </cell>
          <cell r="AC70">
            <v>664.76499999999999</v>
          </cell>
          <cell r="AD70">
            <v>0</v>
          </cell>
          <cell r="AE70">
            <v>1506.221</v>
          </cell>
          <cell r="AF70">
            <v>0</v>
          </cell>
          <cell r="AG70">
            <v>1117.876893939394</v>
          </cell>
          <cell r="AH70">
            <v>1117.876893939394</v>
          </cell>
          <cell r="AI70">
            <v>1117.876893939394</v>
          </cell>
        </row>
        <row r="71">
          <cell r="O71" t="str">
            <v>MP0010</v>
          </cell>
          <cell r="X71">
            <v>815.471</v>
          </cell>
          <cell r="Y71">
            <v>0</v>
          </cell>
          <cell r="Z71">
            <v>0</v>
          </cell>
          <cell r="AA71">
            <v>1600.5809999999999</v>
          </cell>
          <cell r="AB71">
            <v>0</v>
          </cell>
          <cell r="AC71">
            <v>664.76499999999999</v>
          </cell>
          <cell r="AD71">
            <v>0</v>
          </cell>
          <cell r="AE71">
            <v>1506.221</v>
          </cell>
          <cell r="AF71">
            <v>0</v>
          </cell>
          <cell r="AG71">
            <v>1117.876893939394</v>
          </cell>
          <cell r="AH71">
            <v>1117.876893939394</v>
          </cell>
          <cell r="AI71">
            <v>1117.876893939394</v>
          </cell>
        </row>
        <row r="72">
          <cell r="O72" t="str">
            <v>MP0011</v>
          </cell>
          <cell r="X72">
            <v>815.471</v>
          </cell>
          <cell r="Y72">
            <v>0</v>
          </cell>
          <cell r="Z72">
            <v>0</v>
          </cell>
          <cell r="AA72">
            <v>1600.5809999999999</v>
          </cell>
          <cell r="AB72">
            <v>0</v>
          </cell>
          <cell r="AC72">
            <v>664.76499999999999</v>
          </cell>
          <cell r="AD72">
            <v>0</v>
          </cell>
          <cell r="AE72">
            <v>1506.221</v>
          </cell>
          <cell r="AF72">
            <v>0</v>
          </cell>
          <cell r="AG72">
            <v>1117.876893939394</v>
          </cell>
          <cell r="AH72">
            <v>1117.876893939394</v>
          </cell>
          <cell r="AI72">
            <v>1117.876893939394</v>
          </cell>
        </row>
        <row r="73">
          <cell r="O73" t="str">
            <v>MP0012</v>
          </cell>
          <cell r="X73">
            <v>815.471</v>
          </cell>
          <cell r="Y73">
            <v>0</v>
          </cell>
          <cell r="Z73">
            <v>0</v>
          </cell>
          <cell r="AA73">
            <v>1600.5809999999999</v>
          </cell>
          <cell r="AB73">
            <v>0</v>
          </cell>
          <cell r="AC73">
            <v>664.76499999999999</v>
          </cell>
          <cell r="AD73">
            <v>0</v>
          </cell>
          <cell r="AE73">
            <v>1506.221</v>
          </cell>
          <cell r="AF73">
            <v>0</v>
          </cell>
          <cell r="AG73">
            <v>1117.876893939394</v>
          </cell>
          <cell r="AH73">
            <v>1117.876893939394</v>
          </cell>
          <cell r="AI73">
            <v>1117.876893939394</v>
          </cell>
        </row>
        <row r="74">
          <cell r="O74" t="str">
            <v>MP0013</v>
          </cell>
          <cell r="X74">
            <v>815.471</v>
          </cell>
          <cell r="Y74">
            <v>0</v>
          </cell>
          <cell r="Z74">
            <v>0</v>
          </cell>
          <cell r="AA74">
            <v>1600.5809999999999</v>
          </cell>
          <cell r="AB74">
            <v>0</v>
          </cell>
          <cell r="AC74">
            <v>664.76499999999999</v>
          </cell>
          <cell r="AD74">
            <v>0</v>
          </cell>
          <cell r="AE74">
            <v>1506.221</v>
          </cell>
          <cell r="AF74">
            <v>0</v>
          </cell>
          <cell r="AG74">
            <v>1117.876893939394</v>
          </cell>
          <cell r="AH74">
            <v>1117.876893939394</v>
          </cell>
          <cell r="AI74">
            <v>1117.876893939394</v>
          </cell>
        </row>
        <row r="75">
          <cell r="O75" t="str">
            <v>MP0014</v>
          </cell>
          <cell r="X75">
            <v>815.471</v>
          </cell>
          <cell r="Y75">
            <v>0</v>
          </cell>
          <cell r="Z75">
            <v>0</v>
          </cell>
          <cell r="AA75">
            <v>1600.5809999999999</v>
          </cell>
          <cell r="AB75">
            <v>0</v>
          </cell>
          <cell r="AC75">
            <v>664.76499999999999</v>
          </cell>
          <cell r="AD75">
            <v>0</v>
          </cell>
          <cell r="AE75">
            <v>1506.221</v>
          </cell>
          <cell r="AF75">
            <v>0</v>
          </cell>
          <cell r="AG75">
            <v>1117.876893939394</v>
          </cell>
          <cell r="AH75">
            <v>1117.876893939394</v>
          </cell>
          <cell r="AI75">
            <v>1117.876893939394</v>
          </cell>
        </row>
        <row r="76">
          <cell r="O76" t="str">
            <v>MP0015</v>
          </cell>
          <cell r="X76">
            <v>815.471</v>
          </cell>
          <cell r="Y76">
            <v>0</v>
          </cell>
          <cell r="Z76">
            <v>0</v>
          </cell>
          <cell r="AA76">
            <v>1600.5809999999999</v>
          </cell>
          <cell r="AB76">
            <v>0</v>
          </cell>
          <cell r="AC76">
            <v>664.76499999999999</v>
          </cell>
          <cell r="AD76">
            <v>0</v>
          </cell>
          <cell r="AE76">
            <v>1506.221</v>
          </cell>
          <cell r="AF76">
            <v>0</v>
          </cell>
          <cell r="AG76">
            <v>1117.876893939394</v>
          </cell>
          <cell r="AH76">
            <v>1117.876893939394</v>
          </cell>
          <cell r="AI76">
            <v>1117.876893939394</v>
          </cell>
        </row>
        <row r="77">
          <cell r="O77" t="str">
            <v>MP0016</v>
          </cell>
          <cell r="X77">
            <v>815.471</v>
          </cell>
          <cell r="Y77">
            <v>0</v>
          </cell>
          <cell r="Z77">
            <v>0</v>
          </cell>
          <cell r="AA77">
            <v>1600.5809999999999</v>
          </cell>
          <cell r="AB77">
            <v>0</v>
          </cell>
          <cell r="AC77">
            <v>664.76499999999999</v>
          </cell>
          <cell r="AD77">
            <v>0</v>
          </cell>
          <cell r="AE77">
            <v>1506.221</v>
          </cell>
          <cell r="AF77">
            <v>0</v>
          </cell>
          <cell r="AG77">
            <v>1117.876893939394</v>
          </cell>
          <cell r="AH77">
            <v>1117.876893939394</v>
          </cell>
          <cell r="AI77">
            <v>1117.876893939394</v>
          </cell>
        </row>
        <row r="78">
          <cell r="O78" t="str">
            <v>MP0001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492.6540798611112</v>
          </cell>
          <cell r="AH78">
            <v>492.6540798611112</v>
          </cell>
          <cell r="AI78">
            <v>492.6540798611112</v>
          </cell>
        </row>
        <row r="79">
          <cell r="O79" t="str">
            <v>MP0004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48429.866666666676</v>
          </cell>
          <cell r="AH79">
            <v>48429.866666666676</v>
          </cell>
          <cell r="AI79">
            <v>48429.866666666676</v>
          </cell>
        </row>
        <row r="80">
          <cell r="O80" t="str">
            <v>MP0005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18444.968750000004</v>
          </cell>
          <cell r="AH80">
            <v>18444.968750000004</v>
          </cell>
          <cell r="AI80">
            <v>18444.968750000004</v>
          </cell>
        </row>
        <row r="81">
          <cell r="O81" t="str">
            <v>MP0006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709.42187500000011</v>
          </cell>
          <cell r="AH81">
            <v>709.42187500000011</v>
          </cell>
          <cell r="AI81">
            <v>709.42187500000011</v>
          </cell>
        </row>
        <row r="82">
          <cell r="O82" t="str">
            <v>MP0007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12107.466666666669</v>
          </cell>
          <cell r="AH82">
            <v>12107.466666666669</v>
          </cell>
          <cell r="AI82">
            <v>12107.466666666669</v>
          </cell>
        </row>
        <row r="83">
          <cell r="O83" t="str">
            <v>MP0008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472.94791666666674</v>
          </cell>
          <cell r="AH83">
            <v>472.94791666666674</v>
          </cell>
          <cell r="AI83">
            <v>472.94791666666674</v>
          </cell>
        </row>
        <row r="84">
          <cell r="O84" t="str">
            <v>MP0009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472.94791666666674</v>
          </cell>
          <cell r="AH84">
            <v>472.94791666666674</v>
          </cell>
          <cell r="AI84">
            <v>472.94791666666674</v>
          </cell>
        </row>
        <row r="85">
          <cell r="O85" t="str">
            <v>MP0010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472.94791666666674</v>
          </cell>
          <cell r="AH85">
            <v>472.94791666666674</v>
          </cell>
          <cell r="AI85">
            <v>472.94791666666674</v>
          </cell>
        </row>
        <row r="86">
          <cell r="O86" t="str">
            <v>MP0011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472.94791666666674</v>
          </cell>
          <cell r="AH86">
            <v>472.94791666666674</v>
          </cell>
          <cell r="AI86">
            <v>472.94791666666674</v>
          </cell>
        </row>
        <row r="87">
          <cell r="O87" t="str">
            <v>MP0012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472.94791666666674</v>
          </cell>
          <cell r="AH87">
            <v>472.94791666666674</v>
          </cell>
          <cell r="AI87">
            <v>472.94791666666674</v>
          </cell>
        </row>
        <row r="88">
          <cell r="O88" t="str">
            <v>MP0013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472.94791666666674</v>
          </cell>
          <cell r="AH88">
            <v>472.94791666666674</v>
          </cell>
          <cell r="AI88">
            <v>472.94791666666674</v>
          </cell>
        </row>
        <row r="89">
          <cell r="O89" t="str">
            <v>MP0014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472.94791666666674</v>
          </cell>
          <cell r="AH89">
            <v>472.94791666666674</v>
          </cell>
          <cell r="AI89">
            <v>472.94791666666674</v>
          </cell>
        </row>
        <row r="90">
          <cell r="O90" t="str">
            <v>MP0015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472.94791666666674</v>
          </cell>
          <cell r="AH90">
            <v>472.94791666666674</v>
          </cell>
          <cell r="AI90">
            <v>472.94791666666674</v>
          </cell>
        </row>
        <row r="91">
          <cell r="O91" t="str">
            <v>MP0016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472.94791666666674</v>
          </cell>
          <cell r="AH91">
            <v>472.94791666666674</v>
          </cell>
          <cell r="AI91">
            <v>472.94791666666674</v>
          </cell>
        </row>
        <row r="92">
          <cell r="O92" t="str">
            <v>MP0001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492.6540798611112</v>
          </cell>
          <cell r="AH92">
            <v>492.6540798611112</v>
          </cell>
          <cell r="AI92">
            <v>492.6540798611112</v>
          </cell>
        </row>
        <row r="93">
          <cell r="O93" t="str">
            <v>MP0004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48429.866666666676</v>
          </cell>
          <cell r="AH93">
            <v>48429.866666666676</v>
          </cell>
          <cell r="AI93">
            <v>48429.866666666676</v>
          </cell>
        </row>
        <row r="94">
          <cell r="O94" t="str">
            <v>MP0005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18444.968750000004</v>
          </cell>
          <cell r="AH94">
            <v>18444.968750000004</v>
          </cell>
          <cell r="AI94">
            <v>18444.968750000004</v>
          </cell>
        </row>
        <row r="95">
          <cell r="O95" t="str">
            <v>MP0006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709.42187500000011</v>
          </cell>
          <cell r="AH95">
            <v>709.42187500000011</v>
          </cell>
          <cell r="AI95">
            <v>709.42187500000011</v>
          </cell>
        </row>
        <row r="96">
          <cell r="O96" t="str">
            <v>MP0007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12107.466666666669</v>
          </cell>
          <cell r="AH96">
            <v>12107.466666666669</v>
          </cell>
          <cell r="AI96">
            <v>12107.466666666669</v>
          </cell>
        </row>
        <row r="97">
          <cell r="O97" t="str">
            <v>MP0008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472.94791666666674</v>
          </cell>
          <cell r="AH97">
            <v>472.94791666666674</v>
          </cell>
          <cell r="AI97">
            <v>472.94791666666674</v>
          </cell>
        </row>
        <row r="98">
          <cell r="O98" t="str">
            <v>MP0009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472.94791666666674</v>
          </cell>
          <cell r="AH98">
            <v>472.94791666666674</v>
          </cell>
          <cell r="AI98">
            <v>472.94791666666674</v>
          </cell>
        </row>
        <row r="99">
          <cell r="O99" t="str">
            <v>MP0010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472.94791666666674</v>
          </cell>
          <cell r="AH99">
            <v>472.94791666666674</v>
          </cell>
          <cell r="AI99">
            <v>472.94791666666674</v>
          </cell>
        </row>
        <row r="100">
          <cell r="O100" t="str">
            <v>MP0011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472.94791666666674</v>
          </cell>
          <cell r="AH100">
            <v>472.94791666666674</v>
          </cell>
          <cell r="AI100">
            <v>472.94791666666674</v>
          </cell>
        </row>
        <row r="101">
          <cell r="O101" t="str">
            <v>MP0012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472.94791666666674</v>
          </cell>
          <cell r="AH101">
            <v>472.94791666666674</v>
          </cell>
          <cell r="AI101">
            <v>472.94791666666674</v>
          </cell>
        </row>
        <row r="102">
          <cell r="O102" t="str">
            <v>MP0013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472.94791666666674</v>
          </cell>
          <cell r="AH102">
            <v>472.94791666666674</v>
          </cell>
          <cell r="AI102">
            <v>472.94791666666674</v>
          </cell>
        </row>
        <row r="103">
          <cell r="O103" t="str">
            <v>MP0014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472.94791666666674</v>
          </cell>
          <cell r="AH103">
            <v>472.94791666666674</v>
          </cell>
          <cell r="AI103">
            <v>472.94791666666674</v>
          </cell>
        </row>
        <row r="104">
          <cell r="O104" t="str">
            <v>MP0015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472.94791666666674</v>
          </cell>
          <cell r="AH104">
            <v>472.94791666666674</v>
          </cell>
          <cell r="AI104">
            <v>472.94791666666674</v>
          </cell>
        </row>
        <row r="105">
          <cell r="O105" t="str">
            <v>MP0016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257.97159090909093</v>
          </cell>
          <cell r="AH105">
            <v>257.97159090909093</v>
          </cell>
          <cell r="AI105">
            <v>257.97159090909093</v>
          </cell>
        </row>
        <row r="106">
          <cell r="O106" t="str">
            <v>MP0001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268.72040719696975</v>
          </cell>
          <cell r="AH106">
            <v>268.72040719696975</v>
          </cell>
          <cell r="AI106">
            <v>268.72040719696975</v>
          </cell>
        </row>
        <row r="107">
          <cell r="O107" t="str">
            <v>MP0004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26416.290909090912</v>
          </cell>
          <cell r="AH107">
            <v>26416.290909090912</v>
          </cell>
          <cell r="AI107">
            <v>26416.290909090912</v>
          </cell>
        </row>
        <row r="108">
          <cell r="O108" t="str">
            <v>MP0005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10060.892045454546</v>
          </cell>
          <cell r="AH108">
            <v>10060.892045454546</v>
          </cell>
          <cell r="AI108">
            <v>10060.892045454546</v>
          </cell>
        </row>
        <row r="109">
          <cell r="O109" t="str">
            <v>MP0006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386.95738636363637</v>
          </cell>
          <cell r="AH109">
            <v>386.95738636363637</v>
          </cell>
          <cell r="AI109">
            <v>386.95738636363637</v>
          </cell>
        </row>
        <row r="110">
          <cell r="O110" t="str">
            <v>MP0007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6604.0727272727281</v>
          </cell>
          <cell r="AH110">
            <v>6604.0727272727281</v>
          </cell>
          <cell r="AI110">
            <v>6604.0727272727281</v>
          </cell>
        </row>
        <row r="111">
          <cell r="O111" t="str">
            <v>MP0008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257.97159090909093</v>
          </cell>
          <cell r="AH111">
            <v>257.97159090909093</v>
          </cell>
          <cell r="AI111">
            <v>257.97159090909093</v>
          </cell>
        </row>
        <row r="112">
          <cell r="O112" t="str">
            <v>MP0009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257.97159090909093</v>
          </cell>
          <cell r="AH112">
            <v>257.97159090909093</v>
          </cell>
          <cell r="AI112">
            <v>257.97159090909093</v>
          </cell>
        </row>
        <row r="113">
          <cell r="O113" t="str">
            <v>MP0010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257.97159090909093</v>
          </cell>
          <cell r="AH113">
            <v>257.97159090909093</v>
          </cell>
          <cell r="AI113">
            <v>257.97159090909093</v>
          </cell>
        </row>
        <row r="114">
          <cell r="O114" t="str">
            <v>MP0011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257.97159090909093</v>
          </cell>
          <cell r="AH114">
            <v>257.97159090909093</v>
          </cell>
          <cell r="AI114">
            <v>257.97159090909093</v>
          </cell>
        </row>
        <row r="115">
          <cell r="O115" t="str">
            <v>MP0012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257.97159090909093</v>
          </cell>
          <cell r="AH115">
            <v>257.97159090909093</v>
          </cell>
          <cell r="AI115">
            <v>257.97159090909093</v>
          </cell>
        </row>
        <row r="116">
          <cell r="O116" t="str">
            <v>MP0013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257.97159090909093</v>
          </cell>
          <cell r="AH116">
            <v>257.97159090909093</v>
          </cell>
          <cell r="AI116">
            <v>257.97159090909093</v>
          </cell>
        </row>
        <row r="117">
          <cell r="O117" t="str">
            <v>MP0014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257.97159090909093</v>
          </cell>
          <cell r="AH117">
            <v>257.97159090909093</v>
          </cell>
          <cell r="AI117">
            <v>257.97159090909093</v>
          </cell>
        </row>
        <row r="118">
          <cell r="O118" t="str">
            <v>MP0015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257.97159090909093</v>
          </cell>
          <cell r="AH118">
            <v>257.97159090909093</v>
          </cell>
          <cell r="AI118">
            <v>257.97159090909093</v>
          </cell>
        </row>
        <row r="119">
          <cell r="O119" t="str">
            <v>MP0016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257.97159090909093</v>
          </cell>
          <cell r="AH119">
            <v>257.97159090909093</v>
          </cell>
          <cell r="AI119">
            <v>257.97159090909093</v>
          </cell>
        </row>
        <row r="120">
          <cell r="O120" t="str">
            <v>MP0001</v>
          </cell>
          <cell r="X120">
            <v>8432.2333333333336</v>
          </cell>
          <cell r="Y120">
            <v>4312.0270833333343</v>
          </cell>
          <cell r="Z120">
            <v>0</v>
          </cell>
          <cell r="AA120">
            <v>530.74479166666674</v>
          </cell>
          <cell r="AB120">
            <v>26.958333333333336</v>
          </cell>
          <cell r="AC120">
            <v>419.83333333333337</v>
          </cell>
          <cell r="AD120">
            <v>3685.4468750000001</v>
          </cell>
          <cell r="AE120">
            <v>5959.2250000000013</v>
          </cell>
          <cell r="AF120">
            <v>4075.4500000000003</v>
          </cell>
          <cell r="AG120">
            <v>1970.6163194444448</v>
          </cell>
          <cell r="AH120">
            <v>1970.6163194444448</v>
          </cell>
          <cell r="AI120">
            <v>1970.6163194444448</v>
          </cell>
        </row>
        <row r="121">
          <cell r="O121" t="str">
            <v>MP0004</v>
          </cell>
          <cell r="X121">
            <v>828922.26560000004</v>
          </cell>
          <cell r="Y121">
            <v>423889.51040000003</v>
          </cell>
          <cell r="Z121">
            <v>0</v>
          </cell>
          <cell r="AA121">
            <v>52174.336000000003</v>
          </cell>
          <cell r="AB121">
            <v>2650.1120000000001</v>
          </cell>
          <cell r="AC121">
            <v>41271.296000000002</v>
          </cell>
          <cell r="AD121">
            <v>362294.16960000002</v>
          </cell>
          <cell r="AE121">
            <v>585815.65440000012</v>
          </cell>
          <cell r="AF121">
            <v>400633.0368</v>
          </cell>
          <cell r="AG121">
            <v>193719.4666666667</v>
          </cell>
          <cell r="AH121">
            <v>193719.4666666667</v>
          </cell>
          <cell r="AI121">
            <v>193719.4666666667</v>
          </cell>
        </row>
        <row r="122">
          <cell r="O122" t="str">
            <v>MP0005</v>
          </cell>
          <cell r="X122">
            <v>315702.81599999999</v>
          </cell>
          <cell r="Y122">
            <v>161442.29400000002</v>
          </cell>
          <cell r="Z122">
            <v>0</v>
          </cell>
          <cell r="AA122">
            <v>19871.084999999999</v>
          </cell>
          <cell r="AB122">
            <v>1009.3199999999999</v>
          </cell>
          <cell r="AC122">
            <v>15718.560000000001</v>
          </cell>
          <cell r="AD122">
            <v>137983.13099999999</v>
          </cell>
          <cell r="AE122">
            <v>223113.38400000002</v>
          </cell>
          <cell r="AF122">
            <v>152584.848</v>
          </cell>
          <cell r="AG122">
            <v>73779.875000000015</v>
          </cell>
          <cell r="AH122">
            <v>73779.875000000015</v>
          </cell>
          <cell r="AI122">
            <v>73779.875000000015</v>
          </cell>
        </row>
        <row r="123">
          <cell r="O123" t="str">
            <v>MP0006</v>
          </cell>
          <cell r="X123">
            <v>12142.416000000001</v>
          </cell>
          <cell r="Y123">
            <v>6209.3190000000004</v>
          </cell>
          <cell r="Z123">
            <v>0</v>
          </cell>
          <cell r="AA123">
            <v>764.27250000000004</v>
          </cell>
          <cell r="AB123">
            <v>38.82</v>
          </cell>
          <cell r="AC123">
            <v>604.56000000000006</v>
          </cell>
          <cell r="AD123">
            <v>5307.0434999999998</v>
          </cell>
          <cell r="AE123">
            <v>8581.2840000000015</v>
          </cell>
          <cell r="AF123">
            <v>5868.6479999999992</v>
          </cell>
          <cell r="AG123">
            <v>2837.6875000000005</v>
          </cell>
          <cell r="AH123">
            <v>2837.6875000000005</v>
          </cell>
          <cell r="AI123">
            <v>2837.6875000000005</v>
          </cell>
        </row>
        <row r="124">
          <cell r="O124" t="str">
            <v>MP0007</v>
          </cell>
          <cell r="X124">
            <v>207230.56640000001</v>
          </cell>
          <cell r="Y124">
            <v>105972.37760000001</v>
          </cell>
          <cell r="Z124">
            <v>0</v>
          </cell>
          <cell r="AA124">
            <v>13043.584000000001</v>
          </cell>
          <cell r="AB124">
            <v>662.52800000000002</v>
          </cell>
          <cell r="AC124">
            <v>10317.824000000001</v>
          </cell>
          <cell r="AD124">
            <v>90573.542400000006</v>
          </cell>
          <cell r="AE124">
            <v>146453.91360000003</v>
          </cell>
          <cell r="AF124">
            <v>100158.2592</v>
          </cell>
          <cell r="AG124">
            <v>48429.866666666676</v>
          </cell>
          <cell r="AH124">
            <v>48429.866666666676</v>
          </cell>
          <cell r="AI124">
            <v>48429.866666666676</v>
          </cell>
        </row>
        <row r="125">
          <cell r="O125" t="str">
            <v>MP0008</v>
          </cell>
          <cell r="X125">
            <v>8094.9440000000004</v>
          </cell>
          <cell r="Y125">
            <v>4139.5460000000003</v>
          </cell>
          <cell r="Z125">
            <v>0</v>
          </cell>
          <cell r="AA125">
            <v>509.51499999999999</v>
          </cell>
          <cell r="AB125">
            <v>25.88</v>
          </cell>
          <cell r="AC125">
            <v>403.04</v>
          </cell>
          <cell r="AD125">
            <v>3538.029</v>
          </cell>
          <cell r="AE125">
            <v>5720.8560000000007</v>
          </cell>
          <cell r="AF125">
            <v>3912.4319999999998</v>
          </cell>
          <cell r="AG125">
            <v>1891.791666666667</v>
          </cell>
          <cell r="AH125">
            <v>1891.791666666667</v>
          </cell>
          <cell r="AI125">
            <v>1891.791666666667</v>
          </cell>
        </row>
        <row r="126">
          <cell r="O126" t="str">
            <v>MP0009</v>
          </cell>
          <cell r="X126">
            <v>8094.9440000000004</v>
          </cell>
          <cell r="Y126">
            <v>4139.5460000000003</v>
          </cell>
          <cell r="Z126">
            <v>0</v>
          </cell>
          <cell r="AA126">
            <v>509.51499999999999</v>
          </cell>
          <cell r="AB126">
            <v>25.88</v>
          </cell>
          <cell r="AC126">
            <v>403.04</v>
          </cell>
          <cell r="AD126">
            <v>3538.029</v>
          </cell>
          <cell r="AE126">
            <v>5720.8560000000007</v>
          </cell>
          <cell r="AF126">
            <v>3912.4319999999998</v>
          </cell>
          <cell r="AG126">
            <v>1891.791666666667</v>
          </cell>
          <cell r="AH126">
            <v>1891.791666666667</v>
          </cell>
          <cell r="AI126">
            <v>1891.791666666667</v>
          </cell>
        </row>
        <row r="127">
          <cell r="O127" t="str">
            <v>MP0010</v>
          </cell>
          <cell r="X127">
            <v>8094.9440000000004</v>
          </cell>
          <cell r="Y127">
            <v>4139.5460000000003</v>
          </cell>
          <cell r="Z127">
            <v>0</v>
          </cell>
          <cell r="AA127">
            <v>509.51499999999999</v>
          </cell>
          <cell r="AB127">
            <v>25.88</v>
          </cell>
          <cell r="AC127">
            <v>403.04</v>
          </cell>
          <cell r="AD127">
            <v>3538.029</v>
          </cell>
          <cell r="AE127">
            <v>5720.8560000000007</v>
          </cell>
          <cell r="AF127">
            <v>3912.4319999999998</v>
          </cell>
          <cell r="AG127">
            <v>1891.791666666667</v>
          </cell>
          <cell r="AH127">
            <v>1891.791666666667</v>
          </cell>
          <cell r="AI127">
            <v>1891.791666666667</v>
          </cell>
        </row>
        <row r="128">
          <cell r="O128" t="str">
            <v>MP0011</v>
          </cell>
          <cell r="X128">
            <v>8094.9440000000004</v>
          </cell>
          <cell r="Y128">
            <v>4139.5460000000003</v>
          </cell>
          <cell r="Z128">
            <v>0</v>
          </cell>
          <cell r="AA128">
            <v>509.51499999999999</v>
          </cell>
          <cell r="AB128">
            <v>25.88</v>
          </cell>
          <cell r="AC128">
            <v>403.04</v>
          </cell>
          <cell r="AD128">
            <v>3538.029</v>
          </cell>
          <cell r="AE128">
            <v>5720.8560000000007</v>
          </cell>
          <cell r="AF128">
            <v>3912.4319999999998</v>
          </cell>
          <cell r="AG128">
            <v>1891.791666666667</v>
          </cell>
          <cell r="AH128">
            <v>1891.791666666667</v>
          </cell>
          <cell r="AI128">
            <v>1891.791666666667</v>
          </cell>
        </row>
        <row r="129">
          <cell r="O129" t="str">
            <v>MP0012</v>
          </cell>
          <cell r="X129">
            <v>8094.9440000000004</v>
          </cell>
          <cell r="Y129">
            <v>4139.5460000000003</v>
          </cell>
          <cell r="Z129">
            <v>0</v>
          </cell>
          <cell r="AA129">
            <v>509.51499999999999</v>
          </cell>
          <cell r="AB129">
            <v>25.88</v>
          </cell>
          <cell r="AC129">
            <v>403.04</v>
          </cell>
          <cell r="AD129">
            <v>3538.029</v>
          </cell>
          <cell r="AE129">
            <v>5720.8560000000007</v>
          </cell>
          <cell r="AF129">
            <v>3912.4319999999998</v>
          </cell>
          <cell r="AG129">
            <v>1891.791666666667</v>
          </cell>
          <cell r="AH129">
            <v>1891.791666666667</v>
          </cell>
          <cell r="AI129">
            <v>1891.791666666667</v>
          </cell>
        </row>
        <row r="130">
          <cell r="O130" t="str">
            <v>MP0013</v>
          </cell>
          <cell r="X130">
            <v>8094.9440000000004</v>
          </cell>
          <cell r="Y130">
            <v>4139.5460000000003</v>
          </cell>
          <cell r="Z130">
            <v>0</v>
          </cell>
          <cell r="AA130">
            <v>509.51499999999999</v>
          </cell>
          <cell r="AB130">
            <v>25.88</v>
          </cell>
          <cell r="AC130">
            <v>403.04</v>
          </cell>
          <cell r="AD130">
            <v>3538.029</v>
          </cell>
          <cell r="AE130">
            <v>5720.8560000000007</v>
          </cell>
          <cell r="AF130">
            <v>3912.4319999999998</v>
          </cell>
          <cell r="AG130">
            <v>1891.791666666667</v>
          </cell>
          <cell r="AH130">
            <v>1891.791666666667</v>
          </cell>
          <cell r="AI130">
            <v>1891.791666666667</v>
          </cell>
        </row>
        <row r="131">
          <cell r="O131" t="str">
            <v>MP0014</v>
          </cell>
          <cell r="X131">
            <v>8094.9440000000004</v>
          </cell>
          <cell r="Y131">
            <v>4139.5460000000003</v>
          </cell>
          <cell r="Z131">
            <v>0</v>
          </cell>
          <cell r="AA131">
            <v>509.51499999999999</v>
          </cell>
          <cell r="AB131">
            <v>25.88</v>
          </cell>
          <cell r="AC131">
            <v>403.04</v>
          </cell>
          <cell r="AD131">
            <v>3538.029</v>
          </cell>
          <cell r="AE131">
            <v>5720.8560000000007</v>
          </cell>
          <cell r="AF131">
            <v>3912.4319999999998</v>
          </cell>
          <cell r="AG131">
            <v>1891.791666666667</v>
          </cell>
          <cell r="AH131">
            <v>1891.791666666667</v>
          </cell>
          <cell r="AI131">
            <v>1891.791666666667</v>
          </cell>
        </row>
        <row r="132">
          <cell r="O132" t="str">
            <v>MP0015</v>
          </cell>
          <cell r="X132">
            <v>8094.9440000000004</v>
          </cell>
          <cell r="Y132">
            <v>4139.5460000000003</v>
          </cell>
          <cell r="Z132">
            <v>0</v>
          </cell>
          <cell r="AA132">
            <v>509.51499999999999</v>
          </cell>
          <cell r="AB132">
            <v>25.88</v>
          </cell>
          <cell r="AC132">
            <v>403.04</v>
          </cell>
          <cell r="AD132">
            <v>3538.029</v>
          </cell>
          <cell r="AE132">
            <v>5720.8560000000007</v>
          </cell>
          <cell r="AF132">
            <v>3912.4319999999998</v>
          </cell>
          <cell r="AG132">
            <v>1891.791666666667</v>
          </cell>
          <cell r="AH132">
            <v>1891.791666666667</v>
          </cell>
          <cell r="AI132">
            <v>1891.791666666667</v>
          </cell>
        </row>
        <row r="133">
          <cell r="O133" t="str">
            <v>MP0016</v>
          </cell>
          <cell r="X133">
            <v>8094.9440000000004</v>
          </cell>
          <cell r="Y133">
            <v>4139.5460000000003</v>
          </cell>
          <cell r="Z133">
            <v>0</v>
          </cell>
          <cell r="AA133">
            <v>509.51499999999999</v>
          </cell>
          <cell r="AB133">
            <v>25.88</v>
          </cell>
          <cell r="AC133">
            <v>403.04</v>
          </cell>
          <cell r="AD133">
            <v>3538.029</v>
          </cell>
          <cell r="AE133">
            <v>5720.8560000000007</v>
          </cell>
          <cell r="AF133">
            <v>3912.4319999999998</v>
          </cell>
          <cell r="AG133">
            <v>1891.791666666667</v>
          </cell>
          <cell r="AH133">
            <v>1891.791666666667</v>
          </cell>
          <cell r="AI133">
            <v>1891.791666666667</v>
          </cell>
        </row>
        <row r="134">
          <cell r="O134" t="str">
            <v>MP0001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1142.9574652777778</v>
          </cell>
          <cell r="AH134">
            <v>1142.9574652777778</v>
          </cell>
          <cell r="AI134">
            <v>1142.9574652777778</v>
          </cell>
        </row>
        <row r="135">
          <cell r="O135" t="str">
            <v>MP0004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112357.29066666668</v>
          </cell>
          <cell r="AH135">
            <v>112357.29066666668</v>
          </cell>
          <cell r="AI135">
            <v>112357.29066666668</v>
          </cell>
        </row>
        <row r="136">
          <cell r="O136" t="str">
            <v>MP0005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42792.327499999999</v>
          </cell>
          <cell r="AH136">
            <v>42792.327499999999</v>
          </cell>
          <cell r="AI136">
            <v>42792.327499999999</v>
          </cell>
        </row>
        <row r="137">
          <cell r="O137" t="str">
            <v>MP0006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1645.8587500000001</v>
          </cell>
          <cell r="AH137">
            <v>1645.8587500000001</v>
          </cell>
          <cell r="AI137">
            <v>1645.8587500000001</v>
          </cell>
        </row>
        <row r="138">
          <cell r="O138" t="str">
            <v>MP0007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28089.322666666671</v>
          </cell>
          <cell r="AH138">
            <v>28089.322666666671</v>
          </cell>
          <cell r="AI138">
            <v>28089.322666666671</v>
          </cell>
        </row>
        <row r="139">
          <cell r="O139" t="str">
            <v>MP0008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1097.2391666666667</v>
          </cell>
          <cell r="AH139">
            <v>1097.2391666666667</v>
          </cell>
          <cell r="AI139">
            <v>1097.2391666666667</v>
          </cell>
        </row>
        <row r="140">
          <cell r="O140" t="str">
            <v>MP0009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1097.2391666666667</v>
          </cell>
          <cell r="AH140">
            <v>1097.2391666666667</v>
          </cell>
          <cell r="AI140">
            <v>1097.2391666666667</v>
          </cell>
        </row>
        <row r="141">
          <cell r="O141" t="str">
            <v>MP0010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1097.2391666666667</v>
          </cell>
          <cell r="AH141">
            <v>1097.2391666666667</v>
          </cell>
          <cell r="AI141">
            <v>1097.2391666666667</v>
          </cell>
        </row>
        <row r="142">
          <cell r="O142" t="str">
            <v>MP0011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1097.2391666666667</v>
          </cell>
          <cell r="AH142">
            <v>1097.2391666666667</v>
          </cell>
          <cell r="AI142">
            <v>1097.2391666666667</v>
          </cell>
        </row>
        <row r="143">
          <cell r="O143" t="str">
            <v>MP0012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1097.2391666666667</v>
          </cell>
          <cell r="AH143">
            <v>1097.2391666666667</v>
          </cell>
          <cell r="AI143">
            <v>1097.2391666666667</v>
          </cell>
        </row>
        <row r="144">
          <cell r="O144" t="str">
            <v>MP0013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1097.2391666666667</v>
          </cell>
          <cell r="AH144">
            <v>1097.2391666666667</v>
          </cell>
          <cell r="AI144">
            <v>1097.2391666666667</v>
          </cell>
        </row>
        <row r="145">
          <cell r="O145" t="str">
            <v>MP0014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1097.2391666666667</v>
          </cell>
          <cell r="AH145">
            <v>1097.2391666666667</v>
          </cell>
          <cell r="AI145">
            <v>1097.2391666666667</v>
          </cell>
        </row>
        <row r="146">
          <cell r="O146" t="str">
            <v>MP0015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1097.2391666666667</v>
          </cell>
          <cell r="AH146">
            <v>1097.2391666666667</v>
          </cell>
          <cell r="AI146">
            <v>1097.2391666666667</v>
          </cell>
        </row>
        <row r="147">
          <cell r="O147" t="str">
            <v>MP0016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1097.2391666666667</v>
          </cell>
          <cell r="AH147">
            <v>1097.2391666666667</v>
          </cell>
          <cell r="AI147">
            <v>1097.2391666666667</v>
          </cell>
        </row>
        <row r="148">
          <cell r="O148" t="str">
            <v>MP0001</v>
          </cell>
          <cell r="X148">
            <v>0</v>
          </cell>
          <cell r="Y148">
            <v>0</v>
          </cell>
          <cell r="Z148">
            <v>0</v>
          </cell>
          <cell r="AA148">
            <v>4318.4645833333334</v>
          </cell>
          <cell r="AB148">
            <v>4952.4697916666673</v>
          </cell>
          <cell r="AC148">
            <v>2732.95</v>
          </cell>
          <cell r="AD148">
            <v>0</v>
          </cell>
          <cell r="AE148">
            <v>753.39687500000002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</row>
        <row r="149">
          <cell r="O149" t="str">
            <v>MP0004</v>
          </cell>
          <cell r="X149">
            <v>0</v>
          </cell>
          <cell r="Y149">
            <v>0</v>
          </cell>
          <cell r="Z149">
            <v>0</v>
          </cell>
          <cell r="AA149">
            <v>424522.34239999996</v>
          </cell>
          <cell r="AB149">
            <v>486847.59040000004</v>
          </cell>
          <cell r="AC149">
            <v>268659.91679999995</v>
          </cell>
          <cell r="AD149">
            <v>0</v>
          </cell>
          <cell r="AE149">
            <v>74061.926399999997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</row>
        <row r="150">
          <cell r="O150" t="str">
            <v>MP0005</v>
          </cell>
          <cell r="X150">
            <v>0</v>
          </cell>
          <cell r="Y150">
            <v>0</v>
          </cell>
          <cell r="Z150">
            <v>0</v>
          </cell>
          <cell r="AA150">
            <v>161683.31399999998</v>
          </cell>
          <cell r="AB150">
            <v>185420.46900000001</v>
          </cell>
          <cell r="AC150">
            <v>102321.64799999999</v>
          </cell>
          <cell r="AD150">
            <v>0</v>
          </cell>
          <cell r="AE150">
            <v>28207.179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</row>
        <row r="151">
          <cell r="O151" t="str">
            <v>MP0006</v>
          </cell>
          <cell r="X151">
            <v>0</v>
          </cell>
          <cell r="Y151">
            <v>0</v>
          </cell>
          <cell r="Z151">
            <v>0</v>
          </cell>
          <cell r="AA151">
            <v>6218.5889999999999</v>
          </cell>
          <cell r="AB151">
            <v>7131.5565000000006</v>
          </cell>
          <cell r="AC151">
            <v>3935.4479999999994</v>
          </cell>
          <cell r="AD151">
            <v>0</v>
          </cell>
          <cell r="AE151">
            <v>1084.8915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</row>
        <row r="152">
          <cell r="O152" t="str">
            <v>MP0007</v>
          </cell>
          <cell r="X152">
            <v>0</v>
          </cell>
          <cell r="Y152">
            <v>0</v>
          </cell>
          <cell r="Z152">
            <v>0</v>
          </cell>
          <cell r="AA152">
            <v>106130.58559999999</v>
          </cell>
          <cell r="AB152">
            <v>121711.89760000001</v>
          </cell>
          <cell r="AC152">
            <v>67164.979199999987</v>
          </cell>
          <cell r="AD152">
            <v>0</v>
          </cell>
          <cell r="AE152">
            <v>18515.481599999999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</row>
        <row r="153">
          <cell r="O153" t="str">
            <v>MP0008</v>
          </cell>
          <cell r="X153">
            <v>0</v>
          </cell>
          <cell r="Y153">
            <v>0</v>
          </cell>
          <cell r="Z153">
            <v>0</v>
          </cell>
          <cell r="AA153">
            <v>4145.7259999999997</v>
          </cell>
          <cell r="AB153">
            <v>4754.3710000000001</v>
          </cell>
          <cell r="AC153">
            <v>2623.6319999999996</v>
          </cell>
          <cell r="AD153">
            <v>0</v>
          </cell>
          <cell r="AE153">
            <v>723.26099999999997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</row>
        <row r="154">
          <cell r="O154" t="str">
            <v>MP0009</v>
          </cell>
          <cell r="X154">
            <v>0</v>
          </cell>
          <cell r="Y154">
            <v>0</v>
          </cell>
          <cell r="Z154">
            <v>0</v>
          </cell>
          <cell r="AA154">
            <v>4145.7259999999997</v>
          </cell>
          <cell r="AB154">
            <v>4754.3710000000001</v>
          </cell>
          <cell r="AC154">
            <v>2623.6319999999996</v>
          </cell>
          <cell r="AD154">
            <v>0</v>
          </cell>
          <cell r="AE154">
            <v>723.26099999999997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</row>
        <row r="155">
          <cell r="O155" t="str">
            <v>MP0010</v>
          </cell>
          <cell r="X155">
            <v>0</v>
          </cell>
          <cell r="Y155">
            <v>0</v>
          </cell>
          <cell r="Z155">
            <v>0</v>
          </cell>
          <cell r="AA155">
            <v>4145.7259999999997</v>
          </cell>
          <cell r="AB155">
            <v>4754.3710000000001</v>
          </cell>
          <cell r="AC155">
            <v>2623.6319999999996</v>
          </cell>
          <cell r="AD155">
            <v>0</v>
          </cell>
          <cell r="AE155">
            <v>723.26099999999997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</row>
        <row r="156">
          <cell r="O156" t="str">
            <v>MP0011</v>
          </cell>
          <cell r="X156">
            <v>0</v>
          </cell>
          <cell r="Y156">
            <v>0</v>
          </cell>
          <cell r="Z156">
            <v>0</v>
          </cell>
          <cell r="AA156">
            <v>4145.7259999999997</v>
          </cell>
          <cell r="AB156">
            <v>4754.3710000000001</v>
          </cell>
          <cell r="AC156">
            <v>2623.6319999999996</v>
          </cell>
          <cell r="AD156">
            <v>0</v>
          </cell>
          <cell r="AE156">
            <v>723.26099999999997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</row>
        <row r="157">
          <cell r="O157" t="str">
            <v>MP0012</v>
          </cell>
          <cell r="X157">
            <v>0</v>
          </cell>
          <cell r="Y157">
            <v>0</v>
          </cell>
          <cell r="Z157">
            <v>0</v>
          </cell>
          <cell r="AA157">
            <v>4145.7259999999997</v>
          </cell>
          <cell r="AB157">
            <v>4754.3710000000001</v>
          </cell>
          <cell r="AC157">
            <v>2623.6319999999996</v>
          </cell>
          <cell r="AD157">
            <v>0</v>
          </cell>
          <cell r="AE157">
            <v>723.26099999999997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</row>
        <row r="158">
          <cell r="O158" t="str">
            <v>MP0013</v>
          </cell>
          <cell r="X158">
            <v>0</v>
          </cell>
          <cell r="Y158">
            <v>0</v>
          </cell>
          <cell r="Z158">
            <v>0</v>
          </cell>
          <cell r="AA158">
            <v>4145.7259999999997</v>
          </cell>
          <cell r="AB158">
            <v>4754.3710000000001</v>
          </cell>
          <cell r="AC158">
            <v>2623.6319999999996</v>
          </cell>
          <cell r="AD158">
            <v>0</v>
          </cell>
          <cell r="AE158">
            <v>723.26099999999997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</row>
        <row r="159">
          <cell r="O159" t="str">
            <v>MP0014</v>
          </cell>
          <cell r="X159">
            <v>0</v>
          </cell>
          <cell r="Y159">
            <v>0</v>
          </cell>
          <cell r="Z159">
            <v>0</v>
          </cell>
          <cell r="AA159">
            <v>4145.7259999999997</v>
          </cell>
          <cell r="AB159">
            <v>4754.3710000000001</v>
          </cell>
          <cell r="AC159">
            <v>2623.6319999999996</v>
          </cell>
          <cell r="AD159">
            <v>0</v>
          </cell>
          <cell r="AE159">
            <v>723.26099999999997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</row>
        <row r="160">
          <cell r="O160" t="str">
            <v>MP0015</v>
          </cell>
          <cell r="X160">
            <v>0</v>
          </cell>
          <cell r="Y160">
            <v>0</v>
          </cell>
          <cell r="Z160">
            <v>0</v>
          </cell>
          <cell r="AA160">
            <v>4145.7259999999997</v>
          </cell>
          <cell r="AB160">
            <v>4754.3710000000001</v>
          </cell>
          <cell r="AC160">
            <v>2623.6319999999996</v>
          </cell>
          <cell r="AD160">
            <v>0</v>
          </cell>
          <cell r="AE160">
            <v>723.26099999999997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</row>
        <row r="161">
          <cell r="O161" t="str">
            <v>MP0016</v>
          </cell>
          <cell r="X161">
            <v>0</v>
          </cell>
          <cell r="Y161">
            <v>0</v>
          </cell>
          <cell r="Z161">
            <v>0</v>
          </cell>
          <cell r="AA161">
            <v>4145.7259999999997</v>
          </cell>
          <cell r="AB161">
            <v>4754.3710000000001</v>
          </cell>
          <cell r="AC161">
            <v>2623.6319999999996</v>
          </cell>
          <cell r="AD161">
            <v>0</v>
          </cell>
          <cell r="AE161">
            <v>723.26099999999997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</row>
        <row r="162">
          <cell r="O162" t="str">
            <v>MP0001</v>
          </cell>
          <cell r="X162">
            <v>0</v>
          </cell>
          <cell r="Y162">
            <v>0</v>
          </cell>
          <cell r="Z162">
            <v>0</v>
          </cell>
          <cell r="AA162">
            <v>1538.6479166666668</v>
          </cell>
          <cell r="AB162">
            <v>8.0906250000000011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1182.3697916666667</v>
          </cell>
          <cell r="AH162">
            <v>1182.3697916666667</v>
          </cell>
          <cell r="AI162">
            <v>1182.3697916666667</v>
          </cell>
        </row>
        <row r="163">
          <cell r="O163" t="str">
            <v>MP0004</v>
          </cell>
          <cell r="X163">
            <v>0</v>
          </cell>
          <cell r="Y163">
            <v>0</v>
          </cell>
          <cell r="Z163">
            <v>0</v>
          </cell>
          <cell r="AA163">
            <v>151255.24480000001</v>
          </cell>
          <cell r="AB163">
            <v>795.34080000000006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116231.68000000001</v>
          </cell>
          <cell r="AH163">
            <v>116231.68000000001</v>
          </cell>
          <cell r="AI163">
            <v>116231.68000000001</v>
          </cell>
        </row>
        <row r="164">
          <cell r="O164" t="str">
            <v>MP0005</v>
          </cell>
          <cell r="X164">
            <v>0</v>
          </cell>
          <cell r="Y164">
            <v>0</v>
          </cell>
          <cell r="Z164">
            <v>0</v>
          </cell>
          <cell r="AA164">
            <v>57606.978000000003</v>
          </cell>
          <cell r="AB164">
            <v>302.91300000000001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44267.925000000003</v>
          </cell>
          <cell r="AH164">
            <v>44267.925000000003</v>
          </cell>
          <cell r="AI164">
            <v>44267.925000000003</v>
          </cell>
        </row>
        <row r="165">
          <cell r="O165" t="str">
            <v>MP0006</v>
          </cell>
          <cell r="X165">
            <v>0</v>
          </cell>
          <cell r="Y165">
            <v>0</v>
          </cell>
          <cell r="Z165">
            <v>0</v>
          </cell>
          <cell r="AA165">
            <v>2215.6530000000002</v>
          </cell>
          <cell r="AB165">
            <v>11.650500000000001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1702.6125000000002</v>
          </cell>
          <cell r="AH165">
            <v>1702.6125000000002</v>
          </cell>
          <cell r="AI165">
            <v>1702.6125000000002</v>
          </cell>
        </row>
        <row r="166">
          <cell r="O166" t="str">
            <v>MP0007</v>
          </cell>
          <cell r="X166">
            <v>0</v>
          </cell>
          <cell r="Y166">
            <v>0</v>
          </cell>
          <cell r="Z166">
            <v>0</v>
          </cell>
          <cell r="AA166">
            <v>37813.811200000004</v>
          </cell>
          <cell r="AB166">
            <v>198.83520000000001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29057.920000000002</v>
          </cell>
          <cell r="AH166">
            <v>29057.920000000002</v>
          </cell>
          <cell r="AI166">
            <v>29057.920000000002</v>
          </cell>
        </row>
        <row r="167">
          <cell r="O167" t="str">
            <v>MP0008</v>
          </cell>
          <cell r="X167">
            <v>0</v>
          </cell>
          <cell r="Y167">
            <v>0</v>
          </cell>
          <cell r="Z167">
            <v>0</v>
          </cell>
          <cell r="AA167">
            <v>1477.1020000000001</v>
          </cell>
          <cell r="AB167">
            <v>7.7670000000000003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1135.075</v>
          </cell>
          <cell r="AH167">
            <v>1135.075</v>
          </cell>
          <cell r="AI167">
            <v>1135.075</v>
          </cell>
        </row>
        <row r="168">
          <cell r="O168" t="str">
            <v>MP0009</v>
          </cell>
          <cell r="X168">
            <v>0</v>
          </cell>
          <cell r="Y168">
            <v>0</v>
          </cell>
          <cell r="Z168">
            <v>0</v>
          </cell>
          <cell r="AA168">
            <v>1477.1020000000001</v>
          </cell>
          <cell r="AB168">
            <v>7.7670000000000003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1135.075</v>
          </cell>
          <cell r="AH168">
            <v>1135.075</v>
          </cell>
          <cell r="AI168">
            <v>1135.075</v>
          </cell>
        </row>
        <row r="169">
          <cell r="O169" t="str">
            <v>MP0010</v>
          </cell>
          <cell r="X169">
            <v>0</v>
          </cell>
          <cell r="Y169">
            <v>0</v>
          </cell>
          <cell r="Z169">
            <v>0</v>
          </cell>
          <cell r="AA169">
            <v>1477.1020000000001</v>
          </cell>
          <cell r="AB169">
            <v>7.7670000000000003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1135.075</v>
          </cell>
          <cell r="AH169">
            <v>1135.075</v>
          </cell>
          <cell r="AI169">
            <v>1135.075</v>
          </cell>
        </row>
        <row r="170">
          <cell r="O170" t="str">
            <v>MP0011</v>
          </cell>
          <cell r="X170">
            <v>0</v>
          </cell>
          <cell r="Y170">
            <v>0</v>
          </cell>
          <cell r="Z170">
            <v>0</v>
          </cell>
          <cell r="AA170">
            <v>1477.1020000000001</v>
          </cell>
          <cell r="AB170">
            <v>7.7670000000000003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1135.075</v>
          </cell>
          <cell r="AH170">
            <v>1135.075</v>
          </cell>
          <cell r="AI170">
            <v>1135.075</v>
          </cell>
        </row>
        <row r="171">
          <cell r="O171" t="str">
            <v>MP0012</v>
          </cell>
          <cell r="X171">
            <v>0</v>
          </cell>
          <cell r="Y171">
            <v>0</v>
          </cell>
          <cell r="Z171">
            <v>0</v>
          </cell>
          <cell r="AA171">
            <v>1477.1020000000001</v>
          </cell>
          <cell r="AB171">
            <v>7.7670000000000003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1135.075</v>
          </cell>
          <cell r="AH171">
            <v>1135.075</v>
          </cell>
          <cell r="AI171">
            <v>1135.075</v>
          </cell>
        </row>
        <row r="172">
          <cell r="O172" t="str">
            <v>MP0013</v>
          </cell>
          <cell r="X172">
            <v>0</v>
          </cell>
          <cell r="Y172">
            <v>0</v>
          </cell>
          <cell r="Z172">
            <v>0</v>
          </cell>
          <cell r="AA172">
            <v>1477.1020000000001</v>
          </cell>
          <cell r="AB172">
            <v>7.7670000000000003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1135.075</v>
          </cell>
          <cell r="AH172">
            <v>1135.075</v>
          </cell>
          <cell r="AI172">
            <v>1135.075</v>
          </cell>
        </row>
        <row r="173">
          <cell r="O173" t="str">
            <v>MP0014</v>
          </cell>
          <cell r="X173">
            <v>0</v>
          </cell>
          <cell r="Y173">
            <v>0</v>
          </cell>
          <cell r="Z173">
            <v>0</v>
          </cell>
          <cell r="AA173">
            <v>1477.1020000000001</v>
          </cell>
          <cell r="AB173">
            <v>7.7670000000000003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1135.075</v>
          </cell>
          <cell r="AH173">
            <v>1135.075</v>
          </cell>
          <cell r="AI173">
            <v>1135.075</v>
          </cell>
        </row>
        <row r="174">
          <cell r="O174" t="str">
            <v>MP0015</v>
          </cell>
          <cell r="X174">
            <v>0</v>
          </cell>
          <cell r="Y174">
            <v>0</v>
          </cell>
          <cell r="Z174">
            <v>0</v>
          </cell>
          <cell r="AA174">
            <v>1477.1020000000001</v>
          </cell>
          <cell r="AB174">
            <v>7.7670000000000003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1135.075</v>
          </cell>
          <cell r="AH174">
            <v>1135.075</v>
          </cell>
          <cell r="AI174">
            <v>1135.075</v>
          </cell>
        </row>
        <row r="175">
          <cell r="O175" t="str">
            <v>MP0016</v>
          </cell>
          <cell r="X175">
            <v>0</v>
          </cell>
          <cell r="Y175">
            <v>0</v>
          </cell>
          <cell r="Z175">
            <v>0</v>
          </cell>
          <cell r="AA175">
            <v>1477.1020000000001</v>
          </cell>
          <cell r="AB175">
            <v>7.7670000000000003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1135.075</v>
          </cell>
          <cell r="AH175">
            <v>1135.075</v>
          </cell>
          <cell r="AI175">
            <v>1135.075</v>
          </cell>
        </row>
        <row r="176">
          <cell r="O176" t="str">
            <v>MP0034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</row>
        <row r="177">
          <cell r="O177" t="str">
            <v>MP0004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</row>
        <row r="178">
          <cell r="O178" t="str">
            <v>MP0007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</row>
        <row r="179">
          <cell r="O179" t="str">
            <v>MP0011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</row>
        <row r="180">
          <cell r="O180" t="str">
            <v>MP0012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</row>
        <row r="181">
          <cell r="O181" t="str">
            <v>MP0013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</row>
        <row r="182">
          <cell r="O182" t="str">
            <v>MP0014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</row>
        <row r="183">
          <cell r="O183" t="str">
            <v>MP0015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</row>
        <row r="184">
          <cell r="O184" t="str">
            <v>MP0016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</row>
        <row r="185">
          <cell r="O185" t="str">
            <v>MP0035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</row>
        <row r="186">
          <cell r="O186" t="str">
            <v>MP0004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</row>
        <row r="187">
          <cell r="O187" t="str">
            <v>MP0007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</row>
        <row r="188">
          <cell r="O188" t="str">
            <v>MP0011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</row>
        <row r="189">
          <cell r="O189" t="str">
            <v>MP0012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</row>
        <row r="190">
          <cell r="O190" t="str">
            <v>MP0013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</row>
        <row r="191">
          <cell r="O191" t="str">
            <v>MP0014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</row>
        <row r="192">
          <cell r="O192" t="str">
            <v>MP0015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</row>
        <row r="193">
          <cell r="O193" t="str">
            <v>MP0016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</row>
        <row r="194">
          <cell r="O194" t="str">
            <v>MP0036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</row>
        <row r="195">
          <cell r="O195" t="str">
            <v>MP0004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</row>
        <row r="196">
          <cell r="O196" t="str">
            <v>MP0007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</row>
        <row r="197">
          <cell r="O197" t="str">
            <v>MP0011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</row>
        <row r="198">
          <cell r="O198" t="str">
            <v>MP0012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</row>
        <row r="199">
          <cell r="O199" t="str">
            <v>MP0013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</row>
        <row r="200">
          <cell r="O200" t="str">
            <v>MP0014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</row>
        <row r="201">
          <cell r="O201" t="str">
            <v>MP0015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</row>
        <row r="202">
          <cell r="O202" t="str">
            <v>MP0016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</row>
        <row r="203">
          <cell r="O203" t="str">
            <v>MP0037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</row>
        <row r="204">
          <cell r="O204" t="str">
            <v>MP0004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</row>
        <row r="205">
          <cell r="O205" t="str">
            <v>MP0007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</row>
        <row r="206">
          <cell r="O206" t="str">
            <v>MP0011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</row>
        <row r="207">
          <cell r="O207" t="str">
            <v>MP0012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</row>
        <row r="208">
          <cell r="O208" t="str">
            <v>MP0013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</row>
        <row r="209">
          <cell r="O209" t="str">
            <v>MP0014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</row>
        <row r="210">
          <cell r="O210" t="str">
            <v>MP0015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</row>
        <row r="211">
          <cell r="O211" t="str">
            <v>MP0016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</row>
        <row r="212">
          <cell r="O212" t="str">
            <v>MP0038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</row>
        <row r="213">
          <cell r="O213" t="str">
            <v>MP0004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</row>
        <row r="214">
          <cell r="O214" t="str">
            <v>MP0007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</row>
        <row r="215">
          <cell r="O215" t="str">
            <v>MP0011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</row>
        <row r="216">
          <cell r="O216" t="str">
            <v>MP0012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</row>
        <row r="217">
          <cell r="O217" t="str">
            <v>MP0013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</row>
        <row r="218">
          <cell r="O218" t="str">
            <v>MP0014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</row>
        <row r="219">
          <cell r="O219" t="str">
            <v>MP0015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</row>
        <row r="220">
          <cell r="O220" t="str">
            <v>MP0016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</row>
        <row r="221">
          <cell r="O221" t="str">
            <v>MP0039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</row>
        <row r="222">
          <cell r="O222" t="str">
            <v>MP0004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</row>
        <row r="223">
          <cell r="O223" t="str">
            <v>MP0007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</row>
        <row r="224">
          <cell r="O224" t="str">
            <v>MP0011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</row>
        <row r="225">
          <cell r="O225" t="str">
            <v>MP0012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</row>
        <row r="226">
          <cell r="O226" t="str">
            <v>MP0013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</row>
        <row r="227">
          <cell r="O227" t="str">
            <v>MP0014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</row>
        <row r="228">
          <cell r="O228" t="str">
            <v>MP0015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</row>
        <row r="229">
          <cell r="O229" t="str">
            <v>MP0016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</row>
        <row r="230">
          <cell r="O230" t="str">
            <v>MP0040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</row>
        <row r="231">
          <cell r="O231" t="str">
            <v>MP0004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</row>
        <row r="232">
          <cell r="O232" t="str">
            <v>MP0007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</row>
        <row r="233">
          <cell r="O233" t="str">
            <v>MP0011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</row>
        <row r="234">
          <cell r="O234" t="str">
            <v>MP0012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</row>
        <row r="235">
          <cell r="O235" t="str">
            <v>MP0013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</row>
        <row r="236">
          <cell r="O236" t="str">
            <v>MP0014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</row>
        <row r="237">
          <cell r="O237" t="str">
            <v>MP0015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</row>
        <row r="238">
          <cell r="O238" t="str">
            <v>MP0016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</row>
        <row r="239">
          <cell r="O239" t="str">
            <v>MP0034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</row>
        <row r="240">
          <cell r="O240" t="str">
            <v>MP0004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</row>
        <row r="241">
          <cell r="O241" t="str">
            <v>MP0007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</row>
        <row r="242">
          <cell r="O242" t="str">
            <v>MP0011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</row>
        <row r="243">
          <cell r="O243" t="str">
            <v>MP0012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</row>
        <row r="244">
          <cell r="O244" t="str">
            <v>MP0013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</row>
        <row r="245">
          <cell r="O245" t="str">
            <v>MP0014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</row>
        <row r="246">
          <cell r="O246" t="str">
            <v>MP0015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</row>
        <row r="247">
          <cell r="O247" t="str">
            <v>MP0016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</row>
        <row r="248">
          <cell r="O248" t="str">
            <v>MP0034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</row>
        <row r="249">
          <cell r="O249" t="str">
            <v>MP0004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</row>
        <row r="250">
          <cell r="O250" t="str">
            <v>MP0007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</row>
        <row r="251">
          <cell r="O251" t="str">
            <v>MP0011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</row>
        <row r="252">
          <cell r="O252" t="str">
            <v>MP0012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</row>
        <row r="253">
          <cell r="O253" t="str">
            <v>MP0013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</row>
        <row r="254">
          <cell r="O254" t="str">
            <v>MP0014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</row>
        <row r="255">
          <cell r="O255" t="str">
            <v>MP0015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</row>
        <row r="256">
          <cell r="O256" t="str">
            <v>MP0016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</row>
        <row r="257">
          <cell r="O257" t="str">
            <v>MP0034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</row>
        <row r="258">
          <cell r="O258" t="str">
            <v>MP0004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</row>
        <row r="259">
          <cell r="O259" t="str">
            <v>MP0007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</row>
        <row r="260">
          <cell r="O260" t="str">
            <v>MP0011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</row>
        <row r="261">
          <cell r="O261" t="str">
            <v>MP0012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</row>
        <row r="262">
          <cell r="O262" t="str">
            <v>MP0013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</row>
        <row r="263">
          <cell r="O263" t="str">
            <v>MP0014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</row>
        <row r="264">
          <cell r="O264" t="str">
            <v>MP0015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</row>
        <row r="265">
          <cell r="O265" t="str">
            <v>MP0016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</row>
        <row r="266">
          <cell r="O266" t="str">
            <v>MP0034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</row>
        <row r="267">
          <cell r="O267" t="str">
            <v>MP0004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</row>
        <row r="268">
          <cell r="O268" t="str">
            <v>MP0007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</row>
        <row r="269">
          <cell r="O269" t="str">
            <v>MP0011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</row>
        <row r="270">
          <cell r="O270" t="str">
            <v>MP0012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</row>
        <row r="271">
          <cell r="O271" t="str">
            <v>MP0013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</row>
        <row r="272">
          <cell r="O272" t="str">
            <v>MP0014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</row>
        <row r="273">
          <cell r="O273" t="str">
            <v>MP0015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</row>
        <row r="274">
          <cell r="O274" t="str">
            <v>MP0016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</row>
        <row r="275">
          <cell r="O275" t="str">
            <v>MP0027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</row>
        <row r="276">
          <cell r="O276" t="str">
            <v>MP0004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</row>
        <row r="277">
          <cell r="O277" t="str">
            <v>MP0007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</row>
        <row r="278">
          <cell r="O278" t="str">
            <v>MP0011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</row>
        <row r="279">
          <cell r="O279" t="str">
            <v>MP0012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</row>
        <row r="280">
          <cell r="O280" t="str">
            <v>MP0013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</row>
        <row r="281">
          <cell r="O281" t="str">
            <v>MP0014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</row>
        <row r="282">
          <cell r="O282" t="str">
            <v>MP0015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</row>
        <row r="283">
          <cell r="O283" t="str">
            <v>MP0016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</row>
        <row r="284">
          <cell r="O284" t="str">
            <v>MP0029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</row>
        <row r="285">
          <cell r="O285" t="str">
            <v>MP0004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</row>
        <row r="286">
          <cell r="O286" t="str">
            <v>MP0007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</row>
        <row r="287">
          <cell r="O287" t="str">
            <v>MP0011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</row>
        <row r="288">
          <cell r="O288" t="str">
            <v>MP0012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</row>
        <row r="289">
          <cell r="O289" t="str">
            <v>MP0013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</row>
        <row r="290">
          <cell r="O290" t="str">
            <v>MP0014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</row>
        <row r="291">
          <cell r="O291" t="str">
            <v>MP0015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</row>
        <row r="292">
          <cell r="O292" t="str">
            <v>MP0016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</row>
        <row r="293">
          <cell r="O293" t="str">
            <v>MP0031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</row>
        <row r="294">
          <cell r="O294" t="str">
            <v>MP0004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</row>
        <row r="295">
          <cell r="O295" t="str">
            <v>MP0007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</row>
        <row r="296">
          <cell r="O296" t="str">
            <v>MP0011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</row>
        <row r="297">
          <cell r="O297" t="str">
            <v>MP0012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</row>
        <row r="298">
          <cell r="O298" t="str">
            <v>MP0013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</row>
        <row r="299">
          <cell r="O299" t="str">
            <v>MP0014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</row>
        <row r="300">
          <cell r="O300" t="str">
            <v>MP0015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</row>
        <row r="301">
          <cell r="O301" t="str">
            <v>MP0016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</row>
        <row r="302">
          <cell r="O302" t="str">
            <v>MP0030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</row>
        <row r="303">
          <cell r="O303" t="str">
            <v>MP0004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</row>
        <row r="304">
          <cell r="O304" t="str">
            <v>MP0007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</row>
        <row r="305">
          <cell r="O305" t="str">
            <v>MP0011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</row>
        <row r="306">
          <cell r="O306" t="str">
            <v>MP0012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</row>
        <row r="307">
          <cell r="O307" t="str">
            <v>MP0013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</row>
        <row r="308">
          <cell r="O308" t="str">
            <v>MP0014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</row>
        <row r="309">
          <cell r="O309" t="str">
            <v>MP0015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</row>
        <row r="310">
          <cell r="O310" t="str">
            <v>MP0016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</row>
        <row r="311">
          <cell r="O311" t="str">
            <v>MP0019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</row>
        <row r="312">
          <cell r="O312" t="str">
            <v>MP0004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</row>
        <row r="313">
          <cell r="O313" t="str">
            <v>MP0007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</row>
        <row r="314">
          <cell r="O314" t="str">
            <v>MP0006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</row>
        <row r="315">
          <cell r="O315" t="str">
            <v>MP0012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</row>
        <row r="316">
          <cell r="O316" t="str">
            <v>MP0013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</row>
        <row r="317">
          <cell r="O317" t="str">
            <v>MP0018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</row>
        <row r="318">
          <cell r="O318" t="str">
            <v>MP0020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</row>
        <row r="319">
          <cell r="O319" t="str">
            <v>MP0004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</row>
        <row r="320">
          <cell r="O320" t="str">
            <v>MP0007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</row>
        <row r="321">
          <cell r="O321" t="str">
            <v>MP0006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</row>
        <row r="322">
          <cell r="O322" t="str">
            <v>MP0012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</row>
        <row r="323">
          <cell r="O323" t="str">
            <v>MP0013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</row>
        <row r="324">
          <cell r="O324" t="str">
            <v>MP0018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</row>
        <row r="325">
          <cell r="O325" t="str">
            <v>MP0022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</row>
        <row r="326">
          <cell r="O326" t="str">
            <v>MP0004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</row>
        <row r="327">
          <cell r="O327" t="str">
            <v>MP0007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</row>
        <row r="328">
          <cell r="O328" t="str">
            <v>MP0006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</row>
        <row r="329">
          <cell r="O329" t="str">
            <v>MP0012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</row>
        <row r="330">
          <cell r="O330" t="str">
            <v>MP0013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</row>
        <row r="331">
          <cell r="O331" t="str">
            <v>MP0018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</row>
        <row r="332">
          <cell r="O332" t="str">
            <v>MP0027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</row>
        <row r="333">
          <cell r="O333" t="str">
            <v>MP0004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</row>
        <row r="334">
          <cell r="O334" t="str">
            <v>MP0007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</row>
        <row r="335">
          <cell r="O335" t="str">
            <v>MP0006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</row>
        <row r="336">
          <cell r="O336" t="str">
            <v>MP0012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</row>
        <row r="337">
          <cell r="O337" t="str">
            <v>MP0013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</row>
        <row r="338">
          <cell r="O338" t="str">
            <v>MP0018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</row>
        <row r="339">
          <cell r="O339" t="str">
            <v>MP0027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</row>
        <row r="340">
          <cell r="O340" t="str">
            <v>MP0004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</row>
        <row r="341">
          <cell r="O341" t="str">
            <v>MP0007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</row>
        <row r="342">
          <cell r="O342" t="str">
            <v>MP0006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</row>
        <row r="343">
          <cell r="O343" t="str">
            <v>MP0012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</row>
        <row r="344">
          <cell r="O344" t="str">
            <v>MP0013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</row>
        <row r="345">
          <cell r="O345" t="str">
            <v>MP0029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</row>
        <row r="346">
          <cell r="O346" t="str">
            <v>MP0004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</row>
        <row r="347">
          <cell r="O347" t="str">
            <v>MP0007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</row>
        <row r="348">
          <cell r="O348" t="str">
            <v>MP0006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</row>
        <row r="349">
          <cell r="O349" t="str">
            <v>MP0012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</row>
        <row r="350">
          <cell r="O350" t="str">
            <v>MP0013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</row>
        <row r="351">
          <cell r="O351" t="str">
            <v>MP0031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</row>
        <row r="352">
          <cell r="O352" t="str">
            <v>MP0004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</row>
        <row r="353">
          <cell r="O353" t="str">
            <v>MP0007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</row>
        <row r="354">
          <cell r="O354" t="str">
            <v>MP0006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</row>
        <row r="355">
          <cell r="O355" t="str">
            <v>MP0012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</row>
        <row r="356">
          <cell r="O356" t="str">
            <v>MP0013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</row>
        <row r="357">
          <cell r="O357" t="str">
            <v>MP0030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</row>
        <row r="358">
          <cell r="O358" t="str">
            <v>MP0004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</row>
        <row r="359">
          <cell r="O359" t="str">
            <v>MP0007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</row>
        <row r="360">
          <cell r="O360" t="str">
            <v>MP0006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</row>
        <row r="361">
          <cell r="O361" t="str">
            <v>MP0012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</row>
        <row r="362">
          <cell r="O362" t="str">
            <v>MP0013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</row>
      </sheetData>
      <sheetData sheetId="6">
        <row r="6">
          <cell r="A6" t="str">
            <v>Code Article</v>
          </cell>
          <cell r="B6" t="str">
            <v>Description Article</v>
          </cell>
          <cell r="C6" t="str">
            <v>Code Famille</v>
          </cell>
          <cell r="D6" t="str">
            <v>Famille</v>
          </cell>
          <cell r="E6" t="str">
            <v>Code PF</v>
          </cell>
          <cell r="F6" t="str">
            <v>Description PF</v>
          </cell>
          <cell r="G6" t="str">
            <v>Code Type</v>
          </cell>
          <cell r="H6" t="str">
            <v>Type</v>
          </cell>
          <cell r="I6" t="str">
            <v>Unité</v>
          </cell>
          <cell r="J6" t="str">
            <v>Atelier Consommation</v>
          </cell>
          <cell r="K6" t="str">
            <v>Code PF</v>
          </cell>
          <cell r="L6" t="str">
            <v>Produits Finis</v>
          </cell>
          <cell r="M6" t="str">
            <v>Prix</v>
          </cell>
          <cell r="N6">
            <v>0</v>
          </cell>
        </row>
        <row r="7">
          <cell r="A7" t="str">
            <v>MP0001</v>
          </cell>
          <cell r="B7" t="str">
            <v>Billette 125*125</v>
          </cell>
          <cell r="C7" t="str">
            <v>R01</v>
          </cell>
          <cell r="D7" t="str">
            <v xml:space="preserve">Billettes </v>
          </cell>
          <cell r="E7" t="str">
            <v>C01</v>
          </cell>
          <cell r="F7" t="str">
            <v xml:space="preserve">Matiéres </v>
          </cell>
          <cell r="G7" t="str">
            <v>T01</v>
          </cell>
          <cell r="H7" t="str">
            <v>MATIERES PREMIERES</v>
          </cell>
          <cell r="I7" t="str">
            <v>Kg</v>
          </cell>
          <cell r="J7" t="str">
            <v>Laminage à Chaud</v>
          </cell>
          <cell r="K7">
            <v>0</v>
          </cell>
          <cell r="L7">
            <v>0</v>
          </cell>
          <cell r="M7">
            <v>9</v>
          </cell>
          <cell r="N7">
            <v>0</v>
          </cell>
        </row>
        <row r="8">
          <cell r="A8" t="str">
            <v>MP0002</v>
          </cell>
          <cell r="B8" t="str">
            <v>Billette 135*135</v>
          </cell>
          <cell r="C8" t="str">
            <v>R01</v>
          </cell>
          <cell r="D8" t="str">
            <v xml:space="preserve">Billettes </v>
          </cell>
          <cell r="E8" t="str">
            <v>C01</v>
          </cell>
          <cell r="F8" t="str">
            <v xml:space="preserve">Matiéres </v>
          </cell>
          <cell r="G8" t="str">
            <v>T01</v>
          </cell>
          <cell r="H8" t="str">
            <v>MATIERES PREMIERES</v>
          </cell>
          <cell r="I8" t="str">
            <v>Kg</v>
          </cell>
          <cell r="J8" t="str">
            <v>Laminage à Chaud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A9" t="str">
            <v>MP0003</v>
          </cell>
          <cell r="B9" t="str">
            <v>Billette 150*150</v>
          </cell>
          <cell r="C9" t="str">
            <v>R01</v>
          </cell>
          <cell r="D9" t="str">
            <v xml:space="preserve">Billettes </v>
          </cell>
          <cell r="E9" t="str">
            <v>C01</v>
          </cell>
          <cell r="F9" t="str">
            <v xml:space="preserve">Matiéres </v>
          </cell>
          <cell r="G9" t="str">
            <v>T01</v>
          </cell>
          <cell r="H9" t="str">
            <v>MATIERES PREMIERES</v>
          </cell>
          <cell r="I9" t="str">
            <v>Kg</v>
          </cell>
          <cell r="J9" t="str">
            <v>Laminage à Chaud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A10" t="str">
            <v>MP0004</v>
          </cell>
          <cell r="B10" t="str">
            <v>Elec Kwh</v>
          </cell>
          <cell r="C10" t="str">
            <v>R02</v>
          </cell>
          <cell r="D10" t="str">
            <v xml:space="preserve">Electricité </v>
          </cell>
          <cell r="E10" t="str">
            <v>C02</v>
          </cell>
          <cell r="F10" t="str">
            <v xml:space="preserve">Energies </v>
          </cell>
          <cell r="G10" t="str">
            <v>T02</v>
          </cell>
          <cell r="H10" t="str">
            <v>Energie</v>
          </cell>
          <cell r="I10" t="str">
            <v>Kg</v>
          </cell>
          <cell r="J10">
            <v>0</v>
          </cell>
          <cell r="K10">
            <v>0</v>
          </cell>
          <cell r="L10">
            <v>0</v>
          </cell>
          <cell r="M10">
            <v>15</v>
          </cell>
          <cell r="N10">
            <v>0</v>
          </cell>
        </row>
        <row r="11">
          <cell r="A11" t="str">
            <v>MP0005</v>
          </cell>
          <cell r="B11" t="str">
            <v>Gaz Naturel NM3</v>
          </cell>
          <cell r="C11" t="str">
            <v>R02</v>
          </cell>
          <cell r="D11" t="str">
            <v>Gaz</v>
          </cell>
          <cell r="E11" t="str">
            <v>C02</v>
          </cell>
          <cell r="F11" t="str">
            <v xml:space="preserve">Energies </v>
          </cell>
          <cell r="G11" t="str">
            <v>T02</v>
          </cell>
          <cell r="H11" t="str">
            <v>Energie</v>
          </cell>
          <cell r="I11" t="str">
            <v>Kg</v>
          </cell>
          <cell r="J11">
            <v>0</v>
          </cell>
          <cell r="K11">
            <v>0</v>
          </cell>
          <cell r="L11">
            <v>0</v>
          </cell>
          <cell r="M11">
            <v>16</v>
          </cell>
          <cell r="N11">
            <v>0</v>
          </cell>
        </row>
        <row r="12">
          <cell r="A12" t="str">
            <v>MP0006</v>
          </cell>
          <cell r="B12" t="str">
            <v>Eau de refroidissement</v>
          </cell>
          <cell r="C12" t="str">
            <v>R02</v>
          </cell>
          <cell r="D12" t="str">
            <v xml:space="preserve">Eau </v>
          </cell>
          <cell r="E12" t="str">
            <v>C02</v>
          </cell>
          <cell r="F12" t="str">
            <v xml:space="preserve">Energies </v>
          </cell>
          <cell r="G12" t="str">
            <v>T02</v>
          </cell>
          <cell r="H12" t="str">
            <v>Energie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 t="str">
            <v>MP0007</v>
          </cell>
          <cell r="B13" t="str">
            <v>Air Comprimé</v>
          </cell>
          <cell r="C13" t="str">
            <v>R02</v>
          </cell>
          <cell r="D13" t="str">
            <v>Energie</v>
          </cell>
          <cell r="E13" t="str">
            <v>C02</v>
          </cell>
          <cell r="F13" t="str">
            <v xml:space="preserve">Energies </v>
          </cell>
          <cell r="G13" t="str">
            <v>T02</v>
          </cell>
          <cell r="H13" t="str">
            <v>Energie</v>
          </cell>
          <cell r="I13" t="str">
            <v>Kg</v>
          </cell>
          <cell r="J13">
            <v>0</v>
          </cell>
          <cell r="K13">
            <v>0</v>
          </cell>
          <cell r="L13">
            <v>0</v>
          </cell>
          <cell r="M13">
            <v>18</v>
          </cell>
          <cell r="N13">
            <v>0</v>
          </cell>
        </row>
        <row r="14">
          <cell r="A14" t="str">
            <v>MP0008</v>
          </cell>
          <cell r="B14" t="str">
            <v>Cylindre Laminage (Fonte)</v>
          </cell>
          <cell r="C14" t="str">
            <v>R03</v>
          </cell>
          <cell r="D14" t="str">
            <v>Piéces de rechange</v>
          </cell>
          <cell r="E14" t="str">
            <v>C03</v>
          </cell>
          <cell r="F14" t="str">
            <v>Piéces de rechange</v>
          </cell>
          <cell r="G14" t="str">
            <v>T03</v>
          </cell>
          <cell r="H14" t="str">
            <v>Piéces de rechange</v>
          </cell>
          <cell r="I14" t="str">
            <v>Kg</v>
          </cell>
          <cell r="J14">
            <v>0</v>
          </cell>
          <cell r="K14">
            <v>0</v>
          </cell>
          <cell r="L14">
            <v>0</v>
          </cell>
          <cell r="M14">
            <v>22</v>
          </cell>
          <cell r="N14">
            <v>0</v>
          </cell>
        </row>
        <row r="15">
          <cell r="A15" t="str">
            <v>MP0009</v>
          </cell>
          <cell r="B15" t="str">
            <v>Guide de Laminage</v>
          </cell>
          <cell r="C15" t="str">
            <v>R03</v>
          </cell>
          <cell r="D15" t="str">
            <v>Piéces de rechange</v>
          </cell>
          <cell r="E15" t="str">
            <v>C03</v>
          </cell>
          <cell r="F15" t="str">
            <v>Piéces de rechange</v>
          </cell>
          <cell r="G15" t="str">
            <v>T03</v>
          </cell>
          <cell r="H15" t="str">
            <v>Piéces de rechange</v>
          </cell>
          <cell r="I15" t="str">
            <v>Kg</v>
          </cell>
          <cell r="J15">
            <v>0</v>
          </cell>
          <cell r="K15">
            <v>0</v>
          </cell>
          <cell r="L15">
            <v>0</v>
          </cell>
          <cell r="M15">
            <v>23</v>
          </cell>
          <cell r="N15">
            <v>0</v>
          </cell>
        </row>
        <row r="16">
          <cell r="A16" t="str">
            <v>MP0010</v>
          </cell>
          <cell r="B16" t="str">
            <v xml:space="preserve">Lame de Cisalle </v>
          </cell>
          <cell r="C16" t="str">
            <v>R03</v>
          </cell>
          <cell r="D16" t="str">
            <v>Piéces de rechange</v>
          </cell>
          <cell r="E16" t="str">
            <v>C03</v>
          </cell>
          <cell r="F16" t="str">
            <v>Piéces de rechange</v>
          </cell>
          <cell r="G16" t="str">
            <v>T03</v>
          </cell>
          <cell r="H16" t="str">
            <v>Piéces de rechange</v>
          </cell>
          <cell r="I16" t="str">
            <v>Kg</v>
          </cell>
          <cell r="J16">
            <v>0</v>
          </cell>
          <cell r="K16">
            <v>0</v>
          </cell>
          <cell r="L16">
            <v>0</v>
          </cell>
          <cell r="M16">
            <v>24</v>
          </cell>
          <cell r="N16">
            <v>0</v>
          </cell>
        </row>
        <row r="17">
          <cell r="A17" t="str">
            <v>MP0011</v>
          </cell>
          <cell r="B17" t="str">
            <v>ProduitsConsommables</v>
          </cell>
          <cell r="C17" t="str">
            <v>R03</v>
          </cell>
          <cell r="D17" t="str">
            <v>Piéces de rechange</v>
          </cell>
          <cell r="E17" t="str">
            <v>C03</v>
          </cell>
          <cell r="F17" t="str">
            <v>Piéces de rechange</v>
          </cell>
          <cell r="G17" t="str">
            <v>T03</v>
          </cell>
          <cell r="H17" t="str">
            <v>Piéces de rechange</v>
          </cell>
          <cell r="I17" t="str">
            <v>Kg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</row>
        <row r="18">
          <cell r="A18" t="str">
            <v>MP0012</v>
          </cell>
          <cell r="B18" t="str">
            <v>Autres PDR</v>
          </cell>
          <cell r="C18" t="str">
            <v>R03</v>
          </cell>
          <cell r="D18" t="str">
            <v>Piéces de rechange</v>
          </cell>
          <cell r="E18" t="str">
            <v>C04</v>
          </cell>
          <cell r="F18" t="str">
            <v>Piéces de rechange</v>
          </cell>
          <cell r="G18" t="str">
            <v>T03</v>
          </cell>
          <cell r="H18" t="str">
            <v>Piéces de rechange</v>
          </cell>
          <cell r="I18" t="str">
            <v>Kg</v>
          </cell>
          <cell r="J18">
            <v>0</v>
          </cell>
          <cell r="K18">
            <v>0</v>
          </cell>
          <cell r="L18">
            <v>0</v>
          </cell>
          <cell r="M18">
            <v>28</v>
          </cell>
          <cell r="N18">
            <v>0</v>
          </cell>
        </row>
        <row r="19">
          <cell r="A19" t="str">
            <v>MP0013</v>
          </cell>
          <cell r="B19" t="str">
            <v>Huiles &amp; Autres lubrification</v>
          </cell>
          <cell r="C19" t="str">
            <v>R04</v>
          </cell>
          <cell r="D19" t="str">
            <v xml:space="preserve">Consommables </v>
          </cell>
          <cell r="E19" t="str">
            <v>C04</v>
          </cell>
          <cell r="F19" t="str">
            <v xml:space="preserve">Consommables </v>
          </cell>
          <cell r="G19" t="str">
            <v>T04</v>
          </cell>
          <cell r="H19" t="str">
            <v xml:space="preserve">Consommables </v>
          </cell>
          <cell r="I19" t="str">
            <v>Kg</v>
          </cell>
          <cell r="J19">
            <v>0</v>
          </cell>
          <cell r="K19">
            <v>0</v>
          </cell>
          <cell r="L19">
            <v>0</v>
          </cell>
          <cell r="M19">
            <v>32</v>
          </cell>
          <cell r="N19">
            <v>0</v>
          </cell>
        </row>
        <row r="20">
          <cell r="A20" t="str">
            <v>MP0014</v>
          </cell>
          <cell r="B20" t="str">
            <v>Savon</v>
          </cell>
          <cell r="C20" t="str">
            <v>R04</v>
          </cell>
          <cell r="D20" t="str">
            <v xml:space="preserve">Consommables </v>
          </cell>
          <cell r="E20" t="str">
            <v>C05</v>
          </cell>
          <cell r="F20" t="str">
            <v xml:space="preserve">Consommables </v>
          </cell>
          <cell r="G20" t="str">
            <v>T04</v>
          </cell>
          <cell r="H20" t="str">
            <v xml:space="preserve">Consommables </v>
          </cell>
          <cell r="I20" t="str">
            <v>Kg</v>
          </cell>
          <cell r="J20">
            <v>0</v>
          </cell>
          <cell r="K20">
            <v>0</v>
          </cell>
          <cell r="L20">
            <v>0</v>
          </cell>
          <cell r="M20">
            <v>33</v>
          </cell>
          <cell r="N20">
            <v>0</v>
          </cell>
        </row>
        <row r="21">
          <cell r="A21" t="str">
            <v>MP0015</v>
          </cell>
          <cell r="B21" t="str">
            <v xml:space="preserve">Amica </v>
          </cell>
          <cell r="C21" t="str">
            <v>R04</v>
          </cell>
          <cell r="D21" t="str">
            <v xml:space="preserve">Consommables </v>
          </cell>
          <cell r="E21" t="str">
            <v>C05</v>
          </cell>
          <cell r="F21" t="str">
            <v xml:space="preserve">Consommables </v>
          </cell>
          <cell r="G21" t="str">
            <v>T04</v>
          </cell>
          <cell r="H21" t="str">
            <v xml:space="preserve">Consommables </v>
          </cell>
          <cell r="I21" t="str">
            <v>Kg</v>
          </cell>
          <cell r="J21">
            <v>0</v>
          </cell>
          <cell r="K21">
            <v>0</v>
          </cell>
          <cell r="L21">
            <v>0</v>
          </cell>
          <cell r="M21">
            <v>34</v>
          </cell>
          <cell r="N21">
            <v>0</v>
          </cell>
        </row>
        <row r="22">
          <cell r="A22" t="str">
            <v>MP0016</v>
          </cell>
          <cell r="B22" t="str">
            <v>Graisse</v>
          </cell>
          <cell r="C22" t="str">
            <v>R04</v>
          </cell>
          <cell r="D22" t="str">
            <v xml:space="preserve">Consommables </v>
          </cell>
          <cell r="E22" t="str">
            <v>C05</v>
          </cell>
          <cell r="F22" t="str">
            <v xml:space="preserve">Consommables </v>
          </cell>
          <cell r="G22" t="str">
            <v>T04</v>
          </cell>
          <cell r="H22" t="str">
            <v xml:space="preserve">Consommables </v>
          </cell>
          <cell r="I22" t="str">
            <v>Kg</v>
          </cell>
          <cell r="J22">
            <v>0</v>
          </cell>
          <cell r="K22">
            <v>0</v>
          </cell>
          <cell r="L22">
            <v>0</v>
          </cell>
          <cell r="M22">
            <v>35</v>
          </cell>
          <cell r="N22">
            <v>0</v>
          </cell>
        </row>
        <row r="23">
          <cell r="A23" t="str">
            <v>MP0017</v>
          </cell>
          <cell r="B23" t="str">
            <v>Galet /Laminoir à chaud</v>
          </cell>
          <cell r="C23" t="str">
            <v>R03</v>
          </cell>
          <cell r="D23" t="str">
            <v>Piéces de rechange</v>
          </cell>
          <cell r="E23" t="str">
            <v>C03</v>
          </cell>
          <cell r="F23" t="str">
            <v>Piéces de rechange</v>
          </cell>
          <cell r="G23" t="str">
            <v>T03</v>
          </cell>
          <cell r="H23" t="str">
            <v>Piéces de rechange</v>
          </cell>
          <cell r="I23" t="str">
            <v>Kg</v>
          </cell>
          <cell r="J23">
            <v>0</v>
          </cell>
          <cell r="K23">
            <v>0</v>
          </cell>
          <cell r="L23">
            <v>0</v>
          </cell>
          <cell r="M23">
            <v>26</v>
          </cell>
          <cell r="N23">
            <v>0</v>
          </cell>
        </row>
        <row r="24">
          <cell r="A24" t="str">
            <v>MP0018</v>
          </cell>
          <cell r="B24" t="str">
            <v>Galet TS</v>
          </cell>
          <cell r="C24" t="str">
            <v>R03</v>
          </cell>
          <cell r="D24" t="str">
            <v>Piéces de rechange</v>
          </cell>
          <cell r="E24" t="str">
            <v>C04</v>
          </cell>
          <cell r="F24" t="str">
            <v>Piéces de rechange</v>
          </cell>
          <cell r="G24" t="str">
            <v>T03</v>
          </cell>
          <cell r="H24" t="str">
            <v>Piéces de rechange</v>
          </cell>
          <cell r="I24" t="str">
            <v>Kg</v>
          </cell>
          <cell r="J24">
            <v>0</v>
          </cell>
          <cell r="K24">
            <v>0</v>
          </cell>
          <cell r="L24">
            <v>0</v>
          </cell>
          <cell r="M24">
            <v>27</v>
          </cell>
          <cell r="N24">
            <v>0</v>
          </cell>
        </row>
        <row r="25">
          <cell r="A25" t="str">
            <v>MP0019</v>
          </cell>
          <cell r="B25" t="str">
            <v xml:space="preserve">D03 en Bobine </v>
          </cell>
          <cell r="C25" t="str">
            <v>R05</v>
          </cell>
          <cell r="D25" t="str">
            <v>Bobine Acier Laminé à Chaud</v>
          </cell>
          <cell r="E25" t="str">
            <v>C01</v>
          </cell>
          <cell r="F25" t="str">
            <v xml:space="preserve">Matiéres </v>
          </cell>
          <cell r="G25" t="str">
            <v>T01</v>
          </cell>
          <cell r="H25" t="str">
            <v>MATIERES PREMIERES</v>
          </cell>
          <cell r="I25" t="str">
            <v>Kg</v>
          </cell>
          <cell r="J25">
            <v>0</v>
          </cell>
          <cell r="K25">
            <v>0</v>
          </cell>
          <cell r="L25" t="str">
            <v>Laminage à Froid</v>
          </cell>
          <cell r="M25">
            <v>40</v>
          </cell>
          <cell r="N25">
            <v>0</v>
          </cell>
        </row>
        <row r="26">
          <cell r="A26" t="str">
            <v>MP0020</v>
          </cell>
          <cell r="B26" t="str">
            <v xml:space="preserve">D04 en Bobine </v>
          </cell>
          <cell r="C26" t="str">
            <v>R05</v>
          </cell>
          <cell r="D26" t="str">
            <v>Bobine Acier Laminé à Chaud</v>
          </cell>
          <cell r="E26" t="str">
            <v>C01</v>
          </cell>
          <cell r="F26" t="str">
            <v xml:space="preserve">Matiéres </v>
          </cell>
          <cell r="G26" t="str">
            <v>T01</v>
          </cell>
          <cell r="H26" t="str">
            <v>MATIERES PREMIERES</v>
          </cell>
          <cell r="I26" t="str">
            <v>Kg</v>
          </cell>
          <cell r="J26">
            <v>0</v>
          </cell>
          <cell r="K26">
            <v>0</v>
          </cell>
          <cell r="L26" t="str">
            <v>Laminage à Froid</v>
          </cell>
          <cell r="M26">
            <v>41</v>
          </cell>
          <cell r="N26">
            <v>0</v>
          </cell>
        </row>
        <row r="27">
          <cell r="A27" t="str">
            <v>MP0021</v>
          </cell>
          <cell r="B27" t="str">
            <v xml:space="preserve">D05 en Bobine </v>
          </cell>
          <cell r="C27" t="str">
            <v>R05</v>
          </cell>
          <cell r="D27" t="str">
            <v>Bobine Acier Laminé à Chaud</v>
          </cell>
          <cell r="E27" t="str">
            <v>C01</v>
          </cell>
          <cell r="F27" t="str">
            <v xml:space="preserve">Matiéres </v>
          </cell>
          <cell r="G27" t="str">
            <v>T01</v>
          </cell>
          <cell r="H27" t="str">
            <v>MATIERES PREMIERES</v>
          </cell>
          <cell r="I27" t="str">
            <v>Kg</v>
          </cell>
          <cell r="J27">
            <v>0</v>
          </cell>
          <cell r="K27">
            <v>0</v>
          </cell>
          <cell r="L27" t="str">
            <v>Laminage à Froid</v>
          </cell>
          <cell r="M27">
            <v>42</v>
          </cell>
          <cell r="N27">
            <v>0</v>
          </cell>
        </row>
        <row r="28">
          <cell r="A28" t="str">
            <v>MP0022</v>
          </cell>
          <cell r="B28" t="str">
            <v xml:space="preserve">D06 en Bobine </v>
          </cell>
          <cell r="C28" t="str">
            <v>R05</v>
          </cell>
          <cell r="D28" t="str">
            <v>Bobine Acier Laminé à Chaud</v>
          </cell>
          <cell r="E28" t="str">
            <v>C01</v>
          </cell>
          <cell r="F28" t="str">
            <v xml:space="preserve">Matiéres </v>
          </cell>
          <cell r="G28" t="str">
            <v>T01</v>
          </cell>
          <cell r="H28" t="str">
            <v>MATIERES PREMIERES</v>
          </cell>
          <cell r="I28" t="str">
            <v>Kg</v>
          </cell>
          <cell r="J28">
            <v>0</v>
          </cell>
          <cell r="K28">
            <v>0</v>
          </cell>
          <cell r="L28" t="str">
            <v>Laminage à Froid</v>
          </cell>
          <cell r="M28">
            <v>0</v>
          </cell>
          <cell r="N28">
            <v>0</v>
          </cell>
        </row>
        <row r="29">
          <cell r="A29" t="str">
            <v>MP0023</v>
          </cell>
          <cell r="B29" t="str">
            <v>Fil bobiné Diam 4</v>
          </cell>
          <cell r="C29" t="str">
            <v>R06</v>
          </cell>
          <cell r="D29" t="str">
            <v>Fil Bobiné à Froid</v>
          </cell>
          <cell r="E29" t="str">
            <v>C01</v>
          </cell>
          <cell r="F29" t="str">
            <v xml:space="preserve">Matiéres </v>
          </cell>
          <cell r="G29" t="str">
            <v>T01</v>
          </cell>
          <cell r="H29" t="str">
            <v>MATIERES PREMIERES</v>
          </cell>
          <cell r="I29" t="str">
            <v>Kg</v>
          </cell>
          <cell r="J29" t="str">
            <v>Treillis Soudés</v>
          </cell>
          <cell r="K29">
            <v>0</v>
          </cell>
          <cell r="L29" t="str">
            <v>Laminage à Froid</v>
          </cell>
          <cell r="M29">
            <v>52</v>
          </cell>
          <cell r="N29">
            <v>0</v>
          </cell>
        </row>
        <row r="30">
          <cell r="A30" t="str">
            <v>MP0024</v>
          </cell>
          <cell r="B30" t="str">
            <v>Fil bobiné Diam 5</v>
          </cell>
          <cell r="C30" t="str">
            <v>R06</v>
          </cell>
          <cell r="D30" t="str">
            <v>Fil Bobiné à Froid</v>
          </cell>
          <cell r="E30" t="str">
            <v>C01</v>
          </cell>
          <cell r="F30" t="str">
            <v xml:space="preserve">Matiéres </v>
          </cell>
          <cell r="G30" t="str">
            <v>T01</v>
          </cell>
          <cell r="H30" t="str">
            <v>MATIERES PREMIERES</v>
          </cell>
          <cell r="I30" t="str">
            <v>Kg</v>
          </cell>
          <cell r="J30" t="str">
            <v>Treillis Soudés</v>
          </cell>
          <cell r="K30">
            <v>0</v>
          </cell>
          <cell r="L30" t="str">
            <v>Laminage à Froid</v>
          </cell>
          <cell r="M30">
            <v>53</v>
          </cell>
          <cell r="N30">
            <v>0</v>
          </cell>
        </row>
        <row r="31">
          <cell r="A31" t="str">
            <v>MP0025</v>
          </cell>
          <cell r="B31" t="str">
            <v>Fil bobiné Diam 6</v>
          </cell>
          <cell r="C31" t="str">
            <v>R06</v>
          </cell>
          <cell r="D31" t="str">
            <v>Fil Bobiné à Froid</v>
          </cell>
          <cell r="E31" t="str">
            <v>C01</v>
          </cell>
          <cell r="F31" t="str">
            <v xml:space="preserve">Matiéres </v>
          </cell>
          <cell r="G31" t="str">
            <v>T01</v>
          </cell>
          <cell r="H31" t="str">
            <v>MATIERES PREMIERES</v>
          </cell>
          <cell r="I31" t="str">
            <v>Kg</v>
          </cell>
          <cell r="J31" t="str">
            <v>Treillis Soudés_Ateliers Façonnage</v>
          </cell>
          <cell r="K31">
            <v>0</v>
          </cell>
          <cell r="L31" t="str">
            <v>Laminage à Froid</v>
          </cell>
          <cell r="M31">
            <v>54</v>
          </cell>
          <cell r="N31">
            <v>0</v>
          </cell>
        </row>
        <row r="32">
          <cell r="A32" t="str">
            <v>MP0026</v>
          </cell>
          <cell r="B32" t="str">
            <v>Fil bobiné Diam 7</v>
          </cell>
          <cell r="C32" t="str">
            <v>R06</v>
          </cell>
          <cell r="D32" t="str">
            <v>Fil Bobiné à Froid</v>
          </cell>
          <cell r="E32" t="str">
            <v>C01</v>
          </cell>
          <cell r="F32" t="str">
            <v xml:space="preserve">Matiéres </v>
          </cell>
          <cell r="G32" t="str">
            <v>T01</v>
          </cell>
          <cell r="H32" t="str">
            <v>MATIERES PREMIERES</v>
          </cell>
          <cell r="I32" t="str">
            <v>Kg</v>
          </cell>
          <cell r="J32" t="str">
            <v>Treillis Soudés_Ateliers Façonnage</v>
          </cell>
          <cell r="K32">
            <v>0</v>
          </cell>
          <cell r="L32" t="str">
            <v>Laminage à Froid</v>
          </cell>
          <cell r="M32">
            <v>55</v>
          </cell>
          <cell r="N32">
            <v>0</v>
          </cell>
        </row>
        <row r="33">
          <cell r="A33" t="str">
            <v>MP0027</v>
          </cell>
          <cell r="B33" t="str">
            <v>Fil bobiné Diam 8</v>
          </cell>
          <cell r="C33" t="str">
            <v>R05</v>
          </cell>
          <cell r="D33" t="str">
            <v>Bobine Acier Laminé à Chaud</v>
          </cell>
          <cell r="E33" t="str">
            <v>C01</v>
          </cell>
          <cell r="F33" t="str">
            <v xml:space="preserve">Matiéres </v>
          </cell>
          <cell r="G33" t="str">
            <v>T01</v>
          </cell>
          <cell r="H33" t="str">
            <v>MATIERES PREMIERES</v>
          </cell>
          <cell r="I33" t="str">
            <v>Kg</v>
          </cell>
          <cell r="J33" t="str">
            <v>Treillis Soudés_Ateliers Façonnage</v>
          </cell>
          <cell r="K33">
            <v>0</v>
          </cell>
          <cell r="L33" t="str">
            <v>Laminage à chaud</v>
          </cell>
          <cell r="M33">
            <v>44</v>
          </cell>
          <cell r="N33">
            <v>0</v>
          </cell>
        </row>
        <row r="34">
          <cell r="A34" t="str">
            <v>MP0028</v>
          </cell>
          <cell r="B34" t="str">
            <v>Fil bobiné Diam 9</v>
          </cell>
          <cell r="C34" t="str">
            <v>R05</v>
          </cell>
          <cell r="D34" t="str">
            <v>Bobine Acier Laminé à Chaud</v>
          </cell>
          <cell r="E34" t="str">
            <v>C01</v>
          </cell>
          <cell r="F34" t="str">
            <v xml:space="preserve">Matiéres </v>
          </cell>
          <cell r="G34" t="str">
            <v>T01</v>
          </cell>
          <cell r="H34" t="str">
            <v>MATIERES PREMIERES</v>
          </cell>
          <cell r="I34" t="str">
            <v>Kg</v>
          </cell>
          <cell r="J34" t="str">
            <v>Treillis Soudés_Ateliers Façonnage</v>
          </cell>
          <cell r="K34">
            <v>0</v>
          </cell>
          <cell r="L34" t="str">
            <v>Laminage à chaud</v>
          </cell>
          <cell r="M34">
            <v>45</v>
          </cell>
          <cell r="N34">
            <v>0</v>
          </cell>
        </row>
        <row r="35">
          <cell r="A35" t="str">
            <v>MP0029</v>
          </cell>
          <cell r="B35" t="str">
            <v>Fil bobiné Diam 10</v>
          </cell>
          <cell r="C35" t="str">
            <v>R05</v>
          </cell>
          <cell r="D35" t="str">
            <v>Bobine Acier Laminé à Chaud</v>
          </cell>
          <cell r="E35" t="str">
            <v>C01</v>
          </cell>
          <cell r="F35" t="str">
            <v xml:space="preserve">Matiéres </v>
          </cell>
          <cell r="G35" t="str">
            <v>T01</v>
          </cell>
          <cell r="H35" t="str">
            <v>MATIERES PREMIERES</v>
          </cell>
          <cell r="I35" t="str">
            <v>Kg</v>
          </cell>
          <cell r="J35" t="str">
            <v>Treillis Soudés_Ateliers Façonnage</v>
          </cell>
          <cell r="K35">
            <v>0</v>
          </cell>
          <cell r="L35" t="str">
            <v>Laminage à chaud</v>
          </cell>
          <cell r="M35">
            <v>46</v>
          </cell>
          <cell r="N35">
            <v>0</v>
          </cell>
        </row>
        <row r="36">
          <cell r="A36" t="str">
            <v>MP0030</v>
          </cell>
          <cell r="B36" t="str">
            <v>Fil bobiné Diam 14</v>
          </cell>
          <cell r="C36" t="str">
            <v>R05</v>
          </cell>
          <cell r="D36" t="str">
            <v>Bobine Acier Laminé à Chaud</v>
          </cell>
          <cell r="E36" t="str">
            <v>C01</v>
          </cell>
          <cell r="F36" t="str">
            <v xml:space="preserve">Matiéres </v>
          </cell>
          <cell r="G36" t="str">
            <v>T01</v>
          </cell>
          <cell r="H36" t="str">
            <v>MATIERES PREMIERES</v>
          </cell>
          <cell r="I36" t="str">
            <v>Kg</v>
          </cell>
          <cell r="J36" t="str">
            <v>Treillis Soudés_Ateliers Façonnage</v>
          </cell>
          <cell r="K36">
            <v>0</v>
          </cell>
          <cell r="L36" t="str">
            <v>Laminage à chaud</v>
          </cell>
          <cell r="M36">
            <v>47</v>
          </cell>
          <cell r="N36">
            <v>0</v>
          </cell>
        </row>
        <row r="37">
          <cell r="A37" t="str">
            <v>MP0031</v>
          </cell>
          <cell r="B37" t="str">
            <v>Fil bobiné Diam 12</v>
          </cell>
          <cell r="C37" t="str">
            <v>R05</v>
          </cell>
          <cell r="D37" t="str">
            <v>Bobine Acier Laminé à Chaud</v>
          </cell>
          <cell r="E37" t="str">
            <v>C01</v>
          </cell>
          <cell r="F37" t="str">
            <v xml:space="preserve">Matiéres </v>
          </cell>
          <cell r="G37" t="str">
            <v>T01</v>
          </cell>
          <cell r="H37" t="str">
            <v>MATIERES PREMIERES</v>
          </cell>
          <cell r="I37" t="str">
            <v>Kg</v>
          </cell>
          <cell r="J37" t="str">
            <v>Treillis Soudés_Ateliers Façonnage</v>
          </cell>
          <cell r="K37">
            <v>0</v>
          </cell>
          <cell r="L37" t="str">
            <v>Laminage à chaud</v>
          </cell>
          <cell r="M37">
            <v>48</v>
          </cell>
          <cell r="N37">
            <v>0</v>
          </cell>
        </row>
        <row r="38">
          <cell r="A38" t="str">
            <v>MP0032</v>
          </cell>
          <cell r="B38" t="str">
            <v>D06 lisse  en   Bobine</v>
          </cell>
          <cell r="C38" t="str">
            <v>R08</v>
          </cell>
          <cell r="D38" t="str">
            <v>Fil Bobiné à Froid</v>
          </cell>
          <cell r="E38" t="str">
            <v>C01</v>
          </cell>
          <cell r="F38" t="str">
            <v xml:space="preserve">Matiéres </v>
          </cell>
          <cell r="G38" t="str">
            <v>T01</v>
          </cell>
          <cell r="H38" t="str">
            <v>MATIERES PREMIERES</v>
          </cell>
          <cell r="I38" t="str">
            <v>Kg</v>
          </cell>
          <cell r="J38" t="str">
            <v>Laminage à Froid</v>
          </cell>
          <cell r="K38">
            <v>0</v>
          </cell>
          <cell r="L38" t="str">
            <v>Laminage à chaud</v>
          </cell>
          <cell r="M38">
            <v>60</v>
          </cell>
          <cell r="N38">
            <v>0</v>
          </cell>
        </row>
        <row r="39">
          <cell r="A39" t="str">
            <v>MP0033</v>
          </cell>
          <cell r="B39" t="str">
            <v>D08 RB500  en Bobine</v>
          </cell>
          <cell r="C39" t="str">
            <v>R08</v>
          </cell>
          <cell r="D39" t="str">
            <v>Fil Bobiné à Froid</v>
          </cell>
          <cell r="E39" t="str">
            <v>C01</v>
          </cell>
          <cell r="F39" t="str">
            <v xml:space="preserve">Matiéres </v>
          </cell>
          <cell r="G39" t="str">
            <v>T01</v>
          </cell>
          <cell r="H39" t="str">
            <v>MATIERES PREMIERES</v>
          </cell>
          <cell r="I39" t="str">
            <v>Kg</v>
          </cell>
          <cell r="J39" t="str">
            <v>Laminage à Froid</v>
          </cell>
          <cell r="K39">
            <v>0</v>
          </cell>
          <cell r="L39" t="str">
            <v>Laminage à chaud</v>
          </cell>
          <cell r="M39">
            <v>59</v>
          </cell>
          <cell r="N39">
            <v>0</v>
          </cell>
        </row>
        <row r="40">
          <cell r="A40" t="str">
            <v>MP0034</v>
          </cell>
          <cell r="B40" t="str">
            <v>R LISSE D06</v>
          </cell>
          <cell r="C40" t="str">
            <v>R09</v>
          </cell>
          <cell r="D40" t="str">
            <v>Rond à Béton en bobine couronnée</v>
          </cell>
          <cell r="E40" t="str">
            <v>C01</v>
          </cell>
          <cell r="F40" t="str">
            <v xml:space="preserve">Matiéres </v>
          </cell>
          <cell r="G40" t="str">
            <v>T01</v>
          </cell>
          <cell r="H40" t="str">
            <v>MATIERES PREMIERES</v>
          </cell>
          <cell r="I40" t="str">
            <v>Kg</v>
          </cell>
          <cell r="J40" t="str">
            <v>Ateliers Bobinoir</v>
          </cell>
          <cell r="K40">
            <v>0</v>
          </cell>
          <cell r="L40" t="str">
            <v xml:space="preserve">Fil Machine </v>
          </cell>
          <cell r="M40" t="e">
            <v>#N/A</v>
          </cell>
          <cell r="N40">
            <v>0</v>
          </cell>
        </row>
        <row r="41">
          <cell r="A41" t="str">
            <v>MP0035</v>
          </cell>
          <cell r="B41" t="str">
            <v>D08 RB500  en Couronnée</v>
          </cell>
          <cell r="C41" t="str">
            <v>R09</v>
          </cell>
          <cell r="D41" t="str">
            <v>Rond à Béton en bobine couronnée</v>
          </cell>
          <cell r="E41" t="str">
            <v>C01</v>
          </cell>
          <cell r="F41" t="str">
            <v xml:space="preserve">Matiéres </v>
          </cell>
          <cell r="G41" t="str">
            <v>T01</v>
          </cell>
          <cell r="H41" t="str">
            <v>MATIERES PREMIERES</v>
          </cell>
          <cell r="I41" t="str">
            <v>Kg</v>
          </cell>
          <cell r="J41" t="str">
            <v>Ateliers Bobinoir</v>
          </cell>
          <cell r="K41">
            <v>0</v>
          </cell>
          <cell r="L41" t="str">
            <v>Rebobinage à Froid</v>
          </cell>
          <cell r="M41" t="e">
            <v>#N/A</v>
          </cell>
          <cell r="N41">
            <v>0</v>
          </cell>
        </row>
        <row r="42">
          <cell r="A42" t="str">
            <v>MP0036</v>
          </cell>
          <cell r="B42" t="str">
            <v>D10 RB500  en Couronnée</v>
          </cell>
          <cell r="C42" t="str">
            <v>R09</v>
          </cell>
          <cell r="D42" t="str">
            <v>Rond à Béton en bobine couronnée</v>
          </cell>
          <cell r="E42" t="str">
            <v>C01</v>
          </cell>
          <cell r="F42" t="str">
            <v xml:space="preserve">Matiéres </v>
          </cell>
          <cell r="G42" t="str">
            <v>T01</v>
          </cell>
          <cell r="H42" t="str">
            <v>MATIERES PREMIERES</v>
          </cell>
          <cell r="I42" t="str">
            <v>Kg</v>
          </cell>
          <cell r="J42" t="str">
            <v>Ateliers Bobinoir</v>
          </cell>
          <cell r="K42">
            <v>0</v>
          </cell>
          <cell r="L42" t="str">
            <v>Rebobinage à Froid</v>
          </cell>
          <cell r="M42" t="e">
            <v>#N/A</v>
          </cell>
          <cell r="N42">
            <v>0</v>
          </cell>
        </row>
        <row r="43">
          <cell r="A43" t="str">
            <v>MP0037</v>
          </cell>
          <cell r="B43" t="str">
            <v>D12 RB500 en Couronnée</v>
          </cell>
          <cell r="C43" t="str">
            <v>R09</v>
          </cell>
          <cell r="D43" t="str">
            <v>Rond à Béton en bobine couronnée</v>
          </cell>
          <cell r="E43" t="str">
            <v>C01</v>
          </cell>
          <cell r="F43" t="str">
            <v xml:space="preserve">Matiéres </v>
          </cell>
          <cell r="G43" t="str">
            <v>T01</v>
          </cell>
          <cell r="H43" t="str">
            <v>MATIERES PREMIERES</v>
          </cell>
          <cell r="I43" t="str">
            <v>Kg</v>
          </cell>
          <cell r="J43" t="str">
            <v>Ateliers Bobinoir</v>
          </cell>
          <cell r="K43">
            <v>0</v>
          </cell>
          <cell r="L43" t="str">
            <v>Rebobinage à Froid</v>
          </cell>
          <cell r="M43" t="e">
            <v>#N/A</v>
          </cell>
          <cell r="N43">
            <v>0</v>
          </cell>
        </row>
        <row r="44">
          <cell r="A44" t="str">
            <v>MP0038</v>
          </cell>
          <cell r="B44" t="str">
            <v>D14 RB500 en Couronnée</v>
          </cell>
          <cell r="C44" t="str">
            <v>R09</v>
          </cell>
          <cell r="D44" t="str">
            <v>Rond à Béton en bobine couronnée</v>
          </cell>
          <cell r="E44" t="str">
            <v>C01</v>
          </cell>
          <cell r="F44" t="str">
            <v xml:space="preserve">Matiéres </v>
          </cell>
          <cell r="G44" t="str">
            <v>T01</v>
          </cell>
          <cell r="H44" t="str">
            <v>MATIERES PREMIERES</v>
          </cell>
          <cell r="I44" t="str">
            <v>Kg</v>
          </cell>
          <cell r="J44" t="str">
            <v>Ateliers Bobinoir</v>
          </cell>
          <cell r="K44">
            <v>0</v>
          </cell>
          <cell r="L44" t="str">
            <v>Rebobinage à Froid</v>
          </cell>
          <cell r="M44" t="e">
            <v>#N/A</v>
          </cell>
          <cell r="N44">
            <v>0</v>
          </cell>
        </row>
        <row r="45">
          <cell r="A45" t="str">
            <v>MP0039</v>
          </cell>
          <cell r="B45" t="str">
            <v>D16 RB500 en Couronnée</v>
          </cell>
          <cell r="C45" t="str">
            <v>R09</v>
          </cell>
          <cell r="D45" t="str">
            <v>Rond à Béton en bobine couronnée</v>
          </cell>
          <cell r="E45" t="str">
            <v>C01</v>
          </cell>
          <cell r="F45" t="str">
            <v xml:space="preserve">Matiéres </v>
          </cell>
          <cell r="G45" t="str">
            <v>T01</v>
          </cell>
          <cell r="H45" t="str">
            <v>MATIERES PREMIERES</v>
          </cell>
          <cell r="I45" t="str">
            <v>Kg</v>
          </cell>
          <cell r="J45" t="str">
            <v>Ateliers Bobinoir</v>
          </cell>
          <cell r="K45">
            <v>0</v>
          </cell>
          <cell r="L45" t="str">
            <v>Rebobinage à Froid</v>
          </cell>
          <cell r="M45" t="e">
            <v>#N/A</v>
          </cell>
          <cell r="N45">
            <v>0</v>
          </cell>
        </row>
        <row r="46">
          <cell r="A46" t="str">
            <v>MP0040</v>
          </cell>
          <cell r="B46" t="str">
            <v>D20 RB500 en Couronnée</v>
          </cell>
          <cell r="C46" t="str">
            <v>R09</v>
          </cell>
          <cell r="D46" t="str">
            <v>Rond à Béton en bobine couronnée</v>
          </cell>
          <cell r="E46" t="str">
            <v>C01</v>
          </cell>
          <cell r="F46" t="str">
            <v xml:space="preserve">Matiéres </v>
          </cell>
          <cell r="G46" t="str">
            <v>T01</v>
          </cell>
          <cell r="H46" t="str">
            <v>MATIERES PREMIERES</v>
          </cell>
          <cell r="I46" t="str">
            <v>Kg</v>
          </cell>
          <cell r="J46" t="str">
            <v>Ateliers Bobinoir</v>
          </cell>
          <cell r="K46">
            <v>0</v>
          </cell>
          <cell r="L46" t="str">
            <v>Rebobinage à Froid</v>
          </cell>
          <cell r="M46" t="e">
            <v>#N/A</v>
          </cell>
          <cell r="N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A147" t="str">
            <v/>
          </cell>
          <cell r="B147" t="str">
            <v/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 t="str">
            <v/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</sheetData>
      <sheetData sheetId="7">
        <row r="1">
          <cell r="A1" t="str">
            <v>Code Article JDE</v>
          </cell>
          <cell r="B1" t="str">
            <v>Désignation Article</v>
          </cell>
          <cell r="C1" t="str">
            <v>Code Famille</v>
          </cell>
          <cell r="D1" t="str">
            <v>Description Famille</v>
          </cell>
          <cell r="E1" t="str">
            <v>CODE Marque</v>
          </cell>
        </row>
        <row r="2">
          <cell r="A2" t="str">
            <v>PF0101</v>
          </cell>
          <cell r="B2" t="str">
            <v>D08 RB500</v>
          </cell>
          <cell r="C2" t="str">
            <v>F01</v>
          </cell>
          <cell r="D2" t="str">
            <v>Rond à Beton en Barre</v>
          </cell>
          <cell r="E2" t="str">
            <v>M01</v>
          </cell>
          <cell r="F2" t="str">
            <v>Ligne Laminoire à Chaud</v>
          </cell>
          <cell r="G2">
            <v>1</v>
          </cell>
          <cell r="H2">
            <v>0.96</v>
          </cell>
          <cell r="I2">
            <v>0.02</v>
          </cell>
          <cell r="J2">
            <v>1.7000000000000001E-2</v>
          </cell>
          <cell r="K2">
            <v>2.1</v>
          </cell>
          <cell r="L2">
            <v>0.01</v>
          </cell>
          <cell r="M2">
            <v>0.19</v>
          </cell>
          <cell r="N2">
            <v>1595.234213</v>
          </cell>
          <cell r="O2">
            <v>2.2999999999999998</v>
          </cell>
          <cell r="P2">
            <v>1613.486555</v>
          </cell>
        </row>
        <row r="3">
          <cell r="A3" t="str">
            <v>PF0102</v>
          </cell>
          <cell r="B3" t="str">
            <v>D10 RB500</v>
          </cell>
          <cell r="C3" t="str">
            <v>F01</v>
          </cell>
          <cell r="D3" t="str">
            <v>Rond à Beton en Barre</v>
          </cell>
          <cell r="E3" t="str">
            <v>M01</v>
          </cell>
          <cell r="F3" t="str">
            <v>Ligne Laminoire à Chaud</v>
          </cell>
          <cell r="G3">
            <v>1</v>
          </cell>
          <cell r="H3">
            <v>0.96</v>
          </cell>
          <cell r="I3">
            <v>0.02</v>
          </cell>
          <cell r="J3">
            <v>1.7000000000000001E-2</v>
          </cell>
          <cell r="K3">
            <v>2.1</v>
          </cell>
          <cell r="L3">
            <v>0.01</v>
          </cell>
          <cell r="M3">
            <v>0.19</v>
          </cell>
          <cell r="N3">
            <v>1583.982029</v>
          </cell>
          <cell r="O3">
            <v>2.2999999999999998</v>
          </cell>
          <cell r="P3">
            <v>1602.1218490000001</v>
          </cell>
        </row>
        <row r="4">
          <cell r="A4" t="str">
            <v>PF0103</v>
          </cell>
          <cell r="B4" t="str">
            <v>D12 RB500</v>
          </cell>
          <cell r="C4" t="str">
            <v>F01</v>
          </cell>
          <cell r="D4" t="str">
            <v>Rond à Beton en Barre</v>
          </cell>
          <cell r="E4" t="str">
            <v>M01</v>
          </cell>
          <cell r="F4" t="str">
            <v>Ligne Laminoire à Chaud</v>
          </cell>
          <cell r="G4">
            <v>1</v>
          </cell>
          <cell r="H4">
            <v>0.96</v>
          </cell>
          <cell r="I4">
            <v>0.02</v>
          </cell>
          <cell r="J4">
            <v>1.7000000000000001E-2</v>
          </cell>
          <cell r="K4">
            <v>2.1</v>
          </cell>
          <cell r="L4">
            <v>0.01</v>
          </cell>
          <cell r="M4">
            <v>0.19</v>
          </cell>
          <cell r="N4">
            <v>1564.205009</v>
          </cell>
          <cell r="O4">
            <v>2.2999999999999998</v>
          </cell>
          <cell r="P4">
            <v>1582.1470589999999</v>
          </cell>
        </row>
        <row r="5">
          <cell r="A5" t="str">
            <v>PF0104</v>
          </cell>
          <cell r="B5" t="str">
            <v>D14 RB500</v>
          </cell>
          <cell r="C5" t="str">
            <v>F01</v>
          </cell>
          <cell r="D5" t="str">
            <v>Rond à Beton en Barre</v>
          </cell>
          <cell r="E5" t="str">
            <v>M01</v>
          </cell>
          <cell r="F5" t="str">
            <v>Ligne Laminoire à Chaud</v>
          </cell>
          <cell r="G5">
            <v>1</v>
          </cell>
          <cell r="H5">
            <v>0.96</v>
          </cell>
          <cell r="I5">
            <v>0.02</v>
          </cell>
          <cell r="J5">
            <v>1.7000000000000001E-2</v>
          </cell>
          <cell r="K5">
            <v>2.1</v>
          </cell>
          <cell r="L5">
            <v>0.01</v>
          </cell>
          <cell r="M5">
            <v>0.19</v>
          </cell>
          <cell r="N5">
            <v>1559.581496</v>
          </cell>
          <cell r="O5">
            <v>2.2999999999999998</v>
          </cell>
          <cell r="P5">
            <v>1577.4773110000001</v>
          </cell>
        </row>
        <row r="6">
          <cell r="A6" t="str">
            <v>PF0105</v>
          </cell>
          <cell r="B6" t="str">
            <v>D16 RB500</v>
          </cell>
          <cell r="C6" t="str">
            <v>F01</v>
          </cell>
          <cell r="D6" t="str">
            <v>Rond à Beton en Barre</v>
          </cell>
          <cell r="E6" t="str">
            <v>M01</v>
          </cell>
          <cell r="F6" t="str">
            <v>Ligne Laminoire à Chaud</v>
          </cell>
          <cell r="G6">
            <v>1</v>
          </cell>
          <cell r="H6">
            <v>0.96</v>
          </cell>
          <cell r="I6">
            <v>0.02</v>
          </cell>
          <cell r="J6">
            <v>1.7000000000000001E-2</v>
          </cell>
          <cell r="K6">
            <v>2.1</v>
          </cell>
          <cell r="L6">
            <v>0.01</v>
          </cell>
          <cell r="M6">
            <v>0.19</v>
          </cell>
          <cell r="N6">
            <v>1543.65255</v>
          </cell>
          <cell r="O6">
            <v>2.2999999999999998</v>
          </cell>
          <cell r="P6">
            <v>1561.3890759999999</v>
          </cell>
        </row>
        <row r="7">
          <cell r="A7" t="str">
            <v>PF0106</v>
          </cell>
          <cell r="B7" t="str">
            <v>D20 RB500</v>
          </cell>
          <cell r="C7" t="str">
            <v>F01</v>
          </cell>
          <cell r="D7" t="str">
            <v>Rond à Beton en Barre</v>
          </cell>
          <cell r="E7" t="str">
            <v>M01</v>
          </cell>
          <cell r="F7" t="str">
            <v>Ligne Laminoire à Chaud</v>
          </cell>
          <cell r="G7">
            <v>1</v>
          </cell>
          <cell r="H7">
            <v>0.96</v>
          </cell>
          <cell r="I7">
            <v>0.02</v>
          </cell>
          <cell r="J7">
            <v>1.7000000000000001E-2</v>
          </cell>
          <cell r="K7">
            <v>2.1</v>
          </cell>
          <cell r="L7">
            <v>0.01</v>
          </cell>
          <cell r="M7">
            <v>0.19</v>
          </cell>
          <cell r="N7">
            <v>1453.2906230000001</v>
          </cell>
          <cell r="O7">
            <v>2.2999999999999998</v>
          </cell>
          <cell r="P7">
            <v>1470.123529</v>
          </cell>
        </row>
        <row r="8">
          <cell r="A8" t="str">
            <v>PF0107</v>
          </cell>
          <cell r="B8" t="str">
            <v>D25 RB500</v>
          </cell>
          <cell r="C8" t="str">
            <v>F01</v>
          </cell>
          <cell r="D8" t="str">
            <v>Rond à Beton en Barre</v>
          </cell>
          <cell r="E8" t="str">
            <v>M01</v>
          </cell>
          <cell r="F8" t="str">
            <v>Ligne Laminoire à Chaud</v>
          </cell>
          <cell r="G8">
            <v>1</v>
          </cell>
          <cell r="H8">
            <v>0.96</v>
          </cell>
          <cell r="I8">
            <v>0.02</v>
          </cell>
          <cell r="J8">
            <v>1.7000000000000001E-2</v>
          </cell>
          <cell r="K8">
            <v>2.1</v>
          </cell>
          <cell r="L8">
            <v>0.01</v>
          </cell>
          <cell r="M8">
            <v>0.19</v>
          </cell>
          <cell r="N8">
            <v>1529.877694</v>
          </cell>
          <cell r="O8">
            <v>2.2999999999999998</v>
          </cell>
          <cell r="P8">
            <v>1547.4764709999999</v>
          </cell>
        </row>
        <row r="9">
          <cell r="A9" t="str">
            <v>PF0108</v>
          </cell>
          <cell r="B9" t="str">
            <v>D32 RB500</v>
          </cell>
          <cell r="C9" t="str">
            <v>F01</v>
          </cell>
          <cell r="D9" t="str">
            <v>Rond à Beton en Barre</v>
          </cell>
          <cell r="E9" t="str">
            <v>M01</v>
          </cell>
          <cell r="F9" t="str">
            <v>Ligne Laminoire à Chaud</v>
          </cell>
          <cell r="G9">
            <v>1</v>
          </cell>
          <cell r="H9">
            <v>0.96</v>
          </cell>
          <cell r="I9">
            <v>0.02</v>
          </cell>
          <cell r="J9">
            <v>1.7000000000000001E-2</v>
          </cell>
          <cell r="K9">
            <v>2.1</v>
          </cell>
          <cell r="L9">
            <v>0.01</v>
          </cell>
          <cell r="M9">
            <v>0.19</v>
          </cell>
          <cell r="N9">
            <v>1523.0643150000001</v>
          </cell>
          <cell r="O9">
            <v>2.2999999999999998</v>
          </cell>
          <cell r="P9">
            <v>1540.5949579999999</v>
          </cell>
        </row>
        <row r="10">
          <cell r="A10" t="str">
            <v>PF0201</v>
          </cell>
          <cell r="B10" t="str">
            <v>D5,5 3SPPS</v>
          </cell>
          <cell r="C10" t="str">
            <v>F02</v>
          </cell>
          <cell r="D10" t="str">
            <v xml:space="preserve">Fil  Machine en bobine </v>
          </cell>
          <cell r="E10" t="str">
            <v>M02</v>
          </cell>
          <cell r="F10" t="str">
            <v>Ligne Fil Machine</v>
          </cell>
          <cell r="G10">
            <v>1</v>
          </cell>
          <cell r="H10">
            <v>0.96</v>
          </cell>
          <cell r="I10">
            <v>0.02</v>
          </cell>
          <cell r="J10">
            <v>1.7000000000000001E-2</v>
          </cell>
          <cell r="K10">
            <v>0.75</v>
          </cell>
          <cell r="L10">
            <v>0.01</v>
          </cell>
          <cell r="M10">
            <v>0.19</v>
          </cell>
          <cell r="N10">
            <v>1700</v>
          </cell>
          <cell r="O10">
            <v>2.2999999999999998</v>
          </cell>
          <cell r="P10">
            <v>1719.3</v>
          </cell>
        </row>
        <row r="11">
          <cell r="A11" t="str">
            <v>PF0202</v>
          </cell>
          <cell r="B11" t="str">
            <v>D5,5 SAE1006</v>
          </cell>
          <cell r="C11" t="str">
            <v>F02</v>
          </cell>
          <cell r="D11" t="str">
            <v xml:space="preserve">Fil  Machine en bobine </v>
          </cell>
          <cell r="E11" t="str">
            <v>M02</v>
          </cell>
          <cell r="F11" t="str">
            <v>Ligne Fil Machine</v>
          </cell>
          <cell r="G11">
            <v>1</v>
          </cell>
          <cell r="H11">
            <v>0.96</v>
          </cell>
          <cell r="I11">
            <v>0.02</v>
          </cell>
          <cell r="J11">
            <v>1.7000000000000001E-2</v>
          </cell>
          <cell r="K11">
            <v>0.75</v>
          </cell>
          <cell r="L11">
            <v>0.01</v>
          </cell>
          <cell r="M11">
            <v>0.19</v>
          </cell>
          <cell r="N11">
            <v>1700</v>
          </cell>
          <cell r="O11">
            <v>2.2999999999999998</v>
          </cell>
          <cell r="P11">
            <v>1719.3</v>
          </cell>
        </row>
        <row r="12">
          <cell r="A12" t="str">
            <v>PF0203</v>
          </cell>
          <cell r="B12" t="str">
            <v>R LISSE D06</v>
          </cell>
          <cell r="C12" t="str">
            <v>F02</v>
          </cell>
          <cell r="D12" t="str">
            <v xml:space="preserve">Fil  Machine en bobine </v>
          </cell>
          <cell r="E12" t="str">
            <v>M02</v>
          </cell>
          <cell r="F12" t="str">
            <v>Ligne Fil Machine</v>
          </cell>
          <cell r="G12">
            <v>1</v>
          </cell>
          <cell r="H12">
            <v>0.96</v>
          </cell>
          <cell r="I12">
            <v>0.02</v>
          </cell>
          <cell r="J12">
            <v>1.7000000000000001E-2</v>
          </cell>
          <cell r="K12">
            <v>0.75</v>
          </cell>
          <cell r="L12">
            <v>0.01</v>
          </cell>
          <cell r="M12">
            <v>0.19</v>
          </cell>
          <cell r="N12">
            <v>1603.119228</v>
          </cell>
          <cell r="O12">
            <v>2.2999999999999998</v>
          </cell>
          <cell r="P12">
            <v>1621.4504199999999</v>
          </cell>
        </row>
        <row r="13">
          <cell r="A13" t="str">
            <v>PF0204</v>
          </cell>
          <cell r="B13" t="str">
            <v>D7 SAE1006</v>
          </cell>
          <cell r="C13" t="str">
            <v>F02</v>
          </cell>
          <cell r="D13" t="str">
            <v xml:space="preserve">Fil  Machine en bobine </v>
          </cell>
          <cell r="E13" t="str">
            <v>M02</v>
          </cell>
          <cell r="F13" t="str">
            <v>Ligne Fil Machine</v>
          </cell>
          <cell r="G13">
            <v>1</v>
          </cell>
          <cell r="H13">
            <v>0.96</v>
          </cell>
          <cell r="I13">
            <v>0.02</v>
          </cell>
          <cell r="J13">
            <v>1.7000000000000001E-2</v>
          </cell>
          <cell r="K13">
            <v>0.75</v>
          </cell>
          <cell r="L13">
            <v>0.01</v>
          </cell>
          <cell r="M13">
            <v>0.19</v>
          </cell>
          <cell r="N13">
            <v>1603.119228</v>
          </cell>
          <cell r="O13">
            <v>2.2999999999999998</v>
          </cell>
          <cell r="P13">
            <v>1621.4504199999999</v>
          </cell>
        </row>
        <row r="14">
          <cell r="A14" t="str">
            <v>PF0301</v>
          </cell>
          <cell r="B14" t="str">
            <v>D06 lisse  en   Bobine</v>
          </cell>
          <cell r="C14" t="str">
            <v>F03</v>
          </cell>
          <cell r="D14" t="str">
            <v>Rond à Beton en Bobine Compact</v>
          </cell>
          <cell r="E14" t="str">
            <v>L3</v>
          </cell>
          <cell r="F14" t="str">
            <v xml:space="preserve">Ligne Bobineuse </v>
          </cell>
          <cell r="G14">
            <v>1</v>
          </cell>
          <cell r="H14">
            <v>0.96</v>
          </cell>
          <cell r="I14">
            <v>5.0000000000000001E-3</v>
          </cell>
          <cell r="J14">
            <v>0</v>
          </cell>
          <cell r="K14">
            <v>2.4</v>
          </cell>
          <cell r="L14">
            <v>0.01</v>
          </cell>
          <cell r="M14">
            <v>0.19</v>
          </cell>
          <cell r="N14">
            <v>1525.33655</v>
          </cell>
          <cell r="O14">
            <v>2.2999999999999998</v>
          </cell>
          <cell r="P14">
            <v>1542.8899160000001</v>
          </cell>
        </row>
        <row r="15">
          <cell r="A15" t="str">
            <v>PF0302</v>
          </cell>
          <cell r="B15" t="str">
            <v>D08 RB500  en Bobine</v>
          </cell>
          <cell r="C15" t="str">
            <v>F03</v>
          </cell>
          <cell r="D15" t="str">
            <v>Rond à Beton en Bobine Compact</v>
          </cell>
          <cell r="E15" t="str">
            <v>L3</v>
          </cell>
          <cell r="F15" t="str">
            <v xml:space="preserve">Ligne Bobineuse </v>
          </cell>
          <cell r="G15">
            <v>1</v>
          </cell>
          <cell r="H15">
            <v>0.96</v>
          </cell>
          <cell r="I15">
            <v>5.0000000000000001E-3</v>
          </cell>
          <cell r="J15">
            <v>0</v>
          </cell>
          <cell r="K15">
            <v>2.4</v>
          </cell>
          <cell r="L15">
            <v>0.01</v>
          </cell>
          <cell r="M15">
            <v>0.19</v>
          </cell>
          <cell r="N15">
            <v>1661.7547219999999</v>
          </cell>
          <cell r="O15">
            <v>2.2999999999999998</v>
          </cell>
          <cell r="P15">
            <v>1680.6722689999999</v>
          </cell>
        </row>
        <row r="16">
          <cell r="A16" t="str">
            <v>PF0303</v>
          </cell>
          <cell r="B16" t="str">
            <v>D10 RB500  en Bobine</v>
          </cell>
          <cell r="C16" t="str">
            <v>F03</v>
          </cell>
          <cell r="D16" t="str">
            <v>Rond à Beton en Bobine Compact</v>
          </cell>
          <cell r="E16" t="str">
            <v>L3</v>
          </cell>
          <cell r="F16" t="str">
            <v xml:space="preserve">Ligne Bobineuse </v>
          </cell>
          <cell r="G16">
            <v>1</v>
          </cell>
          <cell r="H16">
            <v>0.96</v>
          </cell>
          <cell r="I16">
            <v>5.0000000000000001E-3</v>
          </cell>
          <cell r="J16">
            <v>0</v>
          </cell>
          <cell r="K16">
            <v>2.4</v>
          </cell>
          <cell r="L16">
            <v>0.01</v>
          </cell>
          <cell r="M16">
            <v>0.19</v>
          </cell>
          <cell r="N16">
            <v>1661.7547219999999</v>
          </cell>
          <cell r="O16">
            <v>2.2999999999999998</v>
          </cell>
          <cell r="P16">
            <v>1680.6722689999999</v>
          </cell>
        </row>
        <row r="17">
          <cell r="A17" t="str">
            <v>PF0304</v>
          </cell>
          <cell r="B17" t="str">
            <v>D12 RB500 en Bobine</v>
          </cell>
          <cell r="C17" t="str">
            <v>F03</v>
          </cell>
          <cell r="D17" t="str">
            <v>Rond à Beton en Bobine Compact</v>
          </cell>
          <cell r="E17" t="str">
            <v>L3</v>
          </cell>
          <cell r="F17" t="str">
            <v xml:space="preserve">Ligne Bobineuse </v>
          </cell>
          <cell r="G17">
            <v>1</v>
          </cell>
          <cell r="H17">
            <v>0.96</v>
          </cell>
          <cell r="I17">
            <v>5.0000000000000001E-3</v>
          </cell>
          <cell r="J17">
            <v>0</v>
          </cell>
          <cell r="K17">
            <v>2.4</v>
          </cell>
          <cell r="L17">
            <v>0.01</v>
          </cell>
          <cell r="M17">
            <v>0.19</v>
          </cell>
          <cell r="N17">
            <v>1661.7547219999999</v>
          </cell>
          <cell r="O17">
            <v>2.2999999999999998</v>
          </cell>
          <cell r="P17">
            <v>1680.6722689999999</v>
          </cell>
        </row>
        <row r="18">
          <cell r="A18" t="str">
            <v>PF0305</v>
          </cell>
          <cell r="B18" t="str">
            <v>D14 RB500 en bobine</v>
          </cell>
          <cell r="C18" t="str">
            <v>F03</v>
          </cell>
          <cell r="D18" t="str">
            <v>Rond à Beton en Bobine Compact</v>
          </cell>
          <cell r="E18" t="str">
            <v>L3</v>
          </cell>
          <cell r="F18" t="str">
            <v xml:space="preserve">Ligne Bobineuse </v>
          </cell>
          <cell r="G18">
            <v>1</v>
          </cell>
          <cell r="H18">
            <v>0.96</v>
          </cell>
          <cell r="I18">
            <v>5.0000000000000001E-3</v>
          </cell>
          <cell r="J18">
            <v>0</v>
          </cell>
          <cell r="K18">
            <v>2.4</v>
          </cell>
          <cell r="L18">
            <v>0.01</v>
          </cell>
          <cell r="M18">
            <v>0.19</v>
          </cell>
          <cell r="N18">
            <v>1661.7547219999999</v>
          </cell>
          <cell r="O18">
            <v>2.2999999999999998</v>
          </cell>
          <cell r="P18">
            <v>1680.6722689999999</v>
          </cell>
        </row>
        <row r="19">
          <cell r="A19" t="str">
            <v>PF0306</v>
          </cell>
          <cell r="B19" t="str">
            <v>D16 RB500 en bobine</v>
          </cell>
          <cell r="C19" t="str">
            <v>F03</v>
          </cell>
          <cell r="D19" t="str">
            <v>Rond à Beton en Bobine Compact</v>
          </cell>
          <cell r="E19" t="str">
            <v>L3</v>
          </cell>
          <cell r="F19" t="str">
            <v xml:space="preserve">Ligne Bobineuse </v>
          </cell>
          <cell r="G19">
            <v>1</v>
          </cell>
          <cell r="H19">
            <v>0.96</v>
          </cell>
          <cell r="I19">
            <v>5.0000000000000001E-3</v>
          </cell>
          <cell r="J19">
            <v>0</v>
          </cell>
          <cell r="K19">
            <v>2.4</v>
          </cell>
          <cell r="L19">
            <v>0.01</v>
          </cell>
          <cell r="M19">
            <v>0.19</v>
          </cell>
          <cell r="N19">
            <v>1661.7547219999999</v>
          </cell>
          <cell r="O19">
            <v>2.2999999999999998</v>
          </cell>
          <cell r="P19">
            <v>1680.6722689999999</v>
          </cell>
        </row>
        <row r="20">
          <cell r="A20" t="str">
            <v>PF0307</v>
          </cell>
          <cell r="B20" t="str">
            <v>D20 RB500 en bobine</v>
          </cell>
          <cell r="C20" t="str">
            <v>F03</v>
          </cell>
          <cell r="D20" t="str">
            <v>Rond à Beton en Bobine Compact</v>
          </cell>
          <cell r="E20" t="str">
            <v>L3</v>
          </cell>
          <cell r="F20" t="str">
            <v xml:space="preserve">Ligne Bobineuse </v>
          </cell>
          <cell r="G20">
            <v>1</v>
          </cell>
          <cell r="H20">
            <v>0.96</v>
          </cell>
          <cell r="I20">
            <v>5.0000000000000001E-3</v>
          </cell>
          <cell r="J20">
            <v>0</v>
          </cell>
          <cell r="K20">
            <v>2.4</v>
          </cell>
          <cell r="L20">
            <v>0.01</v>
          </cell>
          <cell r="M20">
            <v>0.19</v>
          </cell>
          <cell r="N20">
            <v>1661.7547219999999</v>
          </cell>
          <cell r="O20">
            <v>2.2999999999999998</v>
          </cell>
          <cell r="P20">
            <v>1680.6722689999999</v>
          </cell>
        </row>
        <row r="21">
          <cell r="A21" t="str">
            <v>PF0401</v>
          </cell>
          <cell r="B21" t="str">
            <v>Armatures Diam8</v>
          </cell>
          <cell r="C21" t="str">
            <v>F04</v>
          </cell>
          <cell r="D21" t="str">
            <v>Armatures Pré-Fabriqués</v>
          </cell>
          <cell r="E21" t="str">
            <v>L04</v>
          </cell>
          <cell r="F21" t="str">
            <v>Atelier de Façonnage</v>
          </cell>
          <cell r="G21">
            <v>1</v>
          </cell>
          <cell r="H21">
            <v>0.95</v>
          </cell>
          <cell r="I21">
            <v>5.0000000000000001E-3</v>
          </cell>
          <cell r="J21">
            <v>0</v>
          </cell>
          <cell r="K21">
            <v>0</v>
          </cell>
          <cell r="L21">
            <v>0.01</v>
          </cell>
          <cell r="M21">
            <v>0.19</v>
          </cell>
          <cell r="N21">
            <v>1744.9563189999999</v>
          </cell>
          <cell r="O21">
            <v>2.2999999999999998</v>
          </cell>
          <cell r="P21">
            <v>1764.705882</v>
          </cell>
        </row>
        <row r="22">
          <cell r="A22" t="str">
            <v>PF0402</v>
          </cell>
          <cell r="B22" t="str">
            <v>Armatures Diam10</v>
          </cell>
          <cell r="C22" t="str">
            <v>F04</v>
          </cell>
          <cell r="D22" t="str">
            <v>Armatures Pré-Fabriqués</v>
          </cell>
          <cell r="E22" t="str">
            <v>L04</v>
          </cell>
          <cell r="F22" t="str">
            <v>Atelier de Façonnage</v>
          </cell>
          <cell r="G22">
            <v>1</v>
          </cell>
          <cell r="H22">
            <v>0.95</v>
          </cell>
          <cell r="I22">
            <v>5.0000000000000001E-3</v>
          </cell>
          <cell r="J22">
            <v>0</v>
          </cell>
          <cell r="K22">
            <v>0</v>
          </cell>
          <cell r="L22">
            <v>0.01</v>
          </cell>
          <cell r="M22">
            <v>0.19</v>
          </cell>
          <cell r="N22">
            <v>1744.9563189999999</v>
          </cell>
          <cell r="O22">
            <v>2.2999999999999998</v>
          </cell>
          <cell r="P22">
            <v>1764.705882</v>
          </cell>
        </row>
        <row r="23">
          <cell r="A23" t="str">
            <v>PF0403</v>
          </cell>
          <cell r="B23" t="str">
            <v>Armatures Diam12</v>
          </cell>
          <cell r="C23" t="str">
            <v>F04</v>
          </cell>
          <cell r="D23" t="str">
            <v>Armatures Pré-Fabriqués</v>
          </cell>
          <cell r="E23" t="str">
            <v>L04</v>
          </cell>
          <cell r="F23" t="str">
            <v>Atelier de Façonnage</v>
          </cell>
          <cell r="G23">
            <v>1</v>
          </cell>
          <cell r="H23">
            <v>0.95</v>
          </cell>
          <cell r="I23">
            <v>5.0000000000000001E-3</v>
          </cell>
          <cell r="J23">
            <v>0</v>
          </cell>
          <cell r="K23">
            <v>0</v>
          </cell>
          <cell r="L23">
            <v>0.01</v>
          </cell>
          <cell r="M23">
            <v>0.19</v>
          </cell>
          <cell r="N23">
            <v>1744.9563189999999</v>
          </cell>
          <cell r="O23">
            <v>2.2999999999999998</v>
          </cell>
          <cell r="P23">
            <v>1764.705882</v>
          </cell>
        </row>
        <row r="24">
          <cell r="A24" t="str">
            <v>PF0404</v>
          </cell>
          <cell r="B24" t="str">
            <v>Armatures Diam14</v>
          </cell>
          <cell r="C24" t="str">
            <v>F04</v>
          </cell>
          <cell r="D24" t="str">
            <v>Armatures Pré-Fabriqués</v>
          </cell>
          <cell r="E24" t="str">
            <v>L04</v>
          </cell>
          <cell r="F24" t="str">
            <v>Atelier de Façonnage</v>
          </cell>
          <cell r="G24">
            <v>1</v>
          </cell>
          <cell r="H24">
            <v>0.95</v>
          </cell>
          <cell r="I24">
            <v>5.0000000000000001E-3</v>
          </cell>
          <cell r="J24">
            <v>0</v>
          </cell>
          <cell r="K24">
            <v>0</v>
          </cell>
          <cell r="L24">
            <v>0.01</v>
          </cell>
          <cell r="M24">
            <v>0.19</v>
          </cell>
          <cell r="N24">
            <v>1744.9563189999999</v>
          </cell>
          <cell r="O24">
            <v>2.2999999999999998</v>
          </cell>
          <cell r="P24">
            <v>1764.705882</v>
          </cell>
        </row>
        <row r="25">
          <cell r="A25" t="str">
            <v>PF0501</v>
          </cell>
          <cell r="B25" t="str">
            <v xml:space="preserve">D03 en Bobine </v>
          </cell>
          <cell r="C25" t="str">
            <v>F05</v>
          </cell>
          <cell r="D25" t="str">
            <v>Fil machine Diam 3 en bobine</v>
          </cell>
          <cell r="E25" t="str">
            <v>L05</v>
          </cell>
          <cell r="F25" t="str">
            <v xml:space="preserve">Ligne Laminage à Froid </v>
          </cell>
          <cell r="G25">
            <v>1</v>
          </cell>
          <cell r="H25">
            <v>0.95</v>
          </cell>
          <cell r="I25">
            <v>5.0000000000000001E-3</v>
          </cell>
          <cell r="J25">
            <v>0</v>
          </cell>
          <cell r="K25">
            <v>0</v>
          </cell>
          <cell r="L25">
            <v>0.01</v>
          </cell>
          <cell r="M25">
            <v>0.19</v>
          </cell>
          <cell r="N25">
            <v>1797.7227720000001</v>
          </cell>
          <cell r="O25">
            <v>2.2999999999999998</v>
          </cell>
          <cell r="P25">
            <v>1818</v>
          </cell>
        </row>
        <row r="26">
          <cell r="A26" t="str">
            <v>PF0502</v>
          </cell>
          <cell r="B26" t="str">
            <v xml:space="preserve">D04 en Bobine </v>
          </cell>
          <cell r="C26" t="str">
            <v>F05</v>
          </cell>
          <cell r="D26" t="str">
            <v>Fil machine Diam 4 en bobine</v>
          </cell>
          <cell r="E26" t="str">
            <v>L06</v>
          </cell>
          <cell r="F26" t="str">
            <v xml:space="preserve">Ligne Laminage à Froid </v>
          </cell>
          <cell r="G26">
            <v>1</v>
          </cell>
          <cell r="H26">
            <v>0.95</v>
          </cell>
          <cell r="I26">
            <v>5.0000000000000001E-3</v>
          </cell>
          <cell r="J26">
            <v>0</v>
          </cell>
          <cell r="K26">
            <v>0</v>
          </cell>
          <cell r="L26">
            <v>0.01</v>
          </cell>
          <cell r="M26">
            <v>0.19</v>
          </cell>
          <cell r="N26">
            <v>1777.7227720000001</v>
          </cell>
          <cell r="O26">
            <v>2.2999999999999998</v>
          </cell>
          <cell r="P26">
            <v>1797.8</v>
          </cell>
        </row>
        <row r="27">
          <cell r="A27" t="str">
            <v>PF0503</v>
          </cell>
          <cell r="B27" t="str">
            <v xml:space="preserve">D05 en Bobine </v>
          </cell>
          <cell r="C27" t="str">
            <v>F05</v>
          </cell>
          <cell r="D27" t="str">
            <v>Fil machine Diam 5 en bobine</v>
          </cell>
          <cell r="E27" t="str">
            <v>L07</v>
          </cell>
          <cell r="F27" t="str">
            <v xml:space="preserve">Ligne Laminage à Froid </v>
          </cell>
          <cell r="G27">
            <v>1</v>
          </cell>
          <cell r="H27">
            <v>0.95</v>
          </cell>
          <cell r="I27">
            <v>5.0000000000000001E-3</v>
          </cell>
          <cell r="J27">
            <v>0</v>
          </cell>
          <cell r="K27">
            <v>0</v>
          </cell>
          <cell r="L27">
            <v>0.01</v>
          </cell>
          <cell r="M27">
            <v>0.19</v>
          </cell>
          <cell r="N27">
            <v>1777.7227720000001</v>
          </cell>
          <cell r="O27">
            <v>2.2999999999999998</v>
          </cell>
          <cell r="P27">
            <v>1797.8</v>
          </cell>
        </row>
        <row r="28">
          <cell r="A28" t="str">
            <v>PF0504</v>
          </cell>
          <cell r="B28" t="str">
            <v xml:space="preserve">D06 en Bobine </v>
          </cell>
          <cell r="C28" t="str">
            <v>F05</v>
          </cell>
          <cell r="D28" t="str">
            <v>Fil machine Diam 6 en bobine</v>
          </cell>
          <cell r="E28" t="str">
            <v>L08</v>
          </cell>
          <cell r="F28" t="str">
            <v xml:space="preserve">Ligne Laminage à Froid </v>
          </cell>
          <cell r="G28">
            <v>1</v>
          </cell>
          <cell r="H28">
            <v>0.95</v>
          </cell>
          <cell r="I28">
            <v>5.0000000000000001E-3</v>
          </cell>
          <cell r="J28">
            <v>0</v>
          </cell>
          <cell r="K28">
            <v>0</v>
          </cell>
          <cell r="L28">
            <v>0.01</v>
          </cell>
          <cell r="M28">
            <v>0.19</v>
          </cell>
          <cell r="N28">
            <v>1757.7227720000001</v>
          </cell>
          <cell r="O28">
            <v>2.2999999999999998</v>
          </cell>
          <cell r="P28">
            <v>1777.6</v>
          </cell>
        </row>
        <row r="29">
          <cell r="A29" t="str">
            <v>PF0601</v>
          </cell>
          <cell r="B29" t="str">
            <v>Produits  TR_Soudé  Section 3</v>
          </cell>
          <cell r="C29" t="str">
            <v>F06</v>
          </cell>
          <cell r="D29" t="str">
            <v>Treillis Soudé</v>
          </cell>
          <cell r="E29" t="str">
            <v>L06</v>
          </cell>
          <cell r="F29" t="str">
            <v>Ligne Treillis Soudés</v>
          </cell>
          <cell r="G29">
            <v>1</v>
          </cell>
          <cell r="H29">
            <v>0.95</v>
          </cell>
          <cell r="I29">
            <v>5.0000000000000001E-3</v>
          </cell>
          <cell r="J29">
            <v>0</v>
          </cell>
          <cell r="K29">
            <v>0</v>
          </cell>
          <cell r="L29">
            <v>0.01</v>
          </cell>
          <cell r="M29">
            <v>0.19</v>
          </cell>
          <cell r="N29">
            <v>1977.7227720000001</v>
          </cell>
          <cell r="O29">
            <v>2.2999999999999998</v>
          </cell>
          <cell r="P29">
            <v>1999.8</v>
          </cell>
        </row>
        <row r="30">
          <cell r="A30" t="str">
            <v>PF0602</v>
          </cell>
          <cell r="B30" t="str">
            <v>Produits  TR_Soudé  Section 4</v>
          </cell>
          <cell r="C30" t="str">
            <v>F06</v>
          </cell>
          <cell r="D30" t="str">
            <v>Treillis Soudé</v>
          </cell>
          <cell r="E30" t="str">
            <v>L06</v>
          </cell>
          <cell r="F30" t="str">
            <v>Ligne Treillis Soudés</v>
          </cell>
          <cell r="G30">
            <v>1</v>
          </cell>
          <cell r="H30">
            <v>0.95</v>
          </cell>
          <cell r="I30">
            <v>5.0000000000000001E-3</v>
          </cell>
          <cell r="J30">
            <v>0</v>
          </cell>
          <cell r="K30">
            <v>0</v>
          </cell>
          <cell r="L30">
            <v>0.01</v>
          </cell>
          <cell r="M30">
            <v>0.19</v>
          </cell>
          <cell r="N30">
            <v>1977.7227720000001</v>
          </cell>
          <cell r="O30">
            <v>2.2999999999999998</v>
          </cell>
          <cell r="P30">
            <v>1999.8</v>
          </cell>
        </row>
        <row r="31">
          <cell r="A31" t="str">
            <v>PF0603</v>
          </cell>
          <cell r="B31" t="str">
            <v>Produits  TR_Soudé  Section 6</v>
          </cell>
          <cell r="C31" t="str">
            <v>F06</v>
          </cell>
          <cell r="D31" t="str">
            <v>Treillis Soudé</v>
          </cell>
          <cell r="E31" t="str">
            <v>L06</v>
          </cell>
          <cell r="F31" t="str">
            <v>Ligne Treillis Soudés</v>
          </cell>
          <cell r="G31">
            <v>1</v>
          </cell>
          <cell r="H31">
            <v>0.95</v>
          </cell>
          <cell r="I31">
            <v>5.0000000000000001E-3</v>
          </cell>
          <cell r="J31">
            <v>0</v>
          </cell>
          <cell r="K31">
            <v>0</v>
          </cell>
          <cell r="L31">
            <v>0.01</v>
          </cell>
          <cell r="M31">
            <v>0.19</v>
          </cell>
          <cell r="N31">
            <v>1977.7227720000001</v>
          </cell>
          <cell r="O31">
            <v>2.2999999999999998</v>
          </cell>
          <cell r="P31">
            <v>1999.8</v>
          </cell>
        </row>
        <row r="32">
          <cell r="A32" t="str">
            <v>PF0604</v>
          </cell>
          <cell r="B32" t="str">
            <v>Produits  TR_Soudé  Section 8</v>
          </cell>
          <cell r="C32" t="str">
            <v>F06</v>
          </cell>
          <cell r="D32" t="str">
            <v>Treillis Soudé</v>
          </cell>
          <cell r="E32" t="str">
            <v>L06</v>
          </cell>
          <cell r="F32" t="str">
            <v>Ligne Treillis Soudés</v>
          </cell>
          <cell r="G32">
            <v>1</v>
          </cell>
          <cell r="H32">
            <v>0.95</v>
          </cell>
          <cell r="I32">
            <v>5.0000000000000001E-3</v>
          </cell>
          <cell r="J32">
            <v>0</v>
          </cell>
          <cell r="K32">
            <v>0</v>
          </cell>
          <cell r="L32">
            <v>0.01</v>
          </cell>
          <cell r="M32">
            <v>0.19</v>
          </cell>
          <cell r="N32">
            <v>1977.7227720000001</v>
          </cell>
          <cell r="O32">
            <v>2.2999999999999998</v>
          </cell>
          <cell r="P32">
            <v>1999.8</v>
          </cell>
        </row>
        <row r="33">
          <cell r="A33" t="str">
            <v>PF0605</v>
          </cell>
          <cell r="B33" t="str">
            <v>Produits  TR_Soudé  Section 10</v>
          </cell>
          <cell r="C33" t="str">
            <v>F06</v>
          </cell>
          <cell r="D33" t="str">
            <v>Treillis Soudé</v>
          </cell>
          <cell r="E33" t="str">
            <v>L06</v>
          </cell>
          <cell r="F33" t="str">
            <v>Ligne Treillis Soudés</v>
          </cell>
          <cell r="G33">
            <v>1</v>
          </cell>
          <cell r="H33">
            <v>0.95</v>
          </cell>
          <cell r="I33">
            <v>5.0000000000000001E-3</v>
          </cell>
          <cell r="J33">
            <v>0</v>
          </cell>
          <cell r="K33">
            <v>0</v>
          </cell>
          <cell r="L33">
            <v>0.01</v>
          </cell>
          <cell r="M33">
            <v>0.19</v>
          </cell>
          <cell r="N33">
            <v>1977.7227720000001</v>
          </cell>
          <cell r="O33">
            <v>2.2999999999999998</v>
          </cell>
          <cell r="P33">
            <v>1999.8</v>
          </cell>
        </row>
        <row r="34">
          <cell r="A34" t="str">
            <v>PF0701</v>
          </cell>
          <cell r="B34" t="str">
            <v>Produits FAS 1</v>
          </cell>
          <cell r="C34" t="str">
            <v>F07</v>
          </cell>
          <cell r="D34" t="str">
            <v>Amataures façconnés_Assemblé_Soudé</v>
          </cell>
          <cell r="E34" t="str">
            <v>L07</v>
          </cell>
          <cell r="F34" t="str">
            <v>Atelier de Façonnage</v>
          </cell>
          <cell r="G34">
            <v>1</v>
          </cell>
          <cell r="H34">
            <v>0.95</v>
          </cell>
          <cell r="I34">
            <v>5.0000000000000001E-3</v>
          </cell>
          <cell r="J34">
            <v>0</v>
          </cell>
          <cell r="K34">
            <v>0</v>
          </cell>
          <cell r="L34">
            <v>0.01</v>
          </cell>
          <cell r="M34">
            <v>0.19</v>
          </cell>
          <cell r="N34">
            <v>1744.9563189999999</v>
          </cell>
          <cell r="O34">
            <v>2.2999999999999998</v>
          </cell>
          <cell r="P34">
            <v>1764.705882</v>
          </cell>
        </row>
        <row r="35">
          <cell r="A35" t="str">
            <v>PF0702</v>
          </cell>
          <cell r="B35" t="str">
            <v>Produits FAS 2</v>
          </cell>
          <cell r="C35" t="str">
            <v>F07</v>
          </cell>
          <cell r="D35" t="str">
            <v>Amataures façconnés_Assemblé_Soudé</v>
          </cell>
          <cell r="E35" t="str">
            <v>L07</v>
          </cell>
          <cell r="F35" t="str">
            <v>Atelier de Façonnage</v>
          </cell>
          <cell r="G35">
            <v>1</v>
          </cell>
          <cell r="H35">
            <v>0.95</v>
          </cell>
          <cell r="I35">
            <v>5.0000000000000001E-3</v>
          </cell>
          <cell r="J35">
            <v>0</v>
          </cell>
          <cell r="K35">
            <v>0</v>
          </cell>
          <cell r="L35">
            <v>0.01</v>
          </cell>
          <cell r="M35">
            <v>0.19</v>
          </cell>
          <cell r="N35">
            <v>1744.9563189999999</v>
          </cell>
          <cell r="O35">
            <v>2.2999999999999998</v>
          </cell>
          <cell r="P35">
            <v>1764.705882</v>
          </cell>
        </row>
        <row r="36">
          <cell r="A36" t="str">
            <v>PF0703</v>
          </cell>
          <cell r="B36" t="str">
            <v>Produits FAS 3</v>
          </cell>
          <cell r="C36" t="str">
            <v>F07</v>
          </cell>
          <cell r="D36" t="str">
            <v>Amataures façconnés_Assemblé_Soudé</v>
          </cell>
          <cell r="E36" t="str">
            <v>L07</v>
          </cell>
          <cell r="F36" t="str">
            <v>Atelier de Façonnage</v>
          </cell>
          <cell r="G36">
            <v>1</v>
          </cell>
          <cell r="H36">
            <v>0.95</v>
          </cell>
          <cell r="I36">
            <v>5.0000000000000001E-3</v>
          </cell>
          <cell r="J36">
            <v>0</v>
          </cell>
          <cell r="K36">
            <v>0</v>
          </cell>
          <cell r="L36">
            <v>0.01</v>
          </cell>
          <cell r="M36">
            <v>0.19</v>
          </cell>
          <cell r="N36">
            <v>1744.9563189999999</v>
          </cell>
          <cell r="O36">
            <v>2.2999999999999998</v>
          </cell>
          <cell r="P36">
            <v>1764.705882</v>
          </cell>
        </row>
        <row r="37">
          <cell r="A37" t="str">
            <v>PF0704</v>
          </cell>
          <cell r="B37" t="str">
            <v>Produits FAS 4</v>
          </cell>
          <cell r="C37" t="str">
            <v>F07</v>
          </cell>
          <cell r="D37" t="str">
            <v>Amataures façconnés_Assemblé_Soudé</v>
          </cell>
          <cell r="E37" t="str">
            <v>L07</v>
          </cell>
          <cell r="F37" t="str">
            <v>Atelier de Façonnage</v>
          </cell>
          <cell r="G37">
            <v>1</v>
          </cell>
          <cell r="H37">
            <v>0.95</v>
          </cell>
          <cell r="I37">
            <v>5.0000000000000001E-3</v>
          </cell>
          <cell r="J37">
            <v>0</v>
          </cell>
          <cell r="K37">
            <v>0</v>
          </cell>
          <cell r="L37">
            <v>0.01</v>
          </cell>
          <cell r="M37">
            <v>0.19</v>
          </cell>
          <cell r="N37">
            <v>1744.9563189999999</v>
          </cell>
          <cell r="O37">
            <v>2.2999999999999998</v>
          </cell>
          <cell r="P37">
            <v>1764.705882</v>
          </cell>
        </row>
        <row r="38">
          <cell r="A38" t="str">
            <v>PR0101</v>
          </cell>
          <cell r="B38" t="str">
            <v xml:space="preserve">Barres Courtes </v>
          </cell>
          <cell r="C38" t="str">
            <v>F08</v>
          </cell>
          <cell r="D38" t="str">
            <v>Produits résiduels</v>
          </cell>
          <cell r="E38">
            <v>0</v>
          </cell>
          <cell r="F38">
            <v>0</v>
          </cell>
          <cell r="G38">
            <v>1</v>
          </cell>
          <cell r="H38">
            <v>0.95</v>
          </cell>
          <cell r="I38">
            <v>5.0000000000000001E-3</v>
          </cell>
          <cell r="J38">
            <v>0</v>
          </cell>
          <cell r="K38">
            <v>0</v>
          </cell>
          <cell r="L38">
            <v>0.01</v>
          </cell>
          <cell r="M38">
            <v>0.19</v>
          </cell>
          <cell r="N38">
            <v>1744.9563189999999</v>
          </cell>
          <cell r="O38">
            <v>2.2999999999999998</v>
          </cell>
          <cell r="P38">
            <v>1764.705882</v>
          </cell>
        </row>
        <row r="39">
          <cell r="A39" t="str">
            <v>PR0102</v>
          </cell>
          <cell r="B39" t="str">
            <v>Calamine</v>
          </cell>
          <cell r="C39" t="str">
            <v>F02</v>
          </cell>
          <cell r="D39" t="str">
            <v>Produits résiduels</v>
          </cell>
          <cell r="E39">
            <v>0</v>
          </cell>
          <cell r="F39">
            <v>0</v>
          </cell>
          <cell r="G39">
            <v>1</v>
          </cell>
          <cell r="H39">
            <v>0.95</v>
          </cell>
          <cell r="I39">
            <v>5.0000000000000001E-3</v>
          </cell>
          <cell r="J39">
            <v>0</v>
          </cell>
          <cell r="K39">
            <v>0</v>
          </cell>
          <cell r="L39">
            <v>0.01</v>
          </cell>
          <cell r="M39">
            <v>0.19</v>
          </cell>
          <cell r="N39">
            <v>1744.9563189999999</v>
          </cell>
          <cell r="O39">
            <v>2.2999999999999998</v>
          </cell>
          <cell r="P39">
            <v>1764.705882</v>
          </cell>
        </row>
        <row r="40">
          <cell r="A40" t="str">
            <v>PR0103</v>
          </cell>
          <cell r="B40" t="str">
            <v>Produits Féraille</v>
          </cell>
          <cell r="C40" t="str">
            <v>F02</v>
          </cell>
          <cell r="D40" t="str">
            <v>Produits résiduels</v>
          </cell>
          <cell r="E40">
            <v>0</v>
          </cell>
          <cell r="F40">
            <v>0</v>
          </cell>
          <cell r="G40">
            <v>1</v>
          </cell>
          <cell r="H40">
            <v>0.95</v>
          </cell>
          <cell r="I40">
            <v>5.0000000000000001E-3</v>
          </cell>
          <cell r="J40">
            <v>0</v>
          </cell>
          <cell r="K40">
            <v>0</v>
          </cell>
          <cell r="L40">
            <v>0.01</v>
          </cell>
          <cell r="M40">
            <v>0.19</v>
          </cell>
          <cell r="N40">
            <v>1744.9563189999999</v>
          </cell>
          <cell r="O40">
            <v>2.2999999999999998</v>
          </cell>
          <cell r="P40">
            <v>1764.705882</v>
          </cell>
        </row>
      </sheetData>
      <sheetData sheetId="8">
        <row r="83">
          <cell r="G83">
            <v>1382.0350000000003</v>
          </cell>
          <cell r="H83">
            <v>2424.251999999999</v>
          </cell>
          <cell r="I83">
            <v>2565.9230000000011</v>
          </cell>
          <cell r="J83">
            <v>1615.3689999999995</v>
          </cell>
          <cell r="K83">
            <v>301.23599999999999</v>
          </cell>
          <cell r="L83">
            <v>1055.2850000000003</v>
          </cell>
          <cell r="M83">
            <v>970.64899999999966</v>
          </cell>
          <cell r="N83">
            <v>1473.0630000000003</v>
          </cell>
          <cell r="O83">
            <v>1378.972999999999</v>
          </cell>
          <cell r="P83">
            <v>3166.6666666666665</v>
          </cell>
          <cell r="Q83">
            <v>3166.6666666666665</v>
          </cell>
          <cell r="R83">
            <v>3166.6666666666665</v>
          </cell>
        </row>
        <row r="84">
          <cell r="G84">
            <v>11.985999999999999</v>
          </cell>
          <cell r="H84">
            <v>7126.132999999998</v>
          </cell>
          <cell r="I84">
            <v>7173.0360000000019</v>
          </cell>
          <cell r="J84">
            <v>3725.7810000000013</v>
          </cell>
          <cell r="K84">
            <v>3749.9200000000051</v>
          </cell>
          <cell r="L84">
            <v>3378.579999999999</v>
          </cell>
          <cell r="M84">
            <v>1980.3420000000001</v>
          </cell>
          <cell r="N84">
            <v>2484.6690000000008</v>
          </cell>
          <cell r="O84">
            <v>2270.8549999999977</v>
          </cell>
          <cell r="P84">
            <v>3916.6666666666661</v>
          </cell>
          <cell r="Q84">
            <v>3916.6666666666661</v>
          </cell>
          <cell r="R84">
            <v>3916.6666666666661</v>
          </cell>
        </row>
        <row r="85">
          <cell r="G85">
            <v>0</v>
          </cell>
          <cell r="H85">
            <v>5563.3519999999999</v>
          </cell>
          <cell r="I85">
            <v>6033.5449999999955</v>
          </cell>
          <cell r="J85">
            <v>6670.5929999999989</v>
          </cell>
          <cell r="K85">
            <v>5105.8919999999989</v>
          </cell>
          <cell r="L85">
            <v>3292.695999999999</v>
          </cell>
          <cell r="M85">
            <v>1535.2099999999998</v>
          </cell>
          <cell r="N85">
            <v>1250.4690000000003</v>
          </cell>
          <cell r="O85">
            <v>3421.9300000000007</v>
          </cell>
          <cell r="P85">
            <v>3250</v>
          </cell>
          <cell r="Q85">
            <v>3250</v>
          </cell>
          <cell r="R85">
            <v>3250</v>
          </cell>
        </row>
        <row r="86">
          <cell r="G86">
            <v>2883.1480000000006</v>
          </cell>
          <cell r="H86">
            <v>4484.6870000000044</v>
          </cell>
          <cell r="I86">
            <v>386.07299999999998</v>
          </cell>
          <cell r="J86">
            <v>1630.3110000000004</v>
          </cell>
          <cell r="K86">
            <v>2004.4399999999989</v>
          </cell>
          <cell r="L86">
            <v>957.15799999999967</v>
          </cell>
          <cell r="M86">
            <v>943.322</v>
          </cell>
          <cell r="N86">
            <v>975.5789999999995</v>
          </cell>
          <cell r="O86">
            <v>1643.7090000000007</v>
          </cell>
          <cell r="P86">
            <v>1750</v>
          </cell>
          <cell r="Q86">
            <v>1750</v>
          </cell>
          <cell r="R86">
            <v>1750</v>
          </cell>
        </row>
        <row r="87">
          <cell r="G87">
            <v>817.1640000000001</v>
          </cell>
          <cell r="H87">
            <v>1.788</v>
          </cell>
          <cell r="I87">
            <v>0</v>
          </cell>
          <cell r="J87">
            <v>684.79600000000016</v>
          </cell>
          <cell r="K87">
            <v>880.22200000000009</v>
          </cell>
          <cell r="L87">
            <v>670.14600000000007</v>
          </cell>
          <cell r="M87">
            <v>33.915999999999997</v>
          </cell>
          <cell r="N87">
            <v>355.56400000000008</v>
          </cell>
          <cell r="O87">
            <v>792.27300000000037</v>
          </cell>
          <cell r="P87">
            <v>1083.3333333333333</v>
          </cell>
          <cell r="Q87">
            <v>1083.3333333333333</v>
          </cell>
          <cell r="R87">
            <v>1083.3333333333333</v>
          </cell>
        </row>
        <row r="88"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458.33333333333331</v>
          </cell>
          <cell r="Q88">
            <v>458.33333333333331</v>
          </cell>
          <cell r="R88">
            <v>458.33333333333331</v>
          </cell>
        </row>
        <row r="89">
          <cell r="G89">
            <v>267.69499999999999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458.33333333333331</v>
          </cell>
          <cell r="Q89">
            <v>458.33333333333331</v>
          </cell>
          <cell r="R89">
            <v>458.33333333333331</v>
          </cell>
        </row>
        <row r="90"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249.99999999999997</v>
          </cell>
          <cell r="Q90">
            <v>249.99999999999997</v>
          </cell>
          <cell r="R90">
            <v>249.99999999999997</v>
          </cell>
        </row>
        <row r="94">
          <cell r="G94">
            <v>6548.277999999993</v>
          </cell>
          <cell r="H94">
            <v>2335.0919999999992</v>
          </cell>
          <cell r="I94">
            <v>3587.7889999999998</v>
          </cell>
          <cell r="J94">
            <v>1306.0600000000004</v>
          </cell>
          <cell r="K94">
            <v>35.106999999999999</v>
          </cell>
          <cell r="L94">
            <v>403.03999999999996</v>
          </cell>
          <cell r="M94">
            <v>3539.7419999999997</v>
          </cell>
          <cell r="N94">
            <v>4000.3109999999997</v>
          </cell>
          <cell r="O94">
            <v>2561.6940000000009</v>
          </cell>
          <cell r="P94">
            <v>1833.3333333333333</v>
          </cell>
          <cell r="Q94">
            <v>1833.3333333333333</v>
          </cell>
          <cell r="R94">
            <v>1833.3333333333333</v>
          </cell>
        </row>
        <row r="95">
          <cell r="G95">
            <v>10.941000000000001</v>
          </cell>
          <cell r="H95">
            <v>0</v>
          </cell>
          <cell r="I95">
            <v>14.087999999999999</v>
          </cell>
          <cell r="J95">
            <v>132.23400000000001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1063.3333333333333</v>
          </cell>
          <cell r="Q95">
            <v>1063.3333333333333</v>
          </cell>
          <cell r="R95">
            <v>1063.3333333333333</v>
          </cell>
        </row>
        <row r="96">
          <cell r="G96">
            <v>0</v>
          </cell>
          <cell r="H96">
            <v>0</v>
          </cell>
          <cell r="I96">
            <v>0</v>
          </cell>
          <cell r="J96">
            <v>3283.7929999999992</v>
          </cell>
          <cell r="K96">
            <v>3438.9070000000024</v>
          </cell>
          <cell r="L96">
            <v>2813.1269999999981</v>
          </cell>
          <cell r="M96">
            <v>1807.3430000000001</v>
          </cell>
          <cell r="N96">
            <v>319.46799999999996</v>
          </cell>
          <cell r="O96">
            <v>561.57499999999982</v>
          </cell>
          <cell r="P96">
            <v>0</v>
          </cell>
          <cell r="Q96">
            <v>0</v>
          </cell>
          <cell r="R96">
            <v>0</v>
          </cell>
        </row>
        <row r="97">
          <cell r="G97">
            <v>1167.463</v>
          </cell>
          <cell r="H97">
            <v>334.35500000000002</v>
          </cell>
          <cell r="I97">
            <v>0.75800000000000001</v>
          </cell>
          <cell r="J97">
            <v>1021.203</v>
          </cell>
          <cell r="K97">
            <v>467.13100000000003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1100</v>
          </cell>
          <cell r="Q97">
            <v>1100</v>
          </cell>
          <cell r="R97">
            <v>1100</v>
          </cell>
        </row>
        <row r="98"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</row>
        <row r="99">
          <cell r="G99">
            <v>0</v>
          </cell>
          <cell r="H99">
            <v>0</v>
          </cell>
          <cell r="I99">
            <v>0</v>
          </cell>
          <cell r="J99">
            <v>30.937999999999999</v>
          </cell>
          <cell r="K99">
            <v>35.076999999999998</v>
          </cell>
          <cell r="L99">
            <v>188.02800000000002</v>
          </cell>
          <cell r="M99">
            <v>55.911000000000001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</row>
        <row r="100">
          <cell r="G100">
            <v>0</v>
          </cell>
          <cell r="H100">
            <v>0</v>
          </cell>
          <cell r="I100">
            <v>14.23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</row>
        <row r="101">
          <cell r="G101">
            <v>0</v>
          </cell>
          <cell r="H101">
            <v>0</v>
          </cell>
          <cell r="I101">
            <v>0</v>
          </cell>
          <cell r="J101">
            <v>6.1760000000000002</v>
          </cell>
          <cell r="K101">
            <v>303.72000000000003</v>
          </cell>
          <cell r="L101">
            <v>116.361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</row>
        <row r="105">
          <cell r="P105">
            <v>18330</v>
          </cell>
          <cell r="Q105">
            <v>18330</v>
          </cell>
          <cell r="R105">
            <v>18330</v>
          </cell>
        </row>
      </sheetData>
      <sheetData sheetId="9">
        <row r="105">
          <cell r="G105">
            <v>19546.660000000003</v>
          </cell>
          <cell r="H105">
            <v>20015.008999999998</v>
          </cell>
          <cell r="I105">
            <v>21203.078000000001</v>
          </cell>
          <cell r="J105">
            <v>17943.794000000002</v>
          </cell>
          <cell r="K105">
            <v>16857.46</v>
          </cell>
          <cell r="L105">
            <v>13434.612999999999</v>
          </cell>
          <cell r="M105">
            <v>12021.124000000002</v>
          </cell>
          <cell r="N105">
            <v>15029.424999999999</v>
          </cell>
          <cell r="O105">
            <v>16233.774000000001</v>
          </cell>
        </row>
        <row r="107">
          <cell r="K107">
            <v>0</v>
          </cell>
        </row>
        <row r="108">
          <cell r="K108">
            <v>0</v>
          </cell>
        </row>
        <row r="109">
          <cell r="K109">
            <v>0</v>
          </cell>
        </row>
        <row r="110">
          <cell r="K110">
            <v>0</v>
          </cell>
        </row>
        <row r="111">
          <cell r="K111">
            <v>0</v>
          </cell>
        </row>
        <row r="112">
          <cell r="K112">
            <v>0</v>
          </cell>
        </row>
        <row r="113">
          <cell r="K113">
            <v>0</v>
          </cell>
        </row>
        <row r="119">
          <cell r="K119">
            <v>0</v>
          </cell>
        </row>
        <row r="120">
          <cell r="K120">
            <v>0</v>
          </cell>
        </row>
        <row r="121">
          <cell r="K121">
            <v>0</v>
          </cell>
        </row>
        <row r="122">
          <cell r="K122">
            <v>0</v>
          </cell>
        </row>
        <row r="126">
          <cell r="K126">
            <v>0</v>
          </cell>
        </row>
        <row r="127">
          <cell r="K127">
            <v>0</v>
          </cell>
        </row>
        <row r="128">
          <cell r="K128">
            <v>0</v>
          </cell>
        </row>
        <row r="129">
          <cell r="K129">
            <v>0</v>
          </cell>
        </row>
        <row r="135">
          <cell r="K135">
            <v>0</v>
          </cell>
        </row>
        <row r="136">
          <cell r="K136">
            <v>0</v>
          </cell>
        </row>
        <row r="137">
          <cell r="K137">
            <v>0</v>
          </cell>
        </row>
        <row r="138">
          <cell r="K138">
            <v>0</v>
          </cell>
        </row>
        <row r="142">
          <cell r="K142">
            <v>0</v>
          </cell>
        </row>
        <row r="143">
          <cell r="K143">
            <v>0</v>
          </cell>
        </row>
        <row r="144">
          <cell r="K144">
            <v>0</v>
          </cell>
        </row>
        <row r="145">
          <cell r="K145">
            <v>0</v>
          </cell>
        </row>
      </sheetData>
      <sheetData sheetId="10">
        <row r="108">
          <cell r="G108">
            <v>20576982.249000002</v>
          </cell>
        </row>
      </sheetData>
      <sheetData sheetId="11"/>
      <sheetData sheetId="12">
        <row r="28">
          <cell r="V28">
            <v>5</v>
          </cell>
        </row>
        <row r="29">
          <cell r="V29">
            <v>4</v>
          </cell>
        </row>
        <row r="30">
          <cell r="V30">
            <v>3</v>
          </cell>
        </row>
        <row r="31">
          <cell r="V31">
            <v>2.5</v>
          </cell>
        </row>
        <row r="32">
          <cell r="V32">
            <v>0</v>
          </cell>
        </row>
        <row r="33">
          <cell r="V33">
            <v>0</v>
          </cell>
        </row>
        <row r="34">
          <cell r="V34">
            <v>2</v>
          </cell>
        </row>
      </sheetData>
      <sheetData sheetId="13"/>
      <sheetData sheetId="14">
        <row r="45">
          <cell r="E45">
            <v>19546.660000000003</v>
          </cell>
          <cell r="F45">
            <v>20015.008999999998</v>
          </cell>
          <cell r="G45">
            <v>21203.078000000001</v>
          </cell>
          <cell r="H45">
            <v>17943.794000000002</v>
          </cell>
          <cell r="I45">
            <v>16857.46</v>
          </cell>
          <cell r="J45">
            <v>13434.612999999999</v>
          </cell>
          <cell r="K45">
            <v>12021.124000000002</v>
          </cell>
          <cell r="L45">
            <v>15029.424999999999</v>
          </cell>
          <cell r="M45">
            <v>16233.774000000001</v>
          </cell>
        </row>
      </sheetData>
      <sheetData sheetId="15">
        <row r="28">
          <cell r="E28">
            <v>23024.73992</v>
          </cell>
          <cell r="F28">
            <v>0</v>
          </cell>
          <cell r="G28">
            <v>12036.282565094114</v>
          </cell>
          <cell r="H28">
            <v>8431.4915199999996</v>
          </cell>
          <cell r="I28">
            <v>537.5</v>
          </cell>
          <cell r="J28">
            <v>58019.214043809523</v>
          </cell>
          <cell r="K28">
            <v>0</v>
          </cell>
          <cell r="L28">
            <v>7637.2349460464957</v>
          </cell>
          <cell r="M28">
            <v>59930.834946046496</v>
          </cell>
        </row>
        <row r="29">
          <cell r="E29">
            <v>10029.36</v>
          </cell>
          <cell r="F29">
            <v>2455.2000000000003</v>
          </cell>
          <cell r="G29">
            <v>1115.9784</v>
          </cell>
          <cell r="H29">
            <v>2081.3112000000001</v>
          </cell>
          <cell r="I29">
            <v>1581.8422428571441</v>
          </cell>
          <cell r="J29">
            <v>4252.2451401785711</v>
          </cell>
          <cell r="K29">
            <v>0</v>
          </cell>
          <cell r="L29">
            <v>1996.4408410714282</v>
          </cell>
          <cell r="M29">
            <v>494.32570089285696</v>
          </cell>
        </row>
        <row r="30">
          <cell r="E30">
            <v>2373.36</v>
          </cell>
          <cell r="F30">
            <v>2455.2000000000003</v>
          </cell>
          <cell r="G30">
            <v>0</v>
          </cell>
          <cell r="H30">
            <v>593.34</v>
          </cell>
          <cell r="I30">
            <v>0</v>
          </cell>
          <cell r="J30">
            <v>4153.38</v>
          </cell>
          <cell r="K30">
            <v>0</v>
          </cell>
          <cell r="L30">
            <v>0</v>
          </cell>
          <cell r="M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E32">
            <v>5102.598543154103</v>
          </cell>
          <cell r="F32">
            <v>2823.25594</v>
          </cell>
          <cell r="G32">
            <v>2985.81504</v>
          </cell>
          <cell r="H32">
            <v>7146.9383641583072</v>
          </cell>
          <cell r="I32">
            <v>7333.5858849184515</v>
          </cell>
          <cell r="J32">
            <v>40245.39055073302</v>
          </cell>
          <cell r="K32">
            <v>0</v>
          </cell>
          <cell r="L32">
            <v>17899.12870251319</v>
          </cell>
          <cell r="M32">
            <v>29669.177021956137</v>
          </cell>
        </row>
        <row r="34">
          <cell r="E34">
            <v>249012.23039434411</v>
          </cell>
          <cell r="F34">
            <v>306339.19629754854</v>
          </cell>
          <cell r="G34">
            <v>366876.29654929409</v>
          </cell>
          <cell r="H34">
            <v>318441.93762432435</v>
          </cell>
          <cell r="I34">
            <v>374856.53554314718</v>
          </cell>
          <cell r="J34">
            <v>266702.99622371444</v>
          </cell>
          <cell r="K34">
            <v>13755.593540549355</v>
          </cell>
          <cell r="L34">
            <v>508801.82934795634</v>
          </cell>
          <cell r="M34">
            <v>363507.17685141705</v>
          </cell>
        </row>
        <row r="40">
          <cell r="E40">
            <v>3939.6284518115945</v>
          </cell>
          <cell r="F40">
            <v>15169.739797998984</v>
          </cell>
          <cell r="G40">
            <v>13659.866596046602</v>
          </cell>
          <cell r="H40">
            <v>2212.8999089207873</v>
          </cell>
          <cell r="I40">
            <v>12712.844320291122</v>
          </cell>
          <cell r="J40">
            <v>7475.3825586768562</v>
          </cell>
          <cell r="K40">
            <v>0</v>
          </cell>
          <cell r="L40">
            <v>5394.6787292492563</v>
          </cell>
          <cell r="M40">
            <v>771.56679721217188</v>
          </cell>
        </row>
      </sheetData>
      <sheetData sheetId="16">
        <row r="8">
          <cell r="G8">
            <v>0</v>
          </cell>
        </row>
        <row r="32">
          <cell r="H32">
            <v>20438</v>
          </cell>
          <cell r="I32">
            <v>20844</v>
          </cell>
          <cell r="J32">
            <v>22080</v>
          </cell>
          <cell r="K32">
            <v>18867</v>
          </cell>
          <cell r="L32">
            <v>17672</v>
          </cell>
          <cell r="M32">
            <v>14144</v>
          </cell>
          <cell r="N32">
            <v>12734</v>
          </cell>
          <cell r="O32">
            <v>15751</v>
          </cell>
          <cell r="P32">
            <v>16424</v>
          </cell>
          <cell r="Q32">
            <v>19718.34231988636</v>
          </cell>
          <cell r="R32">
            <v>19718.34231988636</v>
          </cell>
          <cell r="S32">
            <v>19718.34231988636</v>
          </cell>
        </row>
      </sheetData>
      <sheetData sheetId="17"/>
      <sheetData sheetId="18"/>
      <sheetData sheetId="19"/>
      <sheetData sheetId="20">
        <row r="166">
          <cell r="J166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de base"/>
      <sheetName val="Scénario marché-vente"/>
      <sheetName val="Invest"/>
      <sheetName val="Charges Financières"/>
      <sheetName val="Amort"/>
      <sheetName val="Charges d'exploitation"/>
      <sheetName val="CA"/>
      <sheetName val="comptes d'exploitation"/>
      <sheetName val="P Revient"/>
    </sheetNames>
    <sheetDataSet>
      <sheetData sheetId="0" refreshError="1"/>
      <sheetData sheetId="1" refreshError="1"/>
      <sheetData sheetId="2" refreshError="1">
        <row r="18">
          <cell r="E18">
            <v>1544780.7479674798</v>
          </cell>
        </row>
        <row r="19">
          <cell r="E19">
            <v>6951513.3658536579</v>
          </cell>
        </row>
        <row r="20">
          <cell r="E20">
            <v>2510268.7154471544</v>
          </cell>
        </row>
        <row r="21">
          <cell r="E21">
            <v>1182346.7913279133</v>
          </cell>
        </row>
        <row r="33">
          <cell r="C33">
            <v>12473250</v>
          </cell>
        </row>
        <row r="39">
          <cell r="E39">
            <v>1544780.7479674798</v>
          </cell>
        </row>
        <row r="41">
          <cell r="E41">
            <v>3880127.118644068</v>
          </cell>
        </row>
      </sheetData>
      <sheetData sheetId="3" refreshError="1">
        <row r="10">
          <cell r="B10">
            <v>3741975</v>
          </cell>
        </row>
        <row r="35">
          <cell r="B35">
            <v>3741975</v>
          </cell>
        </row>
        <row r="50">
          <cell r="B50">
            <v>3741975</v>
          </cell>
        </row>
        <row r="67">
          <cell r="B67">
            <v>3741975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umes"/>
      <sheetName val="Inv-Financement"/>
      <sheetName val="Sumup"/>
      <sheetName val="P&amp;L Total "/>
      <sheetName val="P&amp;L Laminage Froid "/>
      <sheetName val="P&amp;L Poutrelles1"/>
      <sheetName val="P&amp;L TS Nervure "/>
      <sheetName val="P&amp;L Antifussuration"/>
      <sheetName val="Cons MP_ENR_Cons"/>
      <sheetName val="Cons MP_ENR_Cons_Export"/>
      <sheetName val="Coût Logistique"/>
      <sheetName val="Immo"/>
      <sheetName val="Assumptions"/>
      <sheetName val="Volume"/>
      <sheetName val="Récap Données"/>
      <sheetName val="Volume Local_Export"/>
      <sheetName val="P&amp;L Total_Local"/>
      <sheetName val="P&amp;L LFroid Local"/>
      <sheetName val="P&amp;LP&amp;L Poutrelles Local "/>
      <sheetName val="P&amp;LP&amp;L TS Nervure Local"/>
      <sheetName val="P&amp;L Anti_Local"/>
      <sheetName val="P&amp;L Total_Export"/>
      <sheetName val="P&amp;L P&amp;L TS Nervure _Export "/>
      <sheetName val="P&amp;L Anti_Export"/>
      <sheetName val="P&amp;L LFroid Export"/>
      <sheetName val="P&amp;L P&amp;L Poutrelles _Export "/>
      <sheetName val="Feuil2"/>
      <sheetName val="CMT"/>
      <sheetName val="Prix RB"/>
      <sheetName val="Ressource Humaine"/>
      <sheetName val="hypothses"/>
      <sheetName val="Répartition MS"/>
      <sheetName val="Energie_Antifissuration"/>
      <sheetName val="Energi Bobines Laminées à froid"/>
      <sheetName val="Energie_ Poutrelles"/>
      <sheetName val="Laminage à froid"/>
      <sheetName val="Poutrelles"/>
      <sheetName val="T.S. Antifissuration"/>
      <sheetName val="hierarchie"/>
      <sheetName val="P&amp;L"/>
      <sheetName val="Chiffre Affaires"/>
      <sheetName val="Matiéres Consommables"/>
      <sheetName val="Charges Financiéres"/>
      <sheetName val="T.S. Structure"/>
      <sheetName val="Coupé façonné"/>
      <sheetName val="Armatures STD"/>
      <sheetName val="Feuil1"/>
    </sheetNames>
    <sheetDataSet>
      <sheetData sheetId="0"/>
      <sheetData sheetId="1"/>
      <sheetData sheetId="2"/>
      <sheetData sheetId="3"/>
      <sheetData sheetId="4">
        <row r="68">
          <cell r="Q68">
            <v>1996.0228756794477</v>
          </cell>
        </row>
      </sheetData>
      <sheetData sheetId="5"/>
      <sheetData sheetId="6"/>
      <sheetData sheetId="7"/>
      <sheetData sheetId="8"/>
      <sheetData sheetId="9"/>
      <sheetData sheetId="10">
        <row r="19">
          <cell r="C19">
            <v>4.9252931534484921</v>
          </cell>
        </row>
        <row r="20">
          <cell r="C20">
            <v>45.969402765519263</v>
          </cell>
        </row>
        <row r="21">
          <cell r="C21">
            <v>14.417153942335979</v>
          </cell>
        </row>
        <row r="33">
          <cell r="C33">
            <v>3.5714285714285712</v>
          </cell>
        </row>
        <row r="34">
          <cell r="C34">
            <v>33.333333333333336</v>
          </cell>
        </row>
        <row r="35">
          <cell r="C35">
            <v>10.454166666666667</v>
          </cell>
        </row>
      </sheetData>
      <sheetData sheetId="11"/>
      <sheetData sheetId="12">
        <row r="5">
          <cell r="F5">
            <v>3.5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STISSEMENT"/>
      <sheetName val="P.R. Bobines Laminées à froid"/>
      <sheetName val="P.R. T.S. Antifissuration"/>
      <sheetName val="P.R. T.S. Structure"/>
      <sheetName val="P.R. Poutrelles"/>
      <sheetName val="P.R. Produits std"/>
      <sheetName val="P.R. Produits spec"/>
    </sheetNames>
    <sheetDataSet>
      <sheetData sheetId="0">
        <row r="19">
          <cell r="E19">
            <v>2500000</v>
          </cell>
        </row>
        <row r="21">
          <cell r="E21">
            <v>1220000</v>
          </cell>
        </row>
        <row r="23">
          <cell r="E23">
            <v>1715897</v>
          </cell>
        </row>
        <row r="30">
          <cell r="C30">
            <v>4591908</v>
          </cell>
          <cell r="E30">
            <v>15344105.600000001</v>
          </cell>
        </row>
        <row r="41">
          <cell r="C41">
            <v>650000</v>
          </cell>
        </row>
        <row r="48">
          <cell r="E48">
            <v>500000</v>
          </cell>
        </row>
      </sheetData>
      <sheetData sheetId="1">
        <row r="10">
          <cell r="E10">
            <v>1820504</v>
          </cell>
        </row>
      </sheetData>
      <sheetData sheetId="2">
        <row r="9">
          <cell r="E9">
            <v>7569800</v>
          </cell>
        </row>
        <row r="10">
          <cell r="E10">
            <v>200000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Info"/>
      <sheetName val="Index"/>
      <sheetName val="&gt;&gt;Hist"/>
      <sheetName val="N. BS"/>
      <sheetName val="P&amp;L"/>
      <sheetName val="N. P&amp;L"/>
      <sheetName val="EMPRUNT AMORT"/>
      <sheetName val="Flux"/>
      <sheetName val="Balance2017 A.Audit"/>
      <sheetName val="&gt;&gt; EF Prosp"/>
      <sheetName val="BS"/>
      <sheetName val="Hyp2"/>
      <sheetName val="P&amp;L."/>
      <sheetName val="Assump. "/>
      <sheetName val="IS"/>
      <sheetName val="Emp"/>
      <sheetName val="Capex &amp; DAP"/>
      <sheetName val="WCR"/>
      <sheetName val="Etat Résultat"/>
      <sheetName val="Bilan 100418"/>
      <sheetName val="BS."/>
      <sheetName val="Feuil1"/>
      <sheetName val="Hyp"/>
      <sheetName val="Capex2"/>
      <sheetName val="Prix de vente"/>
      <sheetName val="Prod et Marge"/>
      <sheetName val="Analy. histo.BFR PwC  "/>
      <sheetName val="Cflow."/>
      <sheetName val="X"/>
      <sheetName val="&gt;&gt; BP"/>
      <sheetName val="FF"/>
      <sheetName val="Invest 2017-2018"/>
      <sheetName val="KP"/>
      <sheetName val="PPT"/>
      <sheetName val="Tableau des immobilisations"/>
      <sheetName val="IMMOB 30 06 2017"/>
      <sheetName val="Cessions HY2017"/>
      <sheetName val="TB Nader"/>
      <sheetName val="PFin."/>
      <sheetName val="&gt;&gt; Annexes"/>
      <sheetName val="P&amp;L Mgmt "/>
      <sheetName val="Bilan Mgmt "/>
      <sheetName val="Stocks&amp;achat"/>
      <sheetName val="IMMOB 31.12.2016 "/>
      <sheetName val="Amort et Emprunt clt "/>
      <sheetName val="CMTDef"/>
      <sheetName val="OPEX"/>
      <sheetName val="&gt;&gt; BGs"/>
      <sheetName val="BALANCE AU 30 06 2017"/>
      <sheetName val="BALANCE 31 12 2016 audité"/>
      <sheetName val="BALANCE 31 12 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V1"/>
      <sheetName val="P&amp;LV2"/>
      <sheetName val="P&amp;LV3"/>
      <sheetName val="P&amp;L (V1)"/>
      <sheetName val="P&amp;L (V2)"/>
      <sheetName val="P&amp;L (V3)"/>
      <sheetName val="Hypothese  "/>
      <sheetName val="Récap CMT"/>
      <sheetName val="Echéancier Ancien Crédit"/>
      <sheetName val="Simulation Nv CMT"/>
    </sheetNames>
    <sheetDataSet>
      <sheetData sheetId="0"/>
      <sheetData sheetId="1"/>
      <sheetData sheetId="2">
        <row r="7">
          <cell r="B7">
            <v>455728.44760000007</v>
          </cell>
          <cell r="C7">
            <v>520273.37408280012</v>
          </cell>
          <cell r="D7">
            <v>589664.37322298903</v>
          </cell>
          <cell r="E7">
            <v>670570.4644024499</v>
          </cell>
          <cell r="F7">
            <v>761368.40435199905</v>
          </cell>
          <cell r="G7">
            <v>866386.46760615043</v>
          </cell>
          <cell r="H7">
            <v>994160.03400547174</v>
          </cell>
        </row>
        <row r="8">
          <cell r="B8">
            <v>-384639.68668407312</v>
          </cell>
          <cell r="C8">
            <v>-440331.70179948595</v>
          </cell>
          <cell r="D8">
            <v>-499623.59658611834</v>
          </cell>
          <cell r="E8">
            <v>-569942.31026838068</v>
          </cell>
          <cell r="F8">
            <v>-647219.79459654575</v>
          </cell>
          <cell r="G8">
            <v>-736812.48614703282</v>
          </cell>
          <cell r="H8">
            <v>-848673.24252422387</v>
          </cell>
        </row>
        <row r="9">
          <cell r="B9">
            <v>-12702.609286973911</v>
          </cell>
          <cell r="C9">
            <v>-13845.844122801564</v>
          </cell>
          <cell r="D9">
            <v>-15091.970093853706</v>
          </cell>
          <cell r="E9">
            <v>-16450.247402300542</v>
          </cell>
          <cell r="F9">
            <v>-17930.769668507593</v>
          </cell>
          <cell r="G9">
            <v>-19544.538938673279</v>
          </cell>
          <cell r="H9">
            <v>-21303.547443153875</v>
          </cell>
        </row>
        <row r="11">
          <cell r="B11">
            <v>-7832.1975285800008</v>
          </cell>
          <cell r="C11">
            <v>-8302.1293802948021</v>
          </cell>
          <cell r="D11">
            <v>-8800.2571431124888</v>
          </cell>
          <cell r="E11">
            <v>-9328.2725716992391</v>
          </cell>
          <cell r="F11">
            <v>-9887.9689260011946</v>
          </cell>
          <cell r="G11">
            <v>-10502.524848245108</v>
          </cell>
          <cell r="H11">
            <v>-11155.230793024684</v>
          </cell>
        </row>
        <row r="12">
          <cell r="B12">
            <v>-3385.4989049000001</v>
          </cell>
          <cell r="C12">
            <v>-3688.7645900551197</v>
          </cell>
          <cell r="D12">
            <v>-3610.54742183897</v>
          </cell>
          <cell r="E12">
            <v>-3865.4306459160298</v>
          </cell>
          <cell r="F12">
            <v>-4096.2608718920119</v>
          </cell>
          <cell r="G12">
            <v>-4358.806030027391</v>
          </cell>
          <cell r="H12">
            <v>-4678.2399460256938</v>
          </cell>
        </row>
        <row r="14">
          <cell r="B14">
            <v>-9364.0310246487697</v>
          </cell>
          <cell r="C14">
            <v>-8894.0314494112845</v>
          </cell>
          <cell r="D14">
            <v>-8672.2359508016907</v>
          </cell>
          <cell r="E14">
            <v>-7890.4092968152399</v>
          </cell>
          <cell r="F14">
            <v>-7315.4332974435965</v>
          </cell>
          <cell r="G14">
            <v>-7111.4332974435965</v>
          </cell>
          <cell r="H14">
            <v>-7111.4332974435965</v>
          </cell>
        </row>
        <row r="16">
          <cell r="B16">
            <v>-14599.702392250827</v>
          </cell>
          <cell r="C16">
            <v>-16536.25799233346</v>
          </cell>
          <cell r="D16">
            <v>-16209.803280947777</v>
          </cell>
          <cell r="E16">
            <v>-16448.973820355397</v>
          </cell>
          <cell r="F16">
            <v>-17138.659940197344</v>
          </cell>
          <cell r="G16">
            <v>-18287.193406557184</v>
          </cell>
          <cell r="H16">
            <v>-19944.103773031649</v>
          </cell>
        </row>
        <row r="17">
          <cell r="B17">
            <v>-4027.8300245387145</v>
          </cell>
          <cell r="C17">
            <v>-3180.7903042885519</v>
          </cell>
          <cell r="D17">
            <v>-2394.3967107138687</v>
          </cell>
          <cell r="E17">
            <v>-1670.9820469725057</v>
          </cell>
          <cell r="F17">
            <v>-1109.3153397817471</v>
          </cell>
          <cell r="G17">
            <v>-637.14285714285791</v>
          </cell>
          <cell r="H17">
            <v>-173.6507936507943</v>
          </cell>
        </row>
        <row r="20">
          <cell r="B20">
            <v>-1709.4682327658302</v>
          </cell>
          <cell r="C20">
            <v>-2956.0568490847077</v>
          </cell>
          <cell r="D20">
            <v>-4088.6400295973044</v>
          </cell>
          <cell r="E20">
            <v>-5214.7949293242473</v>
          </cell>
          <cell r="F20">
            <v>-14167.550427907456</v>
          </cell>
          <cell r="G20">
            <v>-17283.085520257049</v>
          </cell>
          <cell r="H20">
            <v>-20280.146358729391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16"/>
  <sheetViews>
    <sheetView workbookViewId="0">
      <selection activeCell="F24" sqref="F24"/>
    </sheetView>
  </sheetViews>
  <sheetFormatPr baseColWidth="10" defaultColWidth="11.54296875" defaultRowHeight="14"/>
  <cols>
    <col min="1" max="1" width="33.26953125" style="112" customWidth="1"/>
    <col min="2" max="2" width="11" style="161" customWidth="1"/>
    <col min="3" max="3" width="12.453125" style="161" customWidth="1"/>
    <col min="4" max="8" width="12.7265625" style="113" customWidth="1"/>
    <col min="9" max="9" width="14.453125" style="113" customWidth="1"/>
    <col min="10" max="10" width="12.7265625" style="113" customWidth="1"/>
    <col min="11" max="11" width="10.54296875" style="113" hidden="1" customWidth="1"/>
    <col min="12" max="12" width="10.453125" style="113" hidden="1" customWidth="1"/>
    <col min="13" max="13" width="10.54296875" style="113" hidden="1" customWidth="1"/>
    <col min="14" max="14" width="14.453125" style="113" hidden="1" customWidth="1"/>
    <col min="15" max="15" width="5.54296875" style="113" customWidth="1"/>
    <col min="16" max="16" width="12.7265625" style="113" customWidth="1"/>
    <col min="17" max="16384" width="11.54296875" style="113"/>
  </cols>
  <sheetData>
    <row r="4" spans="1:17">
      <c r="A4" s="148"/>
      <c r="B4" s="149"/>
      <c r="C4" s="149"/>
      <c r="P4" s="112" t="s">
        <v>70</v>
      </c>
    </row>
    <row r="5" spans="1:17" s="130" customFormat="1" ht="28.5" customHeight="1">
      <c r="A5" s="150" t="s">
        <v>64</v>
      </c>
      <c r="B5" s="128"/>
      <c r="C5" s="128"/>
      <c r="D5" s="151" t="e">
        <f>SUM(D6:D13)</f>
        <v>#REF!</v>
      </c>
      <c r="E5" s="151" t="e">
        <f t="shared" ref="E5:J5" si="0">SUM(E6:E13)</f>
        <v>#REF!</v>
      </c>
      <c r="F5" s="151" t="e">
        <f t="shared" si="0"/>
        <v>#REF!</v>
      </c>
      <c r="G5" s="151" t="e">
        <f t="shared" si="0"/>
        <v>#REF!</v>
      </c>
      <c r="H5" s="151" t="e">
        <f t="shared" si="0"/>
        <v>#REF!</v>
      </c>
      <c r="I5" s="151" t="e">
        <f t="shared" si="0"/>
        <v>#REF!</v>
      </c>
      <c r="J5" s="151" t="e">
        <f t="shared" si="0"/>
        <v>#REF!</v>
      </c>
      <c r="K5" s="129"/>
      <c r="L5" s="129"/>
      <c r="M5" s="129"/>
      <c r="N5" s="152" t="s">
        <v>8</v>
      </c>
      <c r="P5" s="151" t="e">
        <f>SUM(P6:P13)</f>
        <v>#REF!</v>
      </c>
      <c r="Q5" s="130" t="s">
        <v>68</v>
      </c>
    </row>
    <row r="6" spans="1:17" s="160" customFormat="1">
      <c r="A6" s="153" t="s">
        <v>0</v>
      </c>
      <c r="B6" s="154"/>
      <c r="C6" s="155"/>
      <c r="D6" s="156" t="e">
        <f>#REF!</f>
        <v>#REF!</v>
      </c>
      <c r="E6" s="156" t="e">
        <f>#REF!</f>
        <v>#REF!</v>
      </c>
      <c r="F6" s="156" t="e">
        <f>#REF!</f>
        <v>#REF!</v>
      </c>
      <c r="G6" s="156" t="e">
        <f>#REF!</f>
        <v>#REF!</v>
      </c>
      <c r="H6" s="156" t="e">
        <f>#REF!</f>
        <v>#REF!</v>
      </c>
      <c r="I6" s="156" t="e">
        <f>#REF!</f>
        <v>#REF!</v>
      </c>
      <c r="J6" s="156" t="e">
        <f>#REF!</f>
        <v>#REF!</v>
      </c>
      <c r="K6" s="156"/>
      <c r="L6" s="156"/>
      <c r="M6" s="156"/>
      <c r="N6" s="157">
        <v>0.01</v>
      </c>
      <c r="O6" s="158"/>
      <c r="P6" s="156" t="e">
        <f>+#REF!</f>
        <v>#REF!</v>
      </c>
      <c r="Q6" s="159" t="e">
        <f>+P6/$P$5</f>
        <v>#REF!</v>
      </c>
    </row>
    <row r="7" spans="1:17" s="160" customFormat="1">
      <c r="A7" s="153" t="s">
        <v>61</v>
      </c>
      <c r="B7" s="154"/>
      <c r="C7" s="154"/>
      <c r="D7" s="156" t="e">
        <f>#REF!</f>
        <v>#REF!</v>
      </c>
      <c r="E7" s="156" t="e">
        <f>#REF!</f>
        <v>#REF!</v>
      </c>
      <c r="F7" s="156" t="e">
        <f>#REF!</f>
        <v>#REF!</v>
      </c>
      <c r="G7" s="156" t="e">
        <f>#REF!</f>
        <v>#REF!</v>
      </c>
      <c r="H7" s="156" t="e">
        <f>#REF!</f>
        <v>#REF!</v>
      </c>
      <c r="I7" s="156" t="e">
        <f>#REF!</f>
        <v>#REF!</v>
      </c>
      <c r="J7" s="156" t="e">
        <f>#REF!</f>
        <v>#REF!</v>
      </c>
      <c r="K7" s="156"/>
      <c r="L7" s="156"/>
      <c r="M7" s="156"/>
      <c r="N7" s="157"/>
      <c r="O7" s="158"/>
      <c r="P7" s="156" t="e">
        <f>+#REF!</f>
        <v>#REF!</v>
      </c>
      <c r="Q7" s="159" t="e">
        <f t="shared" ref="Q7:Q13" si="1">+P7/$P$5</f>
        <v>#REF!</v>
      </c>
    </row>
    <row r="8" spans="1:17" s="160" customFormat="1">
      <c r="A8" s="153" t="s">
        <v>62</v>
      </c>
      <c r="B8" s="154"/>
      <c r="C8" s="155"/>
      <c r="D8" s="156">
        <f>'T.S. Structure'!D24</f>
        <v>0</v>
      </c>
      <c r="E8" s="156">
        <f>'T.S. Structure'!E24</f>
        <v>0</v>
      </c>
      <c r="F8" s="156">
        <f>'T.S. Structure'!F24</f>
        <v>0</v>
      </c>
      <c r="G8" s="156">
        <f>'T.S. Structure'!G24</f>
        <v>0</v>
      </c>
      <c r="H8" s="156">
        <f>'T.S. Structure'!H24</f>
        <v>0</v>
      </c>
      <c r="I8" s="156">
        <f>'T.S. Structure'!I24</f>
        <v>0</v>
      </c>
      <c r="J8" s="156">
        <f>'T.S. Structure'!J24</f>
        <v>0</v>
      </c>
      <c r="K8" s="156"/>
      <c r="L8" s="156"/>
      <c r="M8" s="156"/>
      <c r="N8" s="157">
        <v>0.01</v>
      </c>
      <c r="O8" s="158"/>
      <c r="P8" s="156">
        <f>+'T.S. Structure'!B9</f>
        <v>0</v>
      </c>
      <c r="Q8" s="159" t="e">
        <f t="shared" si="1"/>
        <v>#REF!</v>
      </c>
    </row>
    <row r="9" spans="1:17" s="160" customFormat="1">
      <c r="A9" s="153" t="s">
        <v>14</v>
      </c>
      <c r="B9" s="154"/>
      <c r="C9" s="155"/>
      <c r="D9" s="156" t="e">
        <f>#REF!</f>
        <v>#REF!</v>
      </c>
      <c r="E9" s="156" t="e">
        <f>#REF!</f>
        <v>#REF!</v>
      </c>
      <c r="F9" s="156" t="e">
        <f>#REF!</f>
        <v>#REF!</v>
      </c>
      <c r="G9" s="156" t="e">
        <f>#REF!</f>
        <v>#REF!</v>
      </c>
      <c r="H9" s="156" t="e">
        <f>#REF!</f>
        <v>#REF!</v>
      </c>
      <c r="I9" s="156" t="e">
        <f>#REF!</f>
        <v>#REF!</v>
      </c>
      <c r="J9" s="156" t="e">
        <f>#REF!</f>
        <v>#REF!</v>
      </c>
      <c r="K9" s="156"/>
      <c r="L9" s="156"/>
      <c r="M9" s="156"/>
      <c r="N9" s="157">
        <v>0.02</v>
      </c>
      <c r="O9" s="158"/>
      <c r="P9" s="156" t="e">
        <f>#REF!</f>
        <v>#REF!</v>
      </c>
      <c r="Q9" s="159" t="e">
        <f t="shared" si="1"/>
        <v>#REF!</v>
      </c>
    </row>
    <row r="10" spans="1:17" s="160" customFormat="1">
      <c r="A10" s="153" t="s">
        <v>63</v>
      </c>
      <c r="B10" s="154"/>
      <c r="C10" s="155"/>
      <c r="D10" s="156">
        <f>'Coupé façonné'!D24</f>
        <v>0</v>
      </c>
      <c r="E10" s="156">
        <f>'Coupé façonné'!E24</f>
        <v>0</v>
      </c>
      <c r="F10" s="156">
        <f>'Coupé façonné'!F24</f>
        <v>0</v>
      </c>
      <c r="G10" s="156">
        <f>'Coupé façonné'!G24</f>
        <v>0</v>
      </c>
      <c r="H10" s="156">
        <f>'Coupé façonné'!H24</f>
        <v>0</v>
      </c>
      <c r="I10" s="156">
        <f>'Coupé façonné'!I24</f>
        <v>0</v>
      </c>
      <c r="J10" s="156">
        <f>'Coupé façonné'!J24</f>
        <v>0</v>
      </c>
      <c r="K10" s="156"/>
      <c r="L10" s="156"/>
      <c r="M10" s="156"/>
      <c r="N10" s="157"/>
      <c r="O10" s="158"/>
      <c r="P10" s="156">
        <f>'Coupé façonné'!B9</f>
        <v>0</v>
      </c>
      <c r="Q10" s="159" t="e">
        <f t="shared" si="1"/>
        <v>#REF!</v>
      </c>
    </row>
    <row r="11" spans="1:17" s="160" customFormat="1">
      <c r="A11" s="153" t="s">
        <v>16</v>
      </c>
      <c r="B11" s="154">
        <v>1</v>
      </c>
      <c r="C11" s="155"/>
      <c r="D11" s="156">
        <f>IF($B$11=1,'Armatures STD'!D24,"")</f>
        <v>0</v>
      </c>
      <c r="E11" s="156">
        <f>IF($B$11=1,'Armatures STD'!E24,"")</f>
        <v>0</v>
      </c>
      <c r="F11" s="156">
        <f>IF($B$11=1,'Armatures STD'!F24,"")</f>
        <v>0</v>
      </c>
      <c r="G11" s="156">
        <f>IF($B$11=1,'Armatures STD'!G24,"")</f>
        <v>0</v>
      </c>
      <c r="H11" s="156">
        <f>IF($B$11=1,'Armatures STD'!H24,"")</f>
        <v>0</v>
      </c>
      <c r="I11" s="156">
        <f>IF($B$11=1,'Armatures STD'!I24,"")</f>
        <v>0</v>
      </c>
      <c r="J11" s="156">
        <f>IF($B$11=1,'Armatures STD'!J24,"")</f>
        <v>0</v>
      </c>
      <c r="K11" s="156"/>
      <c r="L11" s="156"/>
      <c r="M11" s="156"/>
      <c r="N11" s="157">
        <v>0.02</v>
      </c>
      <c r="O11" s="158"/>
      <c r="P11" s="156">
        <f>IF(B11=1,'Armatures STD'!B9,"")</f>
        <v>0</v>
      </c>
      <c r="Q11" s="159" t="e">
        <f>IF(P11="",0,P11/$P$5)</f>
        <v>#REF!</v>
      </c>
    </row>
    <row r="12" spans="1:17" s="160" customFormat="1">
      <c r="A12" s="153"/>
      <c r="B12" s="154"/>
      <c r="C12" s="155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7"/>
      <c r="O12" s="158"/>
      <c r="P12" s="156"/>
      <c r="Q12" s="159" t="e">
        <f t="shared" si="1"/>
        <v>#REF!</v>
      </c>
    </row>
    <row r="13" spans="1:17" s="160" customFormat="1">
      <c r="A13" s="153"/>
      <c r="B13" s="154"/>
      <c r="C13" s="155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7"/>
      <c r="O13" s="158"/>
      <c r="P13" s="156"/>
      <c r="Q13" s="159" t="e">
        <f t="shared" si="1"/>
        <v>#REF!</v>
      </c>
    </row>
    <row r="16" spans="1:17">
      <c r="B16" s="412" t="s">
        <v>111</v>
      </c>
      <c r="D16" s="117" t="e">
        <f>+#REF!</f>
        <v>#REF!</v>
      </c>
      <c r="E16" s="117" t="e">
        <f>+#REF!</f>
        <v>#REF!</v>
      </c>
      <c r="F16" s="117" t="e">
        <f>+#REF!</f>
        <v>#REF!</v>
      </c>
      <c r="G16" s="117" t="e">
        <f>+#REF!</f>
        <v>#REF!</v>
      </c>
      <c r="H16" s="117" t="e">
        <f>+#REF!</f>
        <v>#REF!</v>
      </c>
      <c r="I16" s="117" t="e">
        <f>+#REF!</f>
        <v>#REF!</v>
      </c>
      <c r="J16" s="117" t="e">
        <f>+#REF!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89"/>
  <sheetViews>
    <sheetView workbookViewId="0">
      <selection activeCell="F24" sqref="F24"/>
    </sheetView>
  </sheetViews>
  <sheetFormatPr baseColWidth="10" defaultColWidth="11.54296875" defaultRowHeight="14"/>
  <cols>
    <col min="1" max="1" width="26.26953125" style="112" customWidth="1"/>
    <col min="2" max="2" width="16.1796875" style="113" hidden="1" customWidth="1"/>
    <col min="3" max="3" width="13" style="113" customWidth="1"/>
    <col min="4" max="4" width="13.7265625" style="113" bestFit="1" customWidth="1"/>
    <col min="5" max="12" width="11.7265625" style="113" bestFit="1" customWidth="1"/>
    <col min="13" max="13" width="11.54296875" style="113"/>
    <col min="14" max="14" width="11.7265625" style="113" bestFit="1" customWidth="1"/>
    <col min="15" max="16384" width="11.54296875" style="113"/>
  </cols>
  <sheetData>
    <row r="3" spans="1:12">
      <c r="C3" s="114">
        <v>1</v>
      </c>
      <c r="D3" s="115">
        <v>3.4</v>
      </c>
      <c r="H3" s="113" t="s">
        <v>96</v>
      </c>
      <c r="I3" s="116">
        <v>8000</v>
      </c>
      <c r="J3" s="113" t="s">
        <v>98</v>
      </c>
    </row>
    <row r="4" spans="1:12">
      <c r="H4" s="113" t="s">
        <v>94</v>
      </c>
      <c r="I4" s="116">
        <v>30</v>
      </c>
      <c r="J4" s="113" t="s">
        <v>97</v>
      </c>
    </row>
    <row r="5" spans="1:12">
      <c r="A5" s="112" t="s">
        <v>17</v>
      </c>
      <c r="C5" s="117"/>
      <c r="D5" s="118" t="e">
        <f>IF(M2=1,0,E5)</f>
        <v>#REF!</v>
      </c>
      <c r="E5" s="116" t="e">
        <f>+#REF!</f>
        <v>#REF!</v>
      </c>
      <c r="G5" s="113" t="s">
        <v>95</v>
      </c>
      <c r="I5" s="117" t="e">
        <f>IF(#REF!=1,K5,0)</f>
        <v>#REF!</v>
      </c>
      <c r="J5" s="113" t="s">
        <v>97</v>
      </c>
      <c r="K5" s="113">
        <f>I3*I4</f>
        <v>240000</v>
      </c>
    </row>
    <row r="6" spans="1:12">
      <c r="A6" s="112" t="s">
        <v>18</v>
      </c>
      <c r="C6" s="114" t="e">
        <f>Volumes!P5</f>
        <v>#REF!</v>
      </c>
      <c r="D6" s="119" t="e">
        <f>D3*C6</f>
        <v>#REF!</v>
      </c>
    </row>
    <row r="7" spans="1:12">
      <c r="A7" s="112" t="s">
        <v>71</v>
      </c>
      <c r="C7" s="114"/>
      <c r="D7" s="120">
        <v>1000000</v>
      </c>
    </row>
    <row r="8" spans="1:12">
      <c r="C8" s="114"/>
      <c r="D8" s="119"/>
    </row>
    <row r="9" spans="1:12">
      <c r="A9" s="121" t="s">
        <v>23</v>
      </c>
      <c r="B9" s="122"/>
      <c r="C9" s="123"/>
      <c r="D9" s="124" t="e">
        <f>D5+D6+D7</f>
        <v>#REF!</v>
      </c>
      <c r="E9" s="122"/>
      <c r="F9" s="122"/>
      <c r="G9" s="122"/>
      <c r="H9" s="122"/>
      <c r="I9" s="122"/>
      <c r="J9" s="122"/>
      <c r="K9" s="122"/>
      <c r="L9" s="122"/>
    </row>
    <row r="10" spans="1:12">
      <c r="A10" s="121"/>
      <c r="B10" s="122"/>
      <c r="C10" s="122"/>
      <c r="D10" s="121"/>
      <c r="E10" s="122"/>
      <c r="F10" s="122"/>
      <c r="G10" s="122"/>
      <c r="H10" s="122"/>
      <c r="I10" s="122"/>
      <c r="J10" s="122"/>
      <c r="K10" s="122"/>
      <c r="L10" s="122"/>
    </row>
    <row r="11" spans="1:12">
      <c r="A11" s="121"/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</row>
    <row r="12" spans="1:12">
      <c r="A12" s="121" t="s">
        <v>34</v>
      </c>
      <c r="B12" s="125">
        <f>[2]Invest!$C$33*0.3</f>
        <v>3741975</v>
      </c>
      <c r="C12" s="125" t="e">
        <f>D9*0.3</f>
        <v>#REF!</v>
      </c>
      <c r="D12" s="122"/>
      <c r="E12" s="122"/>
      <c r="F12" s="122"/>
      <c r="G12" s="122"/>
      <c r="H12" s="122"/>
      <c r="I12" s="122"/>
      <c r="J12" s="122"/>
      <c r="K12" s="122"/>
      <c r="L12" s="122"/>
    </row>
    <row r="13" spans="1:12">
      <c r="A13" s="121" t="s">
        <v>35</v>
      </c>
      <c r="B13" s="125">
        <f>[2]Invest!$C$33-'[2]Charges Financières'!B10</f>
        <v>8731275</v>
      </c>
      <c r="C13" s="125" t="e">
        <f>D9*0.7</f>
        <v>#REF!</v>
      </c>
      <c r="D13" s="122"/>
      <c r="E13" s="122"/>
      <c r="F13" s="122"/>
      <c r="G13" s="122"/>
      <c r="H13" s="122"/>
      <c r="I13" s="122"/>
      <c r="J13" s="122"/>
      <c r="K13" s="122"/>
      <c r="L13" s="122"/>
    </row>
    <row r="14" spans="1:12">
      <c r="A14" s="121" t="s">
        <v>36</v>
      </c>
      <c r="B14" s="122"/>
      <c r="C14" s="126">
        <v>7</v>
      </c>
      <c r="D14" s="122" t="s">
        <v>21</v>
      </c>
      <c r="E14" s="122"/>
      <c r="F14" s="122"/>
      <c r="G14" s="122"/>
      <c r="H14" s="122"/>
      <c r="I14" s="122"/>
      <c r="J14" s="122"/>
      <c r="K14" s="122"/>
      <c r="L14" s="122"/>
    </row>
    <row r="15" spans="1:12">
      <c r="A15" s="121" t="s">
        <v>37</v>
      </c>
      <c r="B15" s="122"/>
      <c r="C15" s="127">
        <v>0.1</v>
      </c>
      <c r="D15" s="122"/>
      <c r="E15" s="122"/>
      <c r="F15" s="122"/>
      <c r="G15" s="122"/>
      <c r="H15" s="122"/>
      <c r="I15" s="122"/>
      <c r="J15" s="122"/>
      <c r="K15" s="122"/>
      <c r="L15" s="122"/>
    </row>
    <row r="16" spans="1:12">
      <c r="A16" s="121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</row>
    <row r="18" spans="1:14" s="130" customFormat="1" ht="31.5" customHeight="1">
      <c r="A18" s="128"/>
      <c r="B18" s="129"/>
      <c r="C18" s="129" t="s">
        <v>1</v>
      </c>
      <c r="D18" s="129" t="s">
        <v>2</v>
      </c>
      <c r="E18" s="129" t="s">
        <v>3</v>
      </c>
      <c r="F18" s="129" t="s">
        <v>4</v>
      </c>
      <c r="G18" s="129" t="s">
        <v>5</v>
      </c>
      <c r="H18" s="129" t="s">
        <v>6</v>
      </c>
      <c r="I18" s="129" t="s">
        <v>7</v>
      </c>
      <c r="J18" s="129" t="s">
        <v>38</v>
      </c>
      <c r="K18" s="129" t="s">
        <v>39</v>
      </c>
      <c r="L18" s="129" t="s">
        <v>40</v>
      </c>
      <c r="M18" s="129"/>
    </row>
    <row r="19" spans="1:14" s="135" customFormat="1">
      <c r="A19" s="131" t="s">
        <v>41</v>
      </c>
      <c r="B19" s="132"/>
      <c r="C19" s="132" t="e">
        <f>$C$13/$N$19</f>
        <v>#REF!</v>
      </c>
      <c r="D19" s="132" t="e">
        <f t="shared" ref="D19:L19" si="0">$C$13/$N$19</f>
        <v>#REF!</v>
      </c>
      <c r="E19" s="132" t="e">
        <f t="shared" si="0"/>
        <v>#REF!</v>
      </c>
      <c r="F19" s="132" t="e">
        <f t="shared" si="0"/>
        <v>#REF!</v>
      </c>
      <c r="G19" s="132" t="e">
        <f t="shared" si="0"/>
        <v>#REF!</v>
      </c>
      <c r="H19" s="132" t="e">
        <f t="shared" si="0"/>
        <v>#REF!</v>
      </c>
      <c r="I19" s="132" t="e">
        <f t="shared" si="0"/>
        <v>#REF!</v>
      </c>
      <c r="J19" s="132" t="e">
        <f t="shared" si="0"/>
        <v>#REF!</v>
      </c>
      <c r="K19" s="132" t="e">
        <f t="shared" si="0"/>
        <v>#REF!</v>
      </c>
      <c r="L19" s="132" t="e">
        <f t="shared" si="0"/>
        <v>#REF!</v>
      </c>
      <c r="M19" s="133"/>
      <c r="N19" s="134">
        <f>C14</f>
        <v>7</v>
      </c>
    </row>
    <row r="20" spans="1:14" s="135" customFormat="1">
      <c r="A20" s="131" t="s">
        <v>42</v>
      </c>
      <c r="B20" s="132"/>
      <c r="C20" s="132" t="e">
        <f>C19+B19</f>
        <v>#REF!</v>
      </c>
      <c r="D20" s="132" t="e">
        <f>D19+C20</f>
        <v>#REF!</v>
      </c>
      <c r="E20" s="132" t="e">
        <f t="shared" ref="E20:L20" si="1">E19+D20</f>
        <v>#REF!</v>
      </c>
      <c r="F20" s="132" t="e">
        <f t="shared" si="1"/>
        <v>#REF!</v>
      </c>
      <c r="G20" s="132" t="e">
        <f t="shared" si="1"/>
        <v>#REF!</v>
      </c>
      <c r="H20" s="132" t="e">
        <f t="shared" si="1"/>
        <v>#REF!</v>
      </c>
      <c r="I20" s="132" t="e">
        <f t="shared" si="1"/>
        <v>#REF!</v>
      </c>
      <c r="J20" s="132" t="e">
        <f t="shared" si="1"/>
        <v>#REF!</v>
      </c>
      <c r="K20" s="132" t="e">
        <f t="shared" si="1"/>
        <v>#REF!</v>
      </c>
      <c r="L20" s="132" t="e">
        <f t="shared" si="1"/>
        <v>#REF!</v>
      </c>
      <c r="N20" s="134"/>
    </row>
    <row r="21" spans="1:14" s="135" customFormat="1">
      <c r="A21" s="131" t="s">
        <v>57</v>
      </c>
      <c r="B21" s="132"/>
      <c r="C21" s="132" t="e">
        <f>($C$13- B20)*$N$21</f>
        <v>#REF!</v>
      </c>
      <c r="D21" s="132" t="e">
        <f t="shared" ref="D21:L21" si="2">($C$13- C20)*$N$21</f>
        <v>#REF!</v>
      </c>
      <c r="E21" s="132" t="e">
        <f t="shared" si="2"/>
        <v>#REF!</v>
      </c>
      <c r="F21" s="132" t="e">
        <f t="shared" si="2"/>
        <v>#REF!</v>
      </c>
      <c r="G21" s="132" t="e">
        <f t="shared" si="2"/>
        <v>#REF!</v>
      </c>
      <c r="H21" s="132" t="e">
        <f t="shared" si="2"/>
        <v>#REF!</v>
      </c>
      <c r="I21" s="132" t="e">
        <f t="shared" si="2"/>
        <v>#REF!</v>
      </c>
      <c r="J21" s="132" t="e">
        <f t="shared" si="2"/>
        <v>#REF!</v>
      </c>
      <c r="K21" s="132" t="e">
        <f t="shared" si="2"/>
        <v>#REF!</v>
      </c>
      <c r="L21" s="132" t="e">
        <f t="shared" si="2"/>
        <v>#REF!</v>
      </c>
      <c r="N21" s="136">
        <f>C15</f>
        <v>0.1</v>
      </c>
    </row>
    <row r="22" spans="1:14" s="138" customFormat="1">
      <c r="A22" s="131" t="s">
        <v>44</v>
      </c>
      <c r="B22" s="137"/>
      <c r="C22" s="137" t="e">
        <f>C21+C19</f>
        <v>#REF!</v>
      </c>
      <c r="D22" s="137" t="e">
        <f t="shared" ref="D22:L22" si="3">D21+D19</f>
        <v>#REF!</v>
      </c>
      <c r="E22" s="137" t="e">
        <f t="shared" si="3"/>
        <v>#REF!</v>
      </c>
      <c r="F22" s="137" t="e">
        <f t="shared" si="3"/>
        <v>#REF!</v>
      </c>
      <c r="G22" s="137" t="e">
        <f t="shared" si="3"/>
        <v>#REF!</v>
      </c>
      <c r="H22" s="137" t="e">
        <f t="shared" si="3"/>
        <v>#REF!</v>
      </c>
      <c r="I22" s="137" t="e">
        <f t="shared" si="3"/>
        <v>#REF!</v>
      </c>
      <c r="J22" s="137" t="e">
        <f t="shared" si="3"/>
        <v>#REF!</v>
      </c>
      <c r="K22" s="137" t="e">
        <f t="shared" si="3"/>
        <v>#REF!</v>
      </c>
      <c r="L22" s="137" t="e">
        <f t="shared" si="3"/>
        <v>#REF!</v>
      </c>
    </row>
    <row r="23" spans="1:14" s="135" customFormat="1">
      <c r="A23" s="131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</row>
    <row r="24" spans="1:14" s="135" customFormat="1">
      <c r="A24" s="131"/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</row>
    <row r="25" spans="1:14" s="142" customFormat="1" hidden="1">
      <c r="A25" s="140" t="s">
        <v>45</v>
      </c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</row>
    <row r="26" spans="1:14" s="135" customFormat="1" ht="12.75" hidden="1" customHeight="1">
      <c r="A26" s="131"/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</row>
    <row r="27" spans="1:14" s="135" customFormat="1" ht="12.75" hidden="1" customHeight="1">
      <c r="A27" s="131" t="s">
        <v>46</v>
      </c>
      <c r="B27" s="132"/>
      <c r="C27" s="132" t="e">
        <f>C22*[2]Invest!$E$18/[2]Invest!$C$33</f>
        <v>#REF!</v>
      </c>
      <c r="D27" s="132" t="e">
        <f>D22*[2]Invest!$E$18/[2]Invest!$C$33</f>
        <v>#REF!</v>
      </c>
      <c r="E27" s="132" t="e">
        <f>E22*[2]Invest!$E$18/[2]Invest!$C$33</f>
        <v>#REF!</v>
      </c>
      <c r="F27" s="132" t="e">
        <f>F22*[2]Invest!$E$18/[2]Invest!$C$33</f>
        <v>#REF!</v>
      </c>
      <c r="G27" s="132" t="e">
        <f>G22*[2]Invest!$E$18/[2]Invest!$C$33</f>
        <v>#REF!</v>
      </c>
      <c r="H27" s="132" t="e">
        <f>H22*[2]Invest!$E$18/[2]Invest!$C$33</f>
        <v>#REF!</v>
      </c>
      <c r="I27" s="132" t="e">
        <f>I22*[2]Invest!$E$18/[2]Invest!$C$33</f>
        <v>#REF!</v>
      </c>
      <c r="J27" s="132" t="e">
        <f>J22*[2]Invest!$E$18/[2]Invest!$C$33</f>
        <v>#REF!</v>
      </c>
      <c r="K27" s="132" t="e">
        <f>K22*[2]Invest!$E$18/[2]Invest!$C$33</f>
        <v>#REF!</v>
      </c>
      <c r="L27" s="132" t="e">
        <f>L22*[2]Invest!$E$18/[2]Invest!$C$33</f>
        <v>#REF!</v>
      </c>
    </row>
    <row r="28" spans="1:14" s="135" customFormat="1" hidden="1">
      <c r="A28" s="131" t="s">
        <v>13</v>
      </c>
      <c r="B28" s="139"/>
      <c r="C28" s="132" t="e">
        <f>C22*[2]Invest!$E$19/[2]Invest!$C$33</f>
        <v>#REF!</v>
      </c>
      <c r="D28" s="132" t="e">
        <f>D22*[2]Invest!$E$19/[2]Invest!$C$33</f>
        <v>#REF!</v>
      </c>
      <c r="E28" s="132" t="e">
        <f>E22*[2]Invest!$E$19/[2]Invest!$C$33</f>
        <v>#REF!</v>
      </c>
      <c r="F28" s="132" t="e">
        <f>F22*[2]Invest!$E$19/[2]Invest!$C$33</f>
        <v>#REF!</v>
      </c>
      <c r="G28" s="132" t="e">
        <f>G22*[2]Invest!$E$19/[2]Invest!$C$33</f>
        <v>#REF!</v>
      </c>
      <c r="H28" s="132" t="e">
        <f>H22*[2]Invest!$E$19/[2]Invest!$C$33</f>
        <v>#REF!</v>
      </c>
      <c r="I28" s="132" t="e">
        <f>I22*[2]Invest!$E$19/[2]Invest!$C$33</f>
        <v>#REF!</v>
      </c>
      <c r="J28" s="132" t="e">
        <f>J22*[2]Invest!$E$19/[2]Invest!$C$33</f>
        <v>#REF!</v>
      </c>
      <c r="K28" s="132" t="e">
        <f>K22*[2]Invest!$E$19/[2]Invest!$C$33</f>
        <v>#REF!</v>
      </c>
      <c r="L28" s="132" t="e">
        <f>L22*[2]Invest!$E$19/[2]Invest!$C$33</f>
        <v>#REF!</v>
      </c>
    </row>
    <row r="29" spans="1:14" s="135" customFormat="1" hidden="1">
      <c r="A29" s="131" t="s">
        <v>14</v>
      </c>
      <c r="B29" s="139"/>
      <c r="C29" s="132" t="e">
        <f>C22*[2]Invest!$E$20/[2]Invest!$C$33</f>
        <v>#REF!</v>
      </c>
      <c r="D29" s="132" t="e">
        <f>D22*[2]Invest!$E$20/[2]Invest!$C$33</f>
        <v>#REF!</v>
      </c>
      <c r="E29" s="132" t="e">
        <f>E22*[2]Invest!$E$20/[2]Invest!$C$33</f>
        <v>#REF!</v>
      </c>
      <c r="F29" s="132" t="e">
        <f>F22*[2]Invest!$E$20/[2]Invest!$C$33</f>
        <v>#REF!</v>
      </c>
      <c r="G29" s="132" t="e">
        <f>G22*[2]Invest!$E$20/[2]Invest!$C$33</f>
        <v>#REF!</v>
      </c>
      <c r="H29" s="132" t="e">
        <f>H22*[2]Invest!$E$20/[2]Invest!$C$33</f>
        <v>#REF!</v>
      </c>
      <c r="I29" s="132" t="e">
        <f>I22*[2]Invest!$E$20/[2]Invest!$C$33</f>
        <v>#REF!</v>
      </c>
      <c r="J29" s="132" t="e">
        <f>J22*[2]Invest!$E$20/[2]Invest!$C$33</f>
        <v>#REF!</v>
      </c>
      <c r="K29" s="132" t="e">
        <f>K22*[2]Invest!$E$20/[2]Invest!$C$33</f>
        <v>#REF!</v>
      </c>
      <c r="L29" s="132" t="e">
        <f>L22*[2]Invest!$E$20/[2]Invest!$C$33</f>
        <v>#REF!</v>
      </c>
    </row>
    <row r="30" spans="1:14" s="135" customFormat="1" hidden="1">
      <c r="A30" s="143" t="s">
        <v>15</v>
      </c>
      <c r="B30" s="139"/>
      <c r="C30" s="132" t="e">
        <f>C22*[2]Invest!$E$21/[2]Invest!$C$33</f>
        <v>#REF!</v>
      </c>
      <c r="D30" s="132" t="e">
        <f>D22*[2]Invest!$E$21/[2]Invest!$C$33</f>
        <v>#REF!</v>
      </c>
      <c r="E30" s="132" t="e">
        <f>E22*[2]Invest!$E$21/[2]Invest!$C$33</f>
        <v>#REF!</v>
      </c>
      <c r="F30" s="132" t="e">
        <f>F22*[2]Invest!$E$21/[2]Invest!$C$33</f>
        <v>#REF!</v>
      </c>
      <c r="G30" s="132" t="e">
        <f>G22*[2]Invest!$E$21/[2]Invest!$C$33</f>
        <v>#REF!</v>
      </c>
      <c r="H30" s="132" t="e">
        <f>H22*[2]Invest!$E$21/[2]Invest!$C$33</f>
        <v>#REF!</v>
      </c>
      <c r="I30" s="132" t="e">
        <f>I22*[2]Invest!$E$21/[2]Invest!$C$33</f>
        <v>#REF!</v>
      </c>
      <c r="J30" s="132" t="e">
        <f>J22*[2]Invest!$E$21/[2]Invest!$C$33</f>
        <v>#REF!</v>
      </c>
      <c r="K30" s="132" t="e">
        <f>K22*[2]Invest!$E$21/[2]Invest!$C$33</f>
        <v>#REF!</v>
      </c>
      <c r="L30" s="132" t="e">
        <f>L22*[2]Invest!$E$21/[2]Invest!$C$33</f>
        <v>#REF!</v>
      </c>
    </row>
    <row r="31" spans="1:14" s="135" customFormat="1" hidden="1">
      <c r="A31" s="131" t="s">
        <v>16</v>
      </c>
      <c r="B31" s="139"/>
      <c r="C31" s="132"/>
      <c r="D31" s="132"/>
      <c r="E31" s="132"/>
      <c r="F31" s="132" t="e">
        <f>F22*[2]Invest!$E$41/[2]Invest!$C$33</f>
        <v>#REF!</v>
      </c>
      <c r="G31" s="132" t="e">
        <f>G22*[2]Invest!$E$41/[2]Invest!$C$33</f>
        <v>#REF!</v>
      </c>
      <c r="H31" s="132" t="e">
        <f>H22*[2]Invest!$E$41/[2]Invest!$C$33</f>
        <v>#REF!</v>
      </c>
      <c r="I31" s="132" t="e">
        <f>I22*[2]Invest!$E$41/[2]Invest!$C$33</f>
        <v>#REF!</v>
      </c>
      <c r="J31" s="132" t="e">
        <f>J22*[2]Invest!$E$41/[2]Invest!$C$33</f>
        <v>#REF!</v>
      </c>
      <c r="K31" s="132" t="e">
        <f>K22*[2]Invest!$E$41/[2]Invest!$C$33</f>
        <v>#REF!</v>
      </c>
      <c r="L31" s="132" t="e">
        <f>L22*[2]Invest!$E$41/[2]Invest!$C$33</f>
        <v>#REF!</v>
      </c>
    </row>
    <row r="32" spans="1:14" s="135" customFormat="1" hidden="1">
      <c r="A32" s="131"/>
      <c r="B32" s="139"/>
      <c r="C32" s="132"/>
      <c r="D32" s="132"/>
      <c r="E32" s="132"/>
      <c r="F32" s="132"/>
      <c r="G32" s="132"/>
      <c r="H32" s="132"/>
      <c r="I32" s="132"/>
      <c r="J32" s="132"/>
      <c r="K32" s="132"/>
      <c r="L32" s="132"/>
    </row>
    <row r="33" spans="1:14" s="135" customFormat="1" hidden="1">
      <c r="A33" s="144"/>
    </row>
    <row r="34" spans="1:14" s="135" customFormat="1" hidden="1">
      <c r="A34" s="144"/>
    </row>
    <row r="35" spans="1:14" s="135" customFormat="1" hidden="1">
      <c r="A35" s="145" t="s">
        <v>47</v>
      </c>
    </row>
    <row r="36" spans="1:14" hidden="1"/>
    <row r="37" spans="1:14" hidden="1">
      <c r="A37" s="121" t="s">
        <v>34</v>
      </c>
      <c r="B37" s="125">
        <f>[2]Invest!$C$33*0.3</f>
        <v>3741975</v>
      </c>
      <c r="C37" s="125">
        <f>[2]Invest!E39*0.3</f>
        <v>463434.22439024394</v>
      </c>
      <c r="D37" s="122"/>
      <c r="E37" s="122"/>
      <c r="F37" s="122"/>
      <c r="G37" s="122"/>
      <c r="H37" s="122"/>
      <c r="I37" s="122"/>
      <c r="J37" s="122"/>
      <c r="K37" s="122"/>
      <c r="L37" s="122"/>
    </row>
    <row r="38" spans="1:14" hidden="1">
      <c r="A38" s="121" t="s">
        <v>35</v>
      </c>
      <c r="B38" s="125">
        <f>[2]Invest!$C$33-'[2]Charges Financières'!B35</f>
        <v>8731275</v>
      </c>
      <c r="C38" s="125">
        <f>[2]Invest!E39*0.7</f>
        <v>1081346.5235772359</v>
      </c>
      <c r="D38" s="122"/>
      <c r="E38" s="122"/>
      <c r="F38" s="122"/>
      <c r="G38" s="122"/>
      <c r="H38" s="122"/>
      <c r="I38" s="122"/>
      <c r="J38" s="122"/>
      <c r="K38" s="122"/>
      <c r="L38" s="122"/>
    </row>
    <row r="39" spans="1:14" hidden="1">
      <c r="A39" s="121" t="s">
        <v>36</v>
      </c>
      <c r="B39" s="122"/>
      <c r="C39" s="122">
        <v>7</v>
      </c>
      <c r="D39" s="122" t="s">
        <v>21</v>
      </c>
      <c r="E39" s="122"/>
      <c r="F39" s="122"/>
      <c r="G39" s="122"/>
      <c r="H39" s="122"/>
      <c r="I39" s="122"/>
      <c r="J39" s="122"/>
      <c r="K39" s="122"/>
      <c r="L39" s="122"/>
    </row>
    <row r="40" spans="1:14" hidden="1">
      <c r="A40" s="121" t="s">
        <v>37</v>
      </c>
      <c r="B40" s="122"/>
      <c r="C40" s="146">
        <v>7.0000000000000007E-2</v>
      </c>
      <c r="D40" s="122"/>
      <c r="E40" s="122"/>
      <c r="F40" s="122"/>
      <c r="G40" s="122"/>
      <c r="H40" s="122"/>
      <c r="I40" s="122"/>
      <c r="J40" s="122"/>
      <c r="K40" s="122"/>
      <c r="L40" s="122"/>
    </row>
    <row r="41" spans="1:14" hidden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</row>
    <row r="42" spans="1:14" hidden="1"/>
    <row r="43" spans="1:14" s="130" customFormat="1" ht="31.5" hidden="1" customHeight="1">
      <c r="A43" s="128"/>
      <c r="B43" s="129"/>
      <c r="C43" s="129" t="s">
        <v>1</v>
      </c>
      <c r="D43" s="129" t="s">
        <v>2</v>
      </c>
      <c r="E43" s="129" t="s">
        <v>3</v>
      </c>
      <c r="F43" s="129" t="s">
        <v>4</v>
      </c>
      <c r="G43" s="129" t="s">
        <v>5</v>
      </c>
      <c r="H43" s="129" t="s">
        <v>6</v>
      </c>
      <c r="I43" s="129" t="s">
        <v>7</v>
      </c>
      <c r="J43" s="129" t="s">
        <v>38</v>
      </c>
      <c r="K43" s="129" t="s">
        <v>39</v>
      </c>
      <c r="L43" s="129" t="s">
        <v>40</v>
      </c>
      <c r="M43" s="129"/>
    </row>
    <row r="44" spans="1:14" s="135" customFormat="1" hidden="1">
      <c r="A44" s="131" t="s">
        <v>41</v>
      </c>
      <c r="B44" s="132"/>
      <c r="C44" s="132"/>
      <c r="D44" s="132"/>
      <c r="E44" s="132"/>
      <c r="F44" s="132">
        <f t="shared" ref="F44:L44" si="4">$C$38/$C$39</f>
        <v>154478.07479674797</v>
      </c>
      <c r="G44" s="132">
        <f t="shared" si="4"/>
        <v>154478.07479674797</v>
      </c>
      <c r="H44" s="132">
        <f t="shared" si="4"/>
        <v>154478.07479674797</v>
      </c>
      <c r="I44" s="132">
        <f t="shared" si="4"/>
        <v>154478.07479674797</v>
      </c>
      <c r="J44" s="132">
        <f t="shared" si="4"/>
        <v>154478.07479674797</v>
      </c>
      <c r="K44" s="132">
        <f t="shared" si="4"/>
        <v>154478.07479674797</v>
      </c>
      <c r="L44" s="132">
        <f t="shared" si="4"/>
        <v>154478.07479674797</v>
      </c>
      <c r="M44" s="133"/>
      <c r="N44" s="134">
        <f>C39</f>
        <v>7</v>
      </c>
    </row>
    <row r="45" spans="1:14" s="135" customFormat="1" hidden="1">
      <c r="A45" s="131" t="s">
        <v>42</v>
      </c>
      <c r="B45" s="132"/>
      <c r="C45" s="132">
        <f>C44+B44</f>
        <v>0</v>
      </c>
      <c r="D45" s="132">
        <f>D44+C45</f>
        <v>0</v>
      </c>
      <c r="E45" s="132">
        <f t="shared" ref="E45:L45" si="5">E44+D45</f>
        <v>0</v>
      </c>
      <c r="F45" s="132">
        <f t="shared" si="5"/>
        <v>154478.07479674797</v>
      </c>
      <c r="G45" s="132">
        <f t="shared" si="5"/>
        <v>308956.14959349594</v>
      </c>
      <c r="H45" s="132">
        <f t="shared" si="5"/>
        <v>463434.22439024388</v>
      </c>
      <c r="I45" s="132">
        <f t="shared" si="5"/>
        <v>617912.29918699188</v>
      </c>
      <c r="J45" s="132">
        <f t="shared" si="5"/>
        <v>772390.37398373988</v>
      </c>
      <c r="K45" s="132">
        <f t="shared" si="5"/>
        <v>926868.44878048787</v>
      </c>
      <c r="L45" s="132">
        <f t="shared" si="5"/>
        <v>1081346.5235772359</v>
      </c>
      <c r="N45" s="134"/>
    </row>
    <row r="46" spans="1:14" s="135" customFormat="1" hidden="1">
      <c r="A46" s="131" t="s">
        <v>43</v>
      </c>
      <c r="B46" s="132"/>
      <c r="C46" s="132"/>
      <c r="D46" s="132"/>
      <c r="E46" s="132"/>
      <c r="F46" s="132">
        <f t="shared" ref="F46:L46" si="6">($C$38- E45)*$C$40</f>
        <v>75694.256650406518</v>
      </c>
      <c r="G46" s="132">
        <f t="shared" si="6"/>
        <v>64880.791414634157</v>
      </c>
      <c r="H46" s="132">
        <f t="shared" si="6"/>
        <v>54067.326178861797</v>
      </c>
      <c r="I46" s="132">
        <f t="shared" si="6"/>
        <v>43253.860943089443</v>
      </c>
      <c r="J46" s="132">
        <f t="shared" si="6"/>
        <v>32440.395707317082</v>
      </c>
      <c r="K46" s="132">
        <f t="shared" si="6"/>
        <v>21626.930471544722</v>
      </c>
      <c r="L46" s="132">
        <f t="shared" si="6"/>
        <v>10813.465235772361</v>
      </c>
      <c r="N46" s="136">
        <f>C40</f>
        <v>7.0000000000000007E-2</v>
      </c>
    </row>
    <row r="47" spans="1:14" s="138" customFormat="1" hidden="1">
      <c r="A47" s="131" t="s">
        <v>44</v>
      </c>
      <c r="B47" s="137"/>
      <c r="C47" s="137">
        <f>C46+C44</f>
        <v>0</v>
      </c>
      <c r="D47" s="137">
        <f t="shared" ref="D47:L47" si="7">D46+D44</f>
        <v>0</v>
      </c>
      <c r="E47" s="137">
        <f t="shared" si="7"/>
        <v>0</v>
      </c>
      <c r="F47" s="137">
        <f t="shared" si="7"/>
        <v>230172.33144715449</v>
      </c>
      <c r="G47" s="137">
        <f t="shared" si="7"/>
        <v>219358.86621138212</v>
      </c>
      <c r="H47" s="137">
        <f t="shared" si="7"/>
        <v>208545.40097560978</v>
      </c>
      <c r="I47" s="137">
        <f t="shared" si="7"/>
        <v>197731.93573983741</v>
      </c>
      <c r="J47" s="137">
        <f t="shared" si="7"/>
        <v>186918.47050406504</v>
      </c>
      <c r="K47" s="137">
        <f t="shared" si="7"/>
        <v>176105.00526829268</v>
      </c>
      <c r="L47" s="137">
        <f t="shared" si="7"/>
        <v>165291.54003252034</v>
      </c>
    </row>
    <row r="48" spans="1:14" hidden="1"/>
    <row r="49" spans="1:14" hidden="1"/>
    <row r="50" spans="1:14" s="135" customFormat="1" hidden="1">
      <c r="A50" s="145" t="s">
        <v>48</v>
      </c>
    </row>
    <row r="51" spans="1:14" hidden="1"/>
    <row r="52" spans="1:14" hidden="1">
      <c r="A52" s="121" t="s">
        <v>34</v>
      </c>
      <c r="B52" s="125">
        <f>[2]Invest!$C$33*0.3</f>
        <v>3741975</v>
      </c>
      <c r="C52" s="125">
        <f>[2]Invest!E41*0.3</f>
        <v>1164038.1355932204</v>
      </c>
      <c r="D52" s="122"/>
      <c r="E52" s="122"/>
      <c r="F52" s="122"/>
      <c r="G52" s="122"/>
      <c r="H52" s="122"/>
      <c r="I52" s="122"/>
      <c r="J52" s="122"/>
      <c r="K52" s="122"/>
      <c r="L52" s="122"/>
    </row>
    <row r="53" spans="1:14" hidden="1">
      <c r="A53" s="121" t="s">
        <v>35</v>
      </c>
      <c r="B53" s="125">
        <f>[2]Invest!$C$33-'[2]Charges Financières'!B50</f>
        <v>8731275</v>
      </c>
      <c r="C53" s="125">
        <f>[2]Invest!E41*0.7</f>
        <v>2716088.9830508474</v>
      </c>
      <c r="D53" s="122"/>
      <c r="E53" s="122"/>
      <c r="F53" s="122"/>
      <c r="G53" s="122"/>
      <c r="H53" s="122"/>
      <c r="I53" s="122"/>
      <c r="J53" s="122"/>
      <c r="K53" s="122"/>
      <c r="L53" s="122"/>
    </row>
    <row r="54" spans="1:14" hidden="1">
      <c r="A54" s="121" t="s">
        <v>36</v>
      </c>
      <c r="B54" s="122"/>
      <c r="C54" s="122">
        <v>7</v>
      </c>
      <c r="D54" s="122" t="s">
        <v>21</v>
      </c>
      <c r="E54" s="122"/>
      <c r="F54" s="122"/>
      <c r="G54" s="122"/>
      <c r="H54" s="122"/>
      <c r="I54" s="122"/>
      <c r="J54" s="122"/>
      <c r="K54" s="122"/>
      <c r="L54" s="122"/>
    </row>
    <row r="55" spans="1:14" hidden="1">
      <c r="A55" s="121" t="s">
        <v>37</v>
      </c>
      <c r="B55" s="122"/>
      <c r="C55" s="146">
        <v>7.0000000000000007E-2</v>
      </c>
      <c r="D55" s="122"/>
      <c r="E55" s="122"/>
      <c r="F55" s="122"/>
      <c r="G55" s="122"/>
      <c r="H55" s="122"/>
      <c r="I55" s="122"/>
      <c r="J55" s="122"/>
      <c r="K55" s="122"/>
      <c r="L55" s="122"/>
    </row>
    <row r="56" spans="1:14" hidden="1">
      <c r="A56" s="121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</row>
    <row r="57" spans="1:14" hidden="1"/>
    <row r="58" spans="1:14" s="130" customFormat="1" ht="31.5" hidden="1" customHeight="1">
      <c r="A58" s="128"/>
      <c r="B58" s="129"/>
      <c r="C58" s="129" t="s">
        <v>1</v>
      </c>
      <c r="D58" s="129" t="s">
        <v>2</v>
      </c>
      <c r="E58" s="129" t="s">
        <v>3</v>
      </c>
      <c r="F58" s="129" t="s">
        <v>4</v>
      </c>
      <c r="G58" s="129" t="s">
        <v>5</v>
      </c>
      <c r="H58" s="129" t="s">
        <v>6</v>
      </c>
      <c r="I58" s="129" t="s">
        <v>7</v>
      </c>
      <c r="J58" s="129" t="s">
        <v>38</v>
      </c>
      <c r="K58" s="129" t="s">
        <v>39</v>
      </c>
      <c r="L58" s="129" t="s">
        <v>40</v>
      </c>
      <c r="M58" s="129"/>
    </row>
    <row r="59" spans="1:14" s="135" customFormat="1" hidden="1">
      <c r="A59" s="131" t="s">
        <v>41</v>
      </c>
      <c r="B59" s="132"/>
      <c r="C59" s="132"/>
      <c r="D59" s="132"/>
      <c r="E59" s="132"/>
      <c r="F59" s="132">
        <f t="shared" ref="F59:L59" si="8">$C$53/$C$54</f>
        <v>388012.71186440677</v>
      </c>
      <c r="G59" s="132">
        <f t="shared" si="8"/>
        <v>388012.71186440677</v>
      </c>
      <c r="H59" s="132">
        <f t="shared" si="8"/>
        <v>388012.71186440677</v>
      </c>
      <c r="I59" s="132">
        <f t="shared" si="8"/>
        <v>388012.71186440677</v>
      </c>
      <c r="J59" s="132">
        <f t="shared" si="8"/>
        <v>388012.71186440677</v>
      </c>
      <c r="K59" s="132">
        <f t="shared" si="8"/>
        <v>388012.71186440677</v>
      </c>
      <c r="L59" s="132">
        <f t="shared" si="8"/>
        <v>388012.71186440677</v>
      </c>
      <c r="M59" s="133"/>
      <c r="N59" s="134">
        <f>C54</f>
        <v>7</v>
      </c>
    </row>
    <row r="60" spans="1:14" s="135" customFormat="1" hidden="1">
      <c r="A60" s="131" t="s">
        <v>42</v>
      </c>
      <c r="B60" s="132"/>
      <c r="C60" s="132">
        <f>C59+B59</f>
        <v>0</v>
      </c>
      <c r="D60" s="132">
        <f>D59+C60</f>
        <v>0</v>
      </c>
      <c r="E60" s="132">
        <f t="shared" ref="E60:L60" si="9">E59+D60</f>
        <v>0</v>
      </c>
      <c r="F60" s="132">
        <f t="shared" si="9"/>
        <v>388012.71186440677</v>
      </c>
      <c r="G60" s="132">
        <f t="shared" si="9"/>
        <v>776025.42372881353</v>
      </c>
      <c r="H60" s="132">
        <f t="shared" si="9"/>
        <v>1164038.1355932204</v>
      </c>
      <c r="I60" s="132">
        <f t="shared" si="9"/>
        <v>1552050.8474576271</v>
      </c>
      <c r="J60" s="132">
        <f t="shared" si="9"/>
        <v>1940063.5593220338</v>
      </c>
      <c r="K60" s="132">
        <f t="shared" si="9"/>
        <v>2328076.2711864407</v>
      </c>
      <c r="L60" s="132">
        <f t="shared" si="9"/>
        <v>2716088.9830508474</v>
      </c>
      <c r="N60" s="134"/>
    </row>
    <row r="61" spans="1:14" s="135" customFormat="1" hidden="1">
      <c r="A61" s="131" t="s">
        <v>43</v>
      </c>
      <c r="B61" s="132"/>
      <c r="C61" s="132"/>
      <c r="D61" s="132"/>
      <c r="E61" s="132"/>
      <c r="F61" s="132">
        <f t="shared" ref="F61:L61" si="10">($C$53- E60)*$C$55</f>
        <v>190126.22881355934</v>
      </c>
      <c r="G61" s="132">
        <f t="shared" si="10"/>
        <v>162965.33898305087</v>
      </c>
      <c r="H61" s="132">
        <f t="shared" si="10"/>
        <v>135804.44915254239</v>
      </c>
      <c r="I61" s="132">
        <f t="shared" si="10"/>
        <v>108643.55932203391</v>
      </c>
      <c r="J61" s="132">
        <f t="shared" si="10"/>
        <v>81482.669491525434</v>
      </c>
      <c r="K61" s="132">
        <f t="shared" si="10"/>
        <v>54321.779661016961</v>
      </c>
      <c r="L61" s="132">
        <f t="shared" si="10"/>
        <v>27160.889830508473</v>
      </c>
      <c r="N61" s="136">
        <f>C55</f>
        <v>7.0000000000000007E-2</v>
      </c>
    </row>
    <row r="62" spans="1:14" s="138" customFormat="1" hidden="1">
      <c r="A62" s="131" t="s">
        <v>44</v>
      </c>
      <c r="B62" s="137"/>
      <c r="C62" s="137">
        <f>C61+C59</f>
        <v>0</v>
      </c>
      <c r="D62" s="137">
        <f t="shared" ref="D62:L62" si="11">D61+D59</f>
        <v>0</v>
      </c>
      <c r="E62" s="137">
        <f t="shared" si="11"/>
        <v>0</v>
      </c>
      <c r="F62" s="137">
        <f t="shared" si="11"/>
        <v>578138.94067796611</v>
      </c>
      <c r="G62" s="137">
        <f t="shared" si="11"/>
        <v>550978.05084745761</v>
      </c>
      <c r="H62" s="137">
        <f t="shared" si="11"/>
        <v>523817.16101694916</v>
      </c>
      <c r="I62" s="137">
        <f t="shared" si="11"/>
        <v>496656.27118644066</v>
      </c>
      <c r="J62" s="137">
        <f t="shared" si="11"/>
        <v>469495.38135593222</v>
      </c>
      <c r="K62" s="137">
        <f t="shared" si="11"/>
        <v>442334.49152542371</v>
      </c>
      <c r="L62" s="137">
        <f t="shared" si="11"/>
        <v>415173.60169491521</v>
      </c>
    </row>
    <row r="63" spans="1:14" hidden="1"/>
    <row r="64" spans="1:14" hidden="1"/>
    <row r="65" spans="1:14" hidden="1"/>
    <row r="66" spans="1:14" ht="17.5" hidden="1">
      <c r="A66" s="121"/>
      <c r="B66" s="122"/>
      <c r="C66" s="147" t="s">
        <v>49</v>
      </c>
      <c r="D66" s="122"/>
      <c r="E66" s="122"/>
      <c r="F66" s="122"/>
      <c r="G66" s="122"/>
      <c r="H66" s="122"/>
      <c r="I66" s="122"/>
      <c r="J66" s="122"/>
      <c r="K66" s="122"/>
      <c r="L66" s="122"/>
    </row>
    <row r="67" spans="1:14" hidden="1">
      <c r="A67" s="121"/>
      <c r="B67" s="122"/>
      <c r="C67" s="122"/>
      <c r="D67" s="121"/>
      <c r="E67" s="122"/>
      <c r="F67" s="122"/>
      <c r="G67" s="122"/>
      <c r="H67" s="122"/>
      <c r="I67" s="122"/>
      <c r="J67" s="122"/>
      <c r="K67" s="122"/>
      <c r="L67" s="122"/>
    </row>
    <row r="68" spans="1:14" hidden="1">
      <c r="A68" s="121"/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</row>
    <row r="69" spans="1:14" hidden="1">
      <c r="A69" s="121" t="s">
        <v>34</v>
      </c>
      <c r="B69" s="125">
        <f>[2]Invest!$C$33*0.3</f>
        <v>3741975</v>
      </c>
      <c r="C69" s="125"/>
      <c r="D69" s="122"/>
      <c r="E69" s="122"/>
      <c r="F69" s="122"/>
      <c r="G69" s="122"/>
      <c r="H69" s="122"/>
      <c r="I69" s="122"/>
      <c r="J69" s="122"/>
      <c r="K69" s="122"/>
      <c r="L69" s="122"/>
    </row>
    <row r="70" spans="1:14" hidden="1">
      <c r="A70" s="121" t="s">
        <v>35</v>
      </c>
      <c r="B70" s="125">
        <f>[2]Invest!$C$33-'[2]Charges Financières'!B67</f>
        <v>8731275</v>
      </c>
      <c r="C70" s="125"/>
      <c r="D70" s="122"/>
      <c r="E70" s="122"/>
      <c r="F70" s="122"/>
      <c r="G70" s="122"/>
      <c r="H70" s="122"/>
      <c r="I70" s="122"/>
      <c r="J70" s="122"/>
      <c r="K70" s="122"/>
      <c r="L70" s="122"/>
    </row>
    <row r="71" spans="1:14" hidden="1">
      <c r="A71" s="121" t="s">
        <v>36</v>
      </c>
      <c r="B71" s="122"/>
      <c r="C71" s="122">
        <v>7</v>
      </c>
      <c r="D71" s="122" t="s">
        <v>21</v>
      </c>
      <c r="E71" s="122"/>
      <c r="F71" s="122"/>
      <c r="G71" s="122"/>
      <c r="H71" s="122"/>
      <c r="I71" s="122"/>
      <c r="J71" s="122"/>
      <c r="K71" s="122"/>
      <c r="L71" s="122"/>
    </row>
    <row r="72" spans="1:14" hidden="1">
      <c r="A72" s="121" t="s">
        <v>37</v>
      </c>
      <c r="B72" s="122"/>
      <c r="C72" s="146">
        <v>7.0000000000000007E-2</v>
      </c>
      <c r="D72" s="122"/>
      <c r="E72" s="122"/>
      <c r="F72" s="122"/>
      <c r="G72" s="122"/>
      <c r="H72" s="122"/>
      <c r="I72" s="122"/>
      <c r="J72" s="122"/>
      <c r="K72" s="122"/>
      <c r="L72" s="122"/>
    </row>
    <row r="73" spans="1:14" hidden="1">
      <c r="A73" s="121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</row>
    <row r="74" spans="1:14" hidden="1"/>
    <row r="75" spans="1:14" s="130" customFormat="1" ht="31.5" hidden="1" customHeight="1">
      <c r="A75" s="128"/>
      <c r="B75" s="129"/>
      <c r="C75" s="129" t="s">
        <v>1</v>
      </c>
      <c r="D75" s="129" t="s">
        <v>2</v>
      </c>
      <c r="E75" s="129" t="s">
        <v>3</v>
      </c>
      <c r="F75" s="129" t="s">
        <v>4</v>
      </c>
      <c r="G75" s="129" t="s">
        <v>5</v>
      </c>
      <c r="H75" s="129" t="s">
        <v>6</v>
      </c>
      <c r="I75" s="129" t="s">
        <v>7</v>
      </c>
      <c r="J75" s="129" t="s">
        <v>38</v>
      </c>
      <c r="K75" s="129" t="s">
        <v>39</v>
      </c>
      <c r="L75" s="129" t="s">
        <v>40</v>
      </c>
      <c r="M75" s="129"/>
    </row>
    <row r="76" spans="1:14" s="135" customFormat="1" hidden="1">
      <c r="A76" s="131" t="s">
        <v>41</v>
      </c>
      <c r="B76" s="132"/>
      <c r="C76" s="132" t="e">
        <f>C19+C44+C59</f>
        <v>#REF!</v>
      </c>
      <c r="D76" s="132" t="e">
        <f t="shared" ref="D76:L76" si="12">D19+D44+D59</f>
        <v>#REF!</v>
      </c>
      <c r="E76" s="132" t="e">
        <f t="shared" si="12"/>
        <v>#REF!</v>
      </c>
      <c r="F76" s="132" t="e">
        <f t="shared" si="12"/>
        <v>#REF!</v>
      </c>
      <c r="G76" s="132" t="e">
        <f t="shared" si="12"/>
        <v>#REF!</v>
      </c>
      <c r="H76" s="132" t="e">
        <f t="shared" si="12"/>
        <v>#REF!</v>
      </c>
      <c r="I76" s="132" t="e">
        <f t="shared" si="12"/>
        <v>#REF!</v>
      </c>
      <c r="J76" s="132" t="e">
        <f t="shared" si="12"/>
        <v>#REF!</v>
      </c>
      <c r="K76" s="132" t="e">
        <f t="shared" si="12"/>
        <v>#REF!</v>
      </c>
      <c r="L76" s="132" t="e">
        <f t="shared" si="12"/>
        <v>#REF!</v>
      </c>
      <c r="M76" s="133"/>
      <c r="N76" s="134">
        <f>C71</f>
        <v>7</v>
      </c>
    </row>
    <row r="77" spans="1:14" s="135" customFormat="1" hidden="1">
      <c r="A77" s="131" t="s">
        <v>42</v>
      </c>
      <c r="B77" s="132"/>
      <c r="C77" s="132" t="e">
        <f>C76+B76</f>
        <v>#REF!</v>
      </c>
      <c r="D77" s="132" t="e">
        <f>D76+C77</f>
        <v>#REF!</v>
      </c>
      <c r="E77" s="132" t="e">
        <f t="shared" ref="E77:L77" si="13">E76+D77</f>
        <v>#REF!</v>
      </c>
      <c r="F77" s="132" t="e">
        <f t="shared" si="13"/>
        <v>#REF!</v>
      </c>
      <c r="G77" s="132" t="e">
        <f t="shared" si="13"/>
        <v>#REF!</v>
      </c>
      <c r="H77" s="132" t="e">
        <f t="shared" si="13"/>
        <v>#REF!</v>
      </c>
      <c r="I77" s="132" t="e">
        <f t="shared" si="13"/>
        <v>#REF!</v>
      </c>
      <c r="J77" s="132" t="e">
        <f t="shared" si="13"/>
        <v>#REF!</v>
      </c>
      <c r="K77" s="132" t="e">
        <f t="shared" si="13"/>
        <v>#REF!</v>
      </c>
      <c r="L77" s="132" t="e">
        <f t="shared" si="13"/>
        <v>#REF!</v>
      </c>
      <c r="N77" s="134"/>
    </row>
    <row r="78" spans="1:14" s="135" customFormat="1" hidden="1">
      <c r="A78" s="131" t="s">
        <v>43</v>
      </c>
      <c r="B78" s="132"/>
      <c r="C78" s="132" t="e">
        <f>C21+C46+C61</f>
        <v>#REF!</v>
      </c>
      <c r="D78" s="132" t="e">
        <f t="shared" ref="D78:L78" si="14">D21+D46+D61</f>
        <v>#REF!</v>
      </c>
      <c r="E78" s="132" t="e">
        <f t="shared" si="14"/>
        <v>#REF!</v>
      </c>
      <c r="F78" s="132" t="e">
        <f t="shared" si="14"/>
        <v>#REF!</v>
      </c>
      <c r="G78" s="132" t="e">
        <f t="shared" si="14"/>
        <v>#REF!</v>
      </c>
      <c r="H78" s="132" t="e">
        <f t="shared" si="14"/>
        <v>#REF!</v>
      </c>
      <c r="I78" s="132" t="e">
        <f t="shared" si="14"/>
        <v>#REF!</v>
      </c>
      <c r="J78" s="132" t="e">
        <f t="shared" si="14"/>
        <v>#REF!</v>
      </c>
      <c r="K78" s="132" t="e">
        <f t="shared" si="14"/>
        <v>#REF!</v>
      </c>
      <c r="L78" s="132" t="e">
        <f t="shared" si="14"/>
        <v>#REF!</v>
      </c>
      <c r="N78" s="136">
        <f>C72</f>
        <v>7.0000000000000007E-2</v>
      </c>
    </row>
    <row r="79" spans="1:14" s="138" customFormat="1" hidden="1">
      <c r="A79" s="131" t="s">
        <v>44</v>
      </c>
      <c r="B79" s="137"/>
      <c r="C79" s="137" t="e">
        <f>C78+C76</f>
        <v>#REF!</v>
      </c>
      <c r="D79" s="137" t="e">
        <f t="shared" ref="D79:L79" si="15">D78+D76</f>
        <v>#REF!</v>
      </c>
      <c r="E79" s="137" t="e">
        <f t="shared" si="15"/>
        <v>#REF!</v>
      </c>
      <c r="F79" s="137" t="e">
        <f t="shared" si="15"/>
        <v>#REF!</v>
      </c>
      <c r="G79" s="137" t="e">
        <f t="shared" si="15"/>
        <v>#REF!</v>
      </c>
      <c r="H79" s="137" t="e">
        <f t="shared" si="15"/>
        <v>#REF!</v>
      </c>
      <c r="I79" s="137" t="e">
        <f t="shared" si="15"/>
        <v>#REF!</v>
      </c>
      <c r="J79" s="137" t="e">
        <f t="shared" si="15"/>
        <v>#REF!</v>
      </c>
      <c r="K79" s="137" t="e">
        <f t="shared" si="15"/>
        <v>#REF!</v>
      </c>
      <c r="L79" s="137" t="e">
        <f t="shared" si="15"/>
        <v>#REF!</v>
      </c>
    </row>
    <row r="80" spans="1:14" s="135" customFormat="1" hidden="1">
      <c r="A80" s="131"/>
      <c r="B80" s="139"/>
      <c r="C80" s="139"/>
      <c r="D80" s="139"/>
      <c r="E80" s="139"/>
      <c r="F80" s="139"/>
      <c r="G80" s="139"/>
      <c r="H80" s="139"/>
      <c r="I80" s="139"/>
      <c r="J80" s="139"/>
      <c r="K80" s="139"/>
      <c r="L80" s="139"/>
    </row>
    <row r="81" spans="1:12" s="135" customFormat="1" hidden="1">
      <c r="A81" s="131"/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</row>
    <row r="82" spans="1:12" s="142" customFormat="1" hidden="1">
      <c r="A82" s="140" t="s">
        <v>45</v>
      </c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</row>
    <row r="83" spans="1:12" s="135" customFormat="1" ht="12.75" hidden="1" customHeight="1">
      <c r="A83" s="131"/>
      <c r="B83" s="132"/>
      <c r="C83" s="132"/>
      <c r="D83" s="132"/>
      <c r="E83" s="132"/>
      <c r="F83" s="132"/>
      <c r="G83" s="132"/>
      <c r="H83" s="132"/>
      <c r="I83" s="132"/>
      <c r="J83" s="132"/>
      <c r="K83" s="132"/>
      <c r="L83" s="132"/>
    </row>
    <row r="84" spans="1:12" s="135" customFormat="1" ht="12.75" hidden="1" customHeight="1">
      <c r="A84" s="131" t="s">
        <v>46</v>
      </c>
      <c r="B84" s="132"/>
      <c r="C84" s="132" t="e">
        <f>C27+C47</f>
        <v>#REF!</v>
      </c>
      <c r="D84" s="132" t="e">
        <f t="shared" ref="D84:L84" si="16">D27+D47</f>
        <v>#REF!</v>
      </c>
      <c r="E84" s="132" t="e">
        <f t="shared" si="16"/>
        <v>#REF!</v>
      </c>
      <c r="F84" s="132" t="e">
        <f t="shared" si="16"/>
        <v>#REF!</v>
      </c>
      <c r="G84" s="132" t="e">
        <f t="shared" si="16"/>
        <v>#REF!</v>
      </c>
      <c r="H84" s="132" t="e">
        <f t="shared" si="16"/>
        <v>#REF!</v>
      </c>
      <c r="I84" s="132" t="e">
        <f t="shared" si="16"/>
        <v>#REF!</v>
      </c>
      <c r="J84" s="132" t="e">
        <f t="shared" si="16"/>
        <v>#REF!</v>
      </c>
      <c r="K84" s="132" t="e">
        <f t="shared" si="16"/>
        <v>#REF!</v>
      </c>
      <c r="L84" s="132" t="e">
        <f t="shared" si="16"/>
        <v>#REF!</v>
      </c>
    </row>
    <row r="85" spans="1:12" s="135" customFormat="1" hidden="1">
      <c r="A85" s="131" t="s">
        <v>13</v>
      </c>
      <c r="B85" s="139"/>
      <c r="C85" s="132" t="e">
        <f>C79*[2]Invest!$E$19/[2]Invest!$C$33</f>
        <v>#REF!</v>
      </c>
      <c r="D85" s="132" t="e">
        <f>D79*[2]Invest!$E$19/[2]Invest!$C$33</f>
        <v>#REF!</v>
      </c>
      <c r="E85" s="132" t="e">
        <f>E79*[2]Invest!$E$19/[2]Invest!$C$33</f>
        <v>#REF!</v>
      </c>
      <c r="F85" s="132" t="e">
        <f>F79*[2]Invest!$E$19/[2]Invest!$C$33</f>
        <v>#REF!</v>
      </c>
      <c r="G85" s="132" t="e">
        <f>G79*[2]Invest!$E$19/[2]Invest!$C$33</f>
        <v>#REF!</v>
      </c>
      <c r="H85" s="132" t="e">
        <f>H79*[2]Invest!$E$19/[2]Invest!$C$33</f>
        <v>#REF!</v>
      </c>
      <c r="I85" s="132" t="e">
        <f>I79*[2]Invest!$E$19/[2]Invest!$C$33</f>
        <v>#REF!</v>
      </c>
      <c r="J85" s="132" t="e">
        <f>J79*[2]Invest!$E$19/[2]Invest!$C$33</f>
        <v>#REF!</v>
      </c>
      <c r="K85" s="132" t="e">
        <f>K79*[2]Invest!$E$19/[2]Invest!$C$33</f>
        <v>#REF!</v>
      </c>
      <c r="L85" s="132" t="e">
        <f>L79*[2]Invest!$E$19/[2]Invest!$C$33</f>
        <v>#REF!</v>
      </c>
    </row>
    <row r="86" spans="1:12" s="135" customFormat="1" hidden="1">
      <c r="A86" s="131" t="s">
        <v>14</v>
      </c>
      <c r="B86" s="139"/>
      <c r="C86" s="132" t="e">
        <f>C79*[2]Invest!$E$20/[2]Invest!$C$33</f>
        <v>#REF!</v>
      </c>
      <c r="D86" s="132" t="e">
        <f>D79*[2]Invest!$E$20/[2]Invest!$C$33</f>
        <v>#REF!</v>
      </c>
      <c r="E86" s="132" t="e">
        <f>E79*[2]Invest!$E$20/[2]Invest!$C$33</f>
        <v>#REF!</v>
      </c>
      <c r="F86" s="132" t="e">
        <f>F79*[2]Invest!$E$20/[2]Invest!$C$33</f>
        <v>#REF!</v>
      </c>
      <c r="G86" s="132" t="e">
        <f>G79*[2]Invest!$E$20/[2]Invest!$C$33</f>
        <v>#REF!</v>
      </c>
      <c r="H86" s="132" t="e">
        <f>H79*[2]Invest!$E$20/[2]Invest!$C$33</f>
        <v>#REF!</v>
      </c>
      <c r="I86" s="132" t="e">
        <f>I79*[2]Invest!$E$20/[2]Invest!$C$33</f>
        <v>#REF!</v>
      </c>
      <c r="J86" s="132" t="e">
        <f>J79*[2]Invest!$E$20/[2]Invest!$C$33</f>
        <v>#REF!</v>
      </c>
      <c r="K86" s="132" t="e">
        <f>K79*[2]Invest!$E$20/[2]Invest!$C$33</f>
        <v>#REF!</v>
      </c>
      <c r="L86" s="132" t="e">
        <f>L79*[2]Invest!$E$20/[2]Invest!$C$33</f>
        <v>#REF!</v>
      </c>
    </row>
    <row r="87" spans="1:12" s="135" customFormat="1" hidden="1">
      <c r="A87" s="143" t="s">
        <v>15</v>
      </c>
      <c r="B87" s="139"/>
      <c r="C87" s="132" t="e">
        <f>C79*[2]Invest!$E$21/[2]Invest!$C$33</f>
        <v>#REF!</v>
      </c>
      <c r="D87" s="132" t="e">
        <f>D79*[2]Invest!$E$21/[2]Invest!$C$33</f>
        <v>#REF!</v>
      </c>
      <c r="E87" s="132" t="e">
        <f>E79*[2]Invest!$E$21/[2]Invest!$C$33</f>
        <v>#REF!</v>
      </c>
      <c r="F87" s="132" t="e">
        <f>F79*[2]Invest!$E$21/[2]Invest!$C$33</f>
        <v>#REF!</v>
      </c>
      <c r="G87" s="132" t="e">
        <f>G79*[2]Invest!$E$21/[2]Invest!$C$33</f>
        <v>#REF!</v>
      </c>
      <c r="H87" s="132" t="e">
        <f>H79*[2]Invest!$E$21/[2]Invest!$C$33</f>
        <v>#REF!</v>
      </c>
      <c r="I87" s="132" t="e">
        <f>I79*[2]Invest!$E$21/[2]Invest!$C$33</f>
        <v>#REF!</v>
      </c>
      <c r="J87" s="132" t="e">
        <f>J79*[2]Invest!$E$21/[2]Invest!$C$33</f>
        <v>#REF!</v>
      </c>
      <c r="K87" s="132" t="e">
        <f>K79*[2]Invest!$E$21/[2]Invest!$C$33</f>
        <v>#REF!</v>
      </c>
      <c r="L87" s="132" t="e">
        <f>L79*[2]Invest!$E$21/[2]Invest!$C$33</f>
        <v>#REF!</v>
      </c>
    </row>
    <row r="88" spans="1:12" s="135" customFormat="1" hidden="1">
      <c r="A88" s="131" t="s">
        <v>16</v>
      </c>
      <c r="B88" s="139"/>
      <c r="C88" s="132">
        <f>C62</f>
        <v>0</v>
      </c>
      <c r="D88" s="132">
        <f t="shared" ref="D88:L88" si="17">D62</f>
        <v>0</v>
      </c>
      <c r="E88" s="132">
        <f t="shared" si="17"/>
        <v>0</v>
      </c>
      <c r="F88" s="132">
        <f t="shared" si="17"/>
        <v>578138.94067796611</v>
      </c>
      <c r="G88" s="132">
        <f t="shared" si="17"/>
        <v>550978.05084745761</v>
      </c>
      <c r="H88" s="132">
        <f t="shared" si="17"/>
        <v>523817.16101694916</v>
      </c>
      <c r="I88" s="132">
        <f t="shared" si="17"/>
        <v>496656.27118644066</v>
      </c>
      <c r="J88" s="132">
        <f t="shared" si="17"/>
        <v>469495.38135593222</v>
      </c>
      <c r="K88" s="132">
        <f t="shared" si="17"/>
        <v>442334.49152542371</v>
      </c>
      <c r="L88" s="132">
        <f t="shared" si="17"/>
        <v>415173.60169491521</v>
      </c>
    </row>
    <row r="89" spans="1:12" s="135" customFormat="1" hidden="1">
      <c r="A89" s="131"/>
      <c r="B89" s="139"/>
      <c r="C89" s="132"/>
      <c r="D89" s="132"/>
      <c r="E89" s="132"/>
      <c r="F89" s="132"/>
      <c r="G89" s="132"/>
      <c r="H89" s="132"/>
      <c r="I89" s="132"/>
      <c r="J89" s="132"/>
      <c r="K89" s="132"/>
      <c r="L89" s="13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189"/>
  <sheetViews>
    <sheetView showGridLines="0" tabSelected="1" topLeftCell="B1" zoomScale="50" zoomScaleNormal="50" workbookViewId="0">
      <pane xSplit="5" ySplit="6" topLeftCell="G7" activePane="bottomRight" state="frozen"/>
      <selection activeCell="G84" sqref="G84"/>
      <selection pane="topRight" activeCell="G84" sqref="G84"/>
      <selection pane="bottomLeft" activeCell="G84" sqref="G84"/>
      <selection pane="bottomRight" activeCell="N10" sqref="N10"/>
    </sheetView>
  </sheetViews>
  <sheetFormatPr baseColWidth="10" defaultColWidth="11.453125" defaultRowHeight="28.5" outlineLevelRow="1" outlineLevelCol="1"/>
  <cols>
    <col min="1" max="1" width="2.81640625" style="418" customWidth="1"/>
    <col min="2" max="5" width="9.81640625" style="418" customWidth="1"/>
    <col min="6" max="6" width="53.7265625" style="418" customWidth="1"/>
    <col min="7" max="7" width="21.26953125" style="420" hidden="1" customWidth="1" outlineLevel="1"/>
    <col min="8" max="8" width="21.453125" style="420" hidden="1" customWidth="1" outlineLevel="1"/>
    <col min="9" max="9" width="23.1796875" style="420" hidden="1" customWidth="1" outlineLevel="1"/>
    <col min="10" max="10" width="23.26953125" style="420" hidden="1" customWidth="1" outlineLevel="1"/>
    <col min="11" max="11" width="23.1796875" style="420" hidden="1" customWidth="1" outlineLevel="1"/>
    <col min="12" max="12" width="22.7265625" style="420" hidden="1" customWidth="1" outlineLevel="1"/>
    <col min="13" max="13" width="22.26953125" style="420" hidden="1" customWidth="1" outlineLevel="1"/>
    <col min="14" max="14" width="15.26953125" style="420" customWidth="1" collapsed="1"/>
    <col min="15" max="15" width="1.7265625" style="418" customWidth="1"/>
    <col min="16" max="19" width="21.1796875" style="420" bestFit="1" customWidth="1" outlineLevel="1"/>
    <col min="20" max="21" width="22.26953125" style="420" bestFit="1" customWidth="1" outlineLevel="1"/>
    <col min="22" max="22" width="23.1796875" style="420" bestFit="1" customWidth="1" outlineLevel="1"/>
    <col min="23" max="23" width="15.26953125" style="420" customWidth="1"/>
    <col min="24" max="24" width="21.54296875" style="418" bestFit="1" customWidth="1"/>
    <col min="25" max="25" width="35.7265625" style="418" bestFit="1" customWidth="1"/>
    <col min="26" max="26" width="19.453125" style="418" bestFit="1" customWidth="1"/>
    <col min="27" max="27" width="19.81640625" style="418" bestFit="1" customWidth="1"/>
    <col min="28" max="28" width="21.81640625" style="418" bestFit="1" customWidth="1"/>
    <col min="29" max="29" width="23.26953125" style="418" bestFit="1" customWidth="1"/>
    <col min="30" max="30" width="22.7265625" style="418" bestFit="1" customWidth="1"/>
    <col min="31" max="32" width="22.54296875" style="418" bestFit="1" customWidth="1"/>
    <col min="33" max="16384" width="11.453125" style="418"/>
  </cols>
  <sheetData>
    <row r="1" spans="2:23" s="424" customFormat="1" ht="40.9" customHeight="1" thickBot="1">
      <c r="B1" s="514"/>
      <c r="C1" s="514"/>
      <c r="D1" s="514" t="s">
        <v>113</v>
      </c>
      <c r="E1" s="514"/>
      <c r="G1" s="698" t="s">
        <v>417</v>
      </c>
      <c r="H1" s="698"/>
      <c r="I1" s="698"/>
      <c r="J1" s="698"/>
      <c r="K1" s="698"/>
      <c r="L1" s="698"/>
      <c r="M1" s="698"/>
      <c r="N1" s="515"/>
      <c r="P1" s="699" t="s">
        <v>418</v>
      </c>
      <c r="Q1" s="699"/>
      <c r="R1" s="699"/>
      <c r="S1" s="699"/>
      <c r="T1" s="699"/>
      <c r="U1" s="699"/>
      <c r="V1" s="699"/>
      <c r="W1" s="516"/>
    </row>
    <row r="2" spans="2:23" ht="22.9" customHeight="1" thickTop="1">
      <c r="B2" s="517"/>
      <c r="C2" s="517"/>
      <c r="D2" s="517" t="s">
        <v>114</v>
      </c>
      <c r="E2" s="517"/>
      <c r="G2" s="518"/>
      <c r="H2" s="518"/>
      <c r="I2" s="518"/>
      <c r="J2" s="518"/>
      <c r="K2" s="518"/>
      <c r="L2" s="518"/>
      <c r="M2" s="518"/>
      <c r="N2" s="518"/>
      <c r="O2" s="426"/>
      <c r="P2" s="519"/>
      <c r="Q2" s="519"/>
      <c r="R2" s="519"/>
      <c r="S2" s="519"/>
      <c r="T2" s="519"/>
      <c r="U2" s="519"/>
      <c r="V2" s="519"/>
      <c r="W2" s="520"/>
    </row>
    <row r="3" spans="2:23" ht="22.9" customHeight="1">
      <c r="B3" s="517"/>
      <c r="C3" s="517"/>
      <c r="D3" s="521"/>
      <c r="E3" s="521"/>
      <c r="G3" s="518"/>
      <c r="H3" s="518"/>
      <c r="I3" s="518"/>
      <c r="J3" s="518"/>
      <c r="K3" s="518"/>
      <c r="L3" s="518"/>
      <c r="M3" s="518"/>
      <c r="N3" s="518"/>
      <c r="O3" s="426"/>
      <c r="P3" s="519"/>
      <c r="Q3" s="519"/>
      <c r="R3" s="519"/>
      <c r="S3" s="519"/>
      <c r="T3" s="519"/>
      <c r="U3" s="519"/>
      <c r="V3" s="519"/>
      <c r="W3" s="520"/>
    </row>
    <row r="5" spans="2:23">
      <c r="G5" s="425"/>
      <c r="H5" s="425"/>
      <c r="I5" s="425"/>
      <c r="J5" s="425"/>
      <c r="K5" s="425"/>
      <c r="L5" s="425"/>
      <c r="M5" s="425"/>
      <c r="P5" s="425"/>
      <c r="Q5" s="425"/>
      <c r="R5" s="425"/>
      <c r="S5" s="425"/>
      <c r="T5" s="425"/>
      <c r="U5" s="425"/>
      <c r="V5" s="425"/>
    </row>
    <row r="6" spans="2:23" s="415" customFormat="1" ht="41.5" customHeight="1">
      <c r="G6" s="700" t="s">
        <v>416</v>
      </c>
      <c r="H6" s="700"/>
      <c r="I6" s="700"/>
      <c r="J6" s="700"/>
      <c r="K6" s="700"/>
      <c r="L6" s="700"/>
      <c r="M6" s="700"/>
      <c r="N6" s="700"/>
      <c r="P6" s="701" t="s">
        <v>419</v>
      </c>
      <c r="Q6" s="701"/>
      <c r="R6" s="701"/>
      <c r="S6" s="701"/>
      <c r="T6" s="701"/>
      <c r="U6" s="701"/>
      <c r="V6" s="701"/>
      <c r="W6" s="701"/>
    </row>
    <row r="7" spans="2:23" s="523" customFormat="1" ht="18.75" customHeight="1" thickBot="1">
      <c r="B7" s="522"/>
      <c r="C7" s="522"/>
      <c r="D7" s="522"/>
      <c r="E7" s="522"/>
      <c r="G7" s="524"/>
      <c r="H7" s="525">
        <v>0.2</v>
      </c>
      <c r="I7" s="524"/>
      <c r="J7" s="524"/>
      <c r="K7" s="526"/>
      <c r="L7" s="526"/>
      <c r="M7" s="526"/>
      <c r="N7" s="524"/>
      <c r="P7" s="524"/>
      <c r="Q7" s="525">
        <v>0.2</v>
      </c>
      <c r="R7" s="524"/>
      <c r="S7" s="524"/>
      <c r="T7" s="526"/>
      <c r="U7" s="526"/>
      <c r="V7" s="526"/>
      <c r="W7" s="524"/>
    </row>
    <row r="8" spans="2:23" s="424" customFormat="1" ht="42.65" customHeight="1" thickBot="1">
      <c r="B8" s="527"/>
      <c r="C8" s="527"/>
      <c r="D8" s="527"/>
      <c r="E8" s="527"/>
      <c r="F8" s="528" t="s">
        <v>364</v>
      </c>
      <c r="G8" s="529" t="s">
        <v>104</v>
      </c>
      <c r="H8" s="529" t="s">
        <v>105</v>
      </c>
      <c r="I8" s="529" t="s">
        <v>106</v>
      </c>
      <c r="J8" s="529" t="s">
        <v>107</v>
      </c>
      <c r="K8" s="529" t="s">
        <v>108</v>
      </c>
      <c r="L8" s="529" t="s">
        <v>109</v>
      </c>
      <c r="M8" s="529" t="s">
        <v>110</v>
      </c>
      <c r="N8" s="530" t="s">
        <v>64</v>
      </c>
      <c r="P8" s="697" t="s">
        <v>104</v>
      </c>
      <c r="Q8" s="697" t="s">
        <v>105</v>
      </c>
      <c r="R8" s="697" t="s">
        <v>106</v>
      </c>
      <c r="S8" s="697" t="s">
        <v>107</v>
      </c>
      <c r="T8" s="697" t="s">
        <v>108</v>
      </c>
      <c r="U8" s="697" t="s">
        <v>109</v>
      </c>
      <c r="V8" s="697" t="s">
        <v>110</v>
      </c>
      <c r="W8" s="530" t="s">
        <v>64</v>
      </c>
    </row>
    <row r="9" spans="2:23" ht="6.75" customHeight="1" thickTop="1">
      <c r="B9" s="531"/>
      <c r="C9" s="531"/>
      <c r="D9" s="531"/>
      <c r="E9" s="531"/>
      <c r="F9" s="531"/>
      <c r="G9" s="532"/>
      <c r="H9" s="532"/>
      <c r="I9" s="532"/>
      <c r="J9" s="532"/>
      <c r="K9" s="532"/>
      <c r="L9" s="532"/>
      <c r="M9" s="532"/>
      <c r="N9" s="532"/>
      <c r="P9" s="695"/>
      <c r="Q9" s="695"/>
      <c r="R9" s="695"/>
      <c r="S9" s="695"/>
      <c r="T9" s="695"/>
      <c r="U9" s="695"/>
      <c r="V9" s="695"/>
      <c r="W9" s="532"/>
    </row>
    <row r="10" spans="2:23" s="422" customFormat="1" ht="43.9" customHeight="1" outlineLevel="1" thickBot="1">
      <c r="B10" s="533"/>
      <c r="C10" s="533"/>
      <c r="D10" s="533"/>
      <c r="E10" s="533"/>
      <c r="F10" s="533" t="s">
        <v>362</v>
      </c>
      <c r="G10" s="534">
        <f>+Assumptions!N34-'Volume Local_Export'!P10</f>
        <v>5459.52</v>
      </c>
      <c r="H10" s="534">
        <f>+Assumptions!O34-'Volume Local_Export'!Q10</f>
        <v>8189.2800000000007</v>
      </c>
      <c r="I10" s="534">
        <f>+Assumptions!P34-'Volume Local_Export'!R10</f>
        <v>10919.04</v>
      </c>
      <c r="J10" s="534">
        <f>+Assumptions!Q34-'Volume Local_Export'!S10</f>
        <v>13648.8</v>
      </c>
      <c r="K10" s="534">
        <f>+Assumptions!R34-'Volume Local_Export'!T10</f>
        <v>16378.560000000001</v>
      </c>
      <c r="L10" s="534">
        <f>+Assumptions!S34-'Volume Local_Export'!U10</f>
        <v>19108.32</v>
      </c>
      <c r="M10" s="534">
        <f>+Assumptions!T34-'Volume Local_Export'!V10</f>
        <v>21838.080000000002</v>
      </c>
      <c r="N10" s="532"/>
      <c r="P10" s="696">
        <f>+Assumptions!N34*'Volume Local_Export'!$W$10</f>
        <v>1364.88</v>
      </c>
      <c r="Q10" s="696">
        <f>+Assumptions!O34*'Volume Local_Export'!$W$10</f>
        <v>2047.3200000000002</v>
      </c>
      <c r="R10" s="696">
        <f>+Assumptions!P34*'Volume Local_Export'!$W$10</f>
        <v>2729.76</v>
      </c>
      <c r="S10" s="696">
        <f>+Assumptions!Q34*'Volume Local_Export'!$W$10</f>
        <v>3412.2000000000003</v>
      </c>
      <c r="T10" s="696">
        <f>+Assumptions!R34*'Volume Local_Export'!$W$10</f>
        <v>4094.6400000000003</v>
      </c>
      <c r="U10" s="696">
        <f>+Assumptions!S34*'Volume Local_Export'!$W$10</f>
        <v>4777.0800000000008</v>
      </c>
      <c r="V10" s="696">
        <f>+Assumptions!T34*'Volume Local_Export'!$W$10</f>
        <v>5459.52</v>
      </c>
      <c r="W10" s="537">
        <v>0.2</v>
      </c>
    </row>
    <row r="11" spans="2:23" s="422" customFormat="1" ht="43.9" customHeight="1" outlineLevel="1" thickTop="1" thickBot="1">
      <c r="B11" s="533"/>
      <c r="C11" s="533"/>
      <c r="D11" s="533"/>
      <c r="E11" s="533"/>
      <c r="F11" s="533" t="s">
        <v>103</v>
      </c>
      <c r="G11" s="534">
        <f ca="1">+Assumptions!N35-'Volume Local_Export'!P11</f>
        <v>0</v>
      </c>
      <c r="H11" s="534">
        <f ca="1">+Assumptions!O35-'Volume Local_Export'!Q11</f>
        <v>0</v>
      </c>
      <c r="I11" s="534">
        <f ca="1">+Assumptions!P35-'Volume Local_Export'!R11</f>
        <v>0</v>
      </c>
      <c r="J11" s="534">
        <f ca="1">+Assumptions!Q35-'Volume Local_Export'!S11</f>
        <v>0</v>
      </c>
      <c r="K11" s="534">
        <f ca="1">+Assumptions!R35-'Volume Local_Export'!T11</f>
        <v>0</v>
      </c>
      <c r="L11" s="534">
        <f ca="1">+Assumptions!S35-'Volume Local_Export'!U11</f>
        <v>0</v>
      </c>
      <c r="M11" s="534">
        <f ca="1">+Assumptions!T35-'Volume Local_Export'!V11</f>
        <v>0</v>
      </c>
      <c r="N11" s="532"/>
      <c r="P11" s="696">
        <f ca="1">+Assumptions!N35*'Volume Local_Export'!$W$11</f>
        <v>0</v>
      </c>
      <c r="Q11" s="696">
        <f ca="1">+Assumptions!O35*'Volume Local_Export'!$W$11</f>
        <v>0</v>
      </c>
      <c r="R11" s="696">
        <f ca="1">+Assumptions!P35*'Volume Local_Export'!$W$11</f>
        <v>0</v>
      </c>
      <c r="S11" s="696">
        <f ca="1">+Assumptions!Q35*'Volume Local_Export'!$W$11</f>
        <v>0</v>
      </c>
      <c r="T11" s="696">
        <f ca="1">+Assumptions!R35*'Volume Local_Export'!$W$11</f>
        <v>0</v>
      </c>
      <c r="U11" s="696">
        <f ca="1">+Assumptions!S35*'Volume Local_Export'!$W$11</f>
        <v>0</v>
      </c>
      <c r="V11" s="696">
        <f ca="1">+Assumptions!T35*'Volume Local_Export'!$W$11</f>
        <v>0</v>
      </c>
      <c r="W11" s="537">
        <v>0.2</v>
      </c>
    </row>
    <row r="12" spans="2:23" s="422" customFormat="1" ht="43.9" customHeight="1" outlineLevel="1" thickTop="1" thickBot="1">
      <c r="B12" s="533"/>
      <c r="C12" s="533"/>
      <c r="D12" s="533"/>
      <c r="E12" s="533"/>
      <c r="F12" s="533" t="s">
        <v>431</v>
      </c>
      <c r="G12" s="534">
        <f>+Assumptions!N36-'Volume Local_Export'!P12</f>
        <v>2516.8000000000002</v>
      </c>
      <c r="H12" s="534">
        <f>+Assumptions!O36-'Volume Local_Export'!Q12</f>
        <v>3775.2</v>
      </c>
      <c r="I12" s="534">
        <f>+Assumptions!P36-'Volume Local_Export'!R12</f>
        <v>5033.6000000000004</v>
      </c>
      <c r="J12" s="534">
        <f>+Assumptions!Q36-'Volume Local_Export'!S12</f>
        <v>6292</v>
      </c>
      <c r="K12" s="534">
        <f>+Assumptions!R36-'Volume Local_Export'!T12</f>
        <v>7550.4</v>
      </c>
      <c r="L12" s="534">
        <f>+Assumptions!S36-'Volume Local_Export'!U12</f>
        <v>8808.7999999999993</v>
      </c>
      <c r="M12" s="534">
        <f>+Assumptions!T36-'Volume Local_Export'!V12</f>
        <v>10067.200000000001</v>
      </c>
      <c r="N12" s="532"/>
      <c r="P12" s="696">
        <f>+Assumptions!N36*'Volume Local_Export'!$W$12</f>
        <v>629.20000000000005</v>
      </c>
      <c r="Q12" s="696">
        <f>+Assumptions!O36*'Volume Local_Export'!$W$12</f>
        <v>943.80000000000007</v>
      </c>
      <c r="R12" s="696">
        <f>+Assumptions!P36*'Volume Local_Export'!$W$12</f>
        <v>1258.4000000000001</v>
      </c>
      <c r="S12" s="696">
        <f>+Assumptions!Q36*'Volume Local_Export'!$W$12</f>
        <v>1573</v>
      </c>
      <c r="T12" s="696">
        <f>+Assumptions!R36*'Volume Local_Export'!$W$12</f>
        <v>1887.6000000000001</v>
      </c>
      <c r="U12" s="696">
        <f>+Assumptions!S36*'Volume Local_Export'!$W$12</f>
        <v>2202.2000000000003</v>
      </c>
      <c r="V12" s="696">
        <f>+Assumptions!T36*'Volume Local_Export'!$W$12</f>
        <v>2516.8000000000002</v>
      </c>
      <c r="W12" s="537">
        <v>0.2</v>
      </c>
    </row>
    <row r="13" spans="2:23" s="422" customFormat="1" ht="43.9" customHeight="1" outlineLevel="1" thickTop="1" thickBot="1">
      <c r="B13" s="533"/>
      <c r="C13" s="533"/>
      <c r="D13" s="533"/>
      <c r="E13" s="533"/>
      <c r="F13" s="533" t="s">
        <v>307</v>
      </c>
      <c r="G13" s="534">
        <f ca="1">+Assumptions!N33-'Volume Local_Export'!P13</f>
        <v>0</v>
      </c>
      <c r="H13" s="534">
        <f ca="1">+Assumptions!O33-'Volume Local_Export'!Q13</f>
        <v>0</v>
      </c>
      <c r="I13" s="534">
        <f ca="1">+Assumptions!P33-'Volume Local_Export'!R13</f>
        <v>0</v>
      </c>
      <c r="J13" s="534">
        <f ca="1">+Assumptions!Q33-'Volume Local_Export'!S13</f>
        <v>0</v>
      </c>
      <c r="K13" s="534">
        <f ca="1">+Assumptions!R33-'Volume Local_Export'!T13</f>
        <v>0</v>
      </c>
      <c r="L13" s="534">
        <f ca="1">+Assumptions!S33-'Volume Local_Export'!U13</f>
        <v>0</v>
      </c>
      <c r="M13" s="534">
        <f ca="1">+Assumptions!T33-'Volume Local_Export'!V13</f>
        <v>0</v>
      </c>
      <c r="N13" s="532"/>
      <c r="P13" s="696">
        <f ca="1">+Assumptions!N33*'Volume Local_Export'!$W$13</f>
        <v>0</v>
      </c>
      <c r="Q13" s="696">
        <f ca="1">+Assumptions!O33*'Volume Local_Export'!$W$13</f>
        <v>0</v>
      </c>
      <c r="R13" s="696">
        <f ca="1">+Assumptions!P33*'Volume Local_Export'!$W$13</f>
        <v>0</v>
      </c>
      <c r="S13" s="696">
        <f ca="1">+Assumptions!Q33*'Volume Local_Export'!$W$13</f>
        <v>0</v>
      </c>
      <c r="T13" s="696">
        <f ca="1">+Assumptions!R33*'Volume Local_Export'!$W$13</f>
        <v>0</v>
      </c>
      <c r="U13" s="696">
        <f ca="1">+Assumptions!S33*'Volume Local_Export'!$W$13</f>
        <v>0</v>
      </c>
      <c r="V13" s="696">
        <f ca="1">+Assumptions!T33*'Volume Local_Export'!$W$13</f>
        <v>0</v>
      </c>
      <c r="W13" s="537">
        <v>0.2</v>
      </c>
    </row>
    <row r="14" spans="2:23" s="422" customFormat="1" ht="43.9" customHeight="1" outlineLevel="1" thickTop="1" thickBot="1">
      <c r="B14" s="533"/>
      <c r="C14" s="533"/>
      <c r="D14" s="533"/>
      <c r="E14" s="533"/>
      <c r="F14" s="533" t="s">
        <v>112</v>
      </c>
      <c r="G14" s="534">
        <f ca="1">(G13+(G10+P10)*#REF!+('Volume Local_Export'!G11+P11)*#REF!)</f>
        <v>6195.9560000000001</v>
      </c>
      <c r="H14" s="534">
        <f ca="1">(H13+(H10+Q10)*#REF!+('Volume Local_Export'!H11+Q11)*#REF!)</f>
        <v>9293.9340000000011</v>
      </c>
      <c r="I14" s="534">
        <f ca="1">(I13+(I10+R10)*#REF!+('Volume Local_Export'!I11+R11)*#REF!)</f>
        <v>12390.400000000001</v>
      </c>
      <c r="J14" s="534">
        <f ca="1">(J13+(J10+S10)*#REF!+('Volume Local_Export'!J11+S11)*#REF!)</f>
        <v>15489.890000000001</v>
      </c>
      <c r="K14" s="534">
        <f ca="1">(K13+(K10+T10)*#REF!+('Volume Local_Export'!K11+T11)*#REF!)</f>
        <v>18585.600000000002</v>
      </c>
      <c r="L14" s="534">
        <f ca="1">(L13+(L10+U10)*#REF!+('Volume Local_Export'!L11+U11)*#REF!)</f>
        <v>21685.846000000001</v>
      </c>
      <c r="M14" s="534">
        <f ca="1">(M13+(M10+V10)*#REF!+('Volume Local_Export'!M11+V11)*#REF!)</f>
        <v>24780.800000000003</v>
      </c>
      <c r="N14" s="532"/>
      <c r="P14" s="696">
        <f ca="1">+P13</f>
        <v>0</v>
      </c>
      <c r="Q14" s="696">
        <f t="shared" ref="Q14:V14" ca="1" si="0">+Q13</f>
        <v>0</v>
      </c>
      <c r="R14" s="696">
        <f t="shared" ca="1" si="0"/>
        <v>0</v>
      </c>
      <c r="S14" s="696">
        <f t="shared" ca="1" si="0"/>
        <v>0</v>
      </c>
      <c r="T14" s="696">
        <f t="shared" ca="1" si="0"/>
        <v>0</v>
      </c>
      <c r="U14" s="696">
        <f t="shared" ca="1" si="0"/>
        <v>0</v>
      </c>
      <c r="V14" s="696">
        <f t="shared" ca="1" si="0"/>
        <v>0</v>
      </c>
      <c r="W14" s="537"/>
    </row>
    <row r="15" spans="2:23" ht="29" outlineLevel="1" thickTop="1">
      <c r="B15" s="531"/>
      <c r="C15" s="531"/>
      <c r="D15" s="531"/>
      <c r="E15" s="531"/>
      <c r="F15" s="531"/>
      <c r="G15" s="532"/>
      <c r="H15" s="532"/>
      <c r="I15" s="532"/>
      <c r="J15" s="532"/>
      <c r="K15" s="532"/>
      <c r="L15" s="532"/>
      <c r="M15" s="532"/>
      <c r="N15" s="532"/>
      <c r="P15" s="532"/>
      <c r="Q15" s="532"/>
      <c r="R15" s="532"/>
      <c r="S15" s="532"/>
      <c r="T15" s="532"/>
      <c r="U15" s="532"/>
      <c r="V15" s="532"/>
      <c r="W15" s="532"/>
    </row>
    <row r="16" spans="2:23" s="421" customFormat="1" ht="52.15" customHeight="1" outlineLevel="1" thickBot="1">
      <c r="B16" s="535"/>
      <c r="C16" s="535"/>
      <c r="D16" s="535"/>
      <c r="E16" s="535"/>
      <c r="F16" s="535" t="s">
        <v>175</v>
      </c>
      <c r="G16" s="536">
        <f ca="1">SUM(G10:G12)+G14</f>
        <v>15125.044</v>
      </c>
      <c r="H16" s="536">
        <f t="shared" ref="H16:M16" ca="1" si="1">SUM(H10:H12)+H14</f>
        <v>22687.565999999999</v>
      </c>
      <c r="I16" s="536">
        <f t="shared" ca="1" si="1"/>
        <v>30294.528000000006</v>
      </c>
      <c r="J16" s="536">
        <f t="shared" ca="1" si="1"/>
        <v>37812.61</v>
      </c>
      <c r="K16" s="536">
        <f t="shared" ca="1" si="1"/>
        <v>45441.792000000001</v>
      </c>
      <c r="L16" s="536">
        <f t="shared" ca="1" si="1"/>
        <v>52937.65400000001</v>
      </c>
      <c r="M16" s="536">
        <f t="shared" ca="1" si="1"/>
        <v>60589.056000000011</v>
      </c>
      <c r="N16" s="532"/>
      <c r="P16" s="536">
        <f t="shared" ref="P16:V16" ca="1" si="2">SUM(P10:P13)</f>
        <v>1994.0800000000002</v>
      </c>
      <c r="Q16" s="536">
        <f t="shared" ca="1" si="2"/>
        <v>2991.1200000000003</v>
      </c>
      <c r="R16" s="536">
        <f t="shared" ca="1" si="2"/>
        <v>3988.1600000000003</v>
      </c>
      <c r="S16" s="536">
        <f t="shared" ca="1" si="2"/>
        <v>4985.2000000000007</v>
      </c>
      <c r="T16" s="536">
        <f t="shared" ca="1" si="2"/>
        <v>5982.2400000000007</v>
      </c>
      <c r="U16" s="536">
        <f t="shared" ca="1" si="2"/>
        <v>6979.2800000000007</v>
      </c>
      <c r="V16" s="536">
        <f t="shared" ca="1" si="2"/>
        <v>7976.3200000000006</v>
      </c>
      <c r="W16" s="532"/>
    </row>
    <row r="17" spans="2:25" ht="29" thickTop="1">
      <c r="B17" s="531"/>
      <c r="C17" s="531"/>
      <c r="D17" s="531"/>
      <c r="E17" s="531"/>
      <c r="F17" s="531"/>
      <c r="G17" s="537">
        <f ca="1">+G16/Volume!G16</f>
        <v>0.87139301951983827</v>
      </c>
      <c r="H17" s="537">
        <f ca="1">+H16/Volume!H16</f>
        <v>0.87139301951983805</v>
      </c>
      <c r="I17" s="537">
        <f ca="1">+I16/Volume!I16</f>
        <v>0.87126948775055668</v>
      </c>
      <c r="J17" s="537">
        <f ca="1">+J16/Volume!J16</f>
        <v>0.87139301951983816</v>
      </c>
      <c r="K17" s="537">
        <f ca="1">+K16/Volume!K16</f>
        <v>0.87126948775055668</v>
      </c>
      <c r="L17" s="537">
        <f ca="1">+L16/Volume!L16</f>
        <v>0.87139301951983839</v>
      </c>
      <c r="M17" s="537">
        <f ca="1">+M16/Volume!M16</f>
        <v>0.87126948775055668</v>
      </c>
      <c r="N17" s="532"/>
      <c r="P17" s="537">
        <f ca="1">+P16/Volume!G16</f>
        <v>0.12860698048016184</v>
      </c>
      <c r="Q17" s="537">
        <f ca="1">+Q16/Volume!H16</f>
        <v>0.12860698048016181</v>
      </c>
      <c r="R17" s="537">
        <f ca="1">+R16/Volume!I16</f>
        <v>0.12873051224944321</v>
      </c>
      <c r="S17" s="537">
        <f ca="1">+S16/Volume!J16</f>
        <v>0.12860698048016181</v>
      </c>
      <c r="T17" s="537">
        <f ca="1">+T16/Volume!K16</f>
        <v>0.12873051224944318</v>
      </c>
      <c r="U17" s="537">
        <f ca="1">+U16/Volume!L16</f>
        <v>0.12860698048016181</v>
      </c>
      <c r="V17" s="537">
        <f ca="1">+V16/Volume!M16</f>
        <v>0.12873051224944321</v>
      </c>
      <c r="W17" s="537"/>
    </row>
    <row r="18" spans="2:25" ht="29" thickBot="1">
      <c r="G18" s="423"/>
      <c r="H18" s="423"/>
      <c r="I18" s="423"/>
      <c r="J18" s="423"/>
      <c r="K18" s="538"/>
      <c r="L18" s="538"/>
      <c r="M18" s="538"/>
      <c r="N18" s="423"/>
      <c r="P18" s="423"/>
      <c r="Q18" s="423"/>
      <c r="R18" s="423"/>
      <c r="S18" s="423"/>
      <c r="T18" s="538"/>
      <c r="U18" s="538"/>
      <c r="V18" s="538"/>
      <c r="W18" s="423"/>
    </row>
    <row r="19" spans="2:25" s="424" customFormat="1" ht="42.65" customHeight="1" thickBot="1">
      <c r="B19" s="527"/>
      <c r="C19" s="527"/>
      <c r="D19" s="527"/>
      <c r="E19" s="527"/>
      <c r="F19" s="528" t="s">
        <v>365</v>
      </c>
      <c r="G19" s="529" t="s">
        <v>104</v>
      </c>
      <c r="H19" s="529" t="s">
        <v>105</v>
      </c>
      <c r="I19" s="529" t="s">
        <v>106</v>
      </c>
      <c r="J19" s="529" t="s">
        <v>107</v>
      </c>
      <c r="K19" s="529" t="s">
        <v>108</v>
      </c>
      <c r="L19" s="529" t="s">
        <v>109</v>
      </c>
      <c r="M19" s="529" t="s">
        <v>110</v>
      </c>
      <c r="N19" s="530" t="s">
        <v>64</v>
      </c>
      <c r="P19" s="529" t="s">
        <v>104</v>
      </c>
      <c r="Q19" s="529" t="s">
        <v>105</v>
      </c>
      <c r="R19" s="529" t="s">
        <v>106</v>
      </c>
      <c r="S19" s="529" t="s">
        <v>107</v>
      </c>
      <c r="T19" s="529" t="s">
        <v>108</v>
      </c>
      <c r="U19" s="529" t="s">
        <v>109</v>
      </c>
      <c r="V19" s="529" t="s">
        <v>110</v>
      </c>
      <c r="W19" s="530" t="s">
        <v>64</v>
      </c>
      <c r="Y19" s="529" t="s">
        <v>426</v>
      </c>
    </row>
    <row r="20" spans="2:25" ht="29" thickTop="1">
      <c r="D20" s="531"/>
      <c r="E20" s="531"/>
      <c r="F20" s="531"/>
      <c r="G20" s="532"/>
      <c r="H20" s="532"/>
      <c r="I20" s="532"/>
      <c r="J20" s="532"/>
      <c r="K20" s="532"/>
      <c r="L20" s="532"/>
      <c r="M20" s="532"/>
      <c r="N20" s="532"/>
      <c r="P20" s="532"/>
      <c r="Q20" s="532"/>
      <c r="R20" s="532"/>
      <c r="S20" s="532"/>
      <c r="T20" s="532"/>
      <c r="U20" s="532"/>
      <c r="V20" s="532"/>
      <c r="W20" s="532"/>
    </row>
    <row r="21" spans="2:25" s="422" customFormat="1" ht="33" customHeight="1" outlineLevel="1" thickBot="1">
      <c r="B21" s="539"/>
      <c r="C21" s="539"/>
      <c r="D21" s="539"/>
      <c r="E21" s="539"/>
      <c r="F21" s="539" t="s">
        <v>362</v>
      </c>
      <c r="G21" s="540">
        <f>+Assumptions!E34</f>
        <v>2450</v>
      </c>
      <c r="H21" s="540">
        <f>+Assumptions!F44</f>
        <v>2450</v>
      </c>
      <c r="I21" s="540">
        <f>+Assumptions!G44</f>
        <v>2450</v>
      </c>
      <c r="J21" s="540">
        <f>+Assumptions!H44</f>
        <v>2450</v>
      </c>
      <c r="K21" s="540">
        <f>+Assumptions!I44</f>
        <v>2450</v>
      </c>
      <c r="L21" s="540">
        <f>+Assumptions!J44</f>
        <v>2450</v>
      </c>
      <c r="M21" s="540">
        <f>+Assumptions!K44</f>
        <v>2450</v>
      </c>
      <c r="N21" s="541"/>
      <c r="P21" s="542">
        <f>+$Y$21</f>
        <v>800</v>
      </c>
      <c r="Q21" s="542">
        <f t="shared" ref="Q21:V21" si="3">+$Y$21</f>
        <v>800</v>
      </c>
      <c r="R21" s="542">
        <f t="shared" si="3"/>
        <v>800</v>
      </c>
      <c r="S21" s="542">
        <f t="shared" si="3"/>
        <v>800</v>
      </c>
      <c r="T21" s="542">
        <f t="shared" si="3"/>
        <v>800</v>
      </c>
      <c r="U21" s="542">
        <f t="shared" si="3"/>
        <v>800</v>
      </c>
      <c r="V21" s="542">
        <f t="shared" si="3"/>
        <v>800</v>
      </c>
      <c r="W21" s="541"/>
      <c r="Y21" s="542">
        <v>800</v>
      </c>
    </row>
    <row r="22" spans="2:25" s="422" customFormat="1" ht="33" customHeight="1" outlineLevel="1" thickTop="1" thickBot="1">
      <c r="B22" s="539"/>
      <c r="C22" s="539"/>
      <c r="D22" s="539"/>
      <c r="E22" s="539"/>
      <c r="F22" s="539" t="s">
        <v>103</v>
      </c>
      <c r="G22" s="540">
        <f>+Assumptions!E35</f>
        <v>2300</v>
      </c>
      <c r="H22" s="540">
        <f>+Assumptions!F45</f>
        <v>2300</v>
      </c>
      <c r="I22" s="540">
        <f>+Assumptions!G45</f>
        <v>2300</v>
      </c>
      <c r="J22" s="540">
        <f>+Assumptions!H45</f>
        <v>2300</v>
      </c>
      <c r="K22" s="540">
        <f>+Assumptions!I45</f>
        <v>2300</v>
      </c>
      <c r="L22" s="540">
        <f>+Assumptions!J45</f>
        <v>2300</v>
      </c>
      <c r="M22" s="540">
        <f>+Assumptions!K45</f>
        <v>2300</v>
      </c>
      <c r="N22" s="532"/>
      <c r="P22" s="542">
        <f>+$Y$22</f>
        <v>805</v>
      </c>
      <c r="Q22" s="542">
        <f t="shared" ref="Q22:V22" si="4">+$Y$22</f>
        <v>805</v>
      </c>
      <c r="R22" s="542">
        <f t="shared" si="4"/>
        <v>805</v>
      </c>
      <c r="S22" s="542">
        <f t="shared" si="4"/>
        <v>805</v>
      </c>
      <c r="T22" s="542">
        <f t="shared" si="4"/>
        <v>805</v>
      </c>
      <c r="U22" s="542">
        <f t="shared" si="4"/>
        <v>805</v>
      </c>
      <c r="V22" s="542">
        <f t="shared" si="4"/>
        <v>805</v>
      </c>
      <c r="W22" s="532"/>
      <c r="Y22" s="542">
        <v>805</v>
      </c>
    </row>
    <row r="23" spans="2:25" s="422" customFormat="1" ht="33" customHeight="1" outlineLevel="1" thickTop="1" thickBot="1">
      <c r="B23" s="539"/>
      <c r="C23" s="539"/>
      <c r="D23" s="539"/>
      <c r="E23" s="539"/>
      <c r="F23" s="539" t="s">
        <v>431</v>
      </c>
      <c r="G23" s="540">
        <f>+Assumptions!E36</f>
        <v>2400</v>
      </c>
      <c r="H23" s="540">
        <f>+Assumptions!F46</f>
        <v>2400</v>
      </c>
      <c r="I23" s="540">
        <f>+Assumptions!G46</f>
        <v>2400</v>
      </c>
      <c r="J23" s="540">
        <f>+Assumptions!H46</f>
        <v>2400</v>
      </c>
      <c r="K23" s="540">
        <f>+Assumptions!I46</f>
        <v>2400</v>
      </c>
      <c r="L23" s="540">
        <f>+Assumptions!J46</f>
        <v>2400</v>
      </c>
      <c r="M23" s="540">
        <f>+Assumptions!K46</f>
        <v>2400</v>
      </c>
      <c r="N23" s="532"/>
      <c r="P23" s="542">
        <f>+$Y$23</f>
        <v>805</v>
      </c>
      <c r="Q23" s="542">
        <f t="shared" ref="Q23:V23" si="5">+$Y$23</f>
        <v>805</v>
      </c>
      <c r="R23" s="542">
        <f t="shared" si="5"/>
        <v>805</v>
      </c>
      <c r="S23" s="542">
        <f t="shared" si="5"/>
        <v>805</v>
      </c>
      <c r="T23" s="542">
        <f t="shared" si="5"/>
        <v>805</v>
      </c>
      <c r="U23" s="542">
        <f t="shared" si="5"/>
        <v>805</v>
      </c>
      <c r="V23" s="542">
        <f t="shared" si="5"/>
        <v>805</v>
      </c>
      <c r="W23" s="532"/>
      <c r="Y23" s="542">
        <v>805</v>
      </c>
    </row>
    <row r="24" spans="2:25" s="422" customFormat="1" ht="33" customHeight="1" outlineLevel="1" thickTop="1" thickBot="1">
      <c r="B24" s="539"/>
      <c r="C24" s="539"/>
      <c r="D24" s="539"/>
      <c r="E24" s="539"/>
      <c r="F24" s="539" t="s">
        <v>366</v>
      </c>
      <c r="G24" s="540" t="e">
        <f>+#REF!</f>
        <v>#REF!</v>
      </c>
      <c r="H24" s="540" t="e">
        <f>+#REF!</f>
        <v>#REF!</v>
      </c>
      <c r="I24" s="540" t="e">
        <f>+#REF!</f>
        <v>#REF!</v>
      </c>
      <c r="J24" s="540" t="e">
        <f>+#REF!</f>
        <v>#REF!</v>
      </c>
      <c r="K24" s="540" t="e">
        <f>+#REF!</f>
        <v>#REF!</v>
      </c>
      <c r="L24" s="540" t="e">
        <f>+#REF!</f>
        <v>#REF!</v>
      </c>
      <c r="M24" s="540" t="e">
        <f>+#REF!</f>
        <v>#REF!</v>
      </c>
      <c r="N24" s="532"/>
      <c r="P24" s="543" t="e">
        <f>+G24</f>
        <v>#REF!</v>
      </c>
      <c r="Q24" s="543" t="e">
        <f t="shared" ref="Q24:V24" si="6">+H24</f>
        <v>#REF!</v>
      </c>
      <c r="R24" s="543" t="e">
        <f t="shared" si="6"/>
        <v>#REF!</v>
      </c>
      <c r="S24" s="543" t="e">
        <f t="shared" si="6"/>
        <v>#REF!</v>
      </c>
      <c r="T24" s="543" t="e">
        <f t="shared" si="6"/>
        <v>#REF!</v>
      </c>
      <c r="U24" s="543" t="e">
        <f t="shared" si="6"/>
        <v>#REF!</v>
      </c>
      <c r="V24" s="543" t="e">
        <f t="shared" si="6"/>
        <v>#REF!</v>
      </c>
      <c r="W24" s="532"/>
      <c r="Y24" s="544"/>
    </row>
    <row r="25" spans="2:25" s="422" customFormat="1" ht="33" customHeight="1" outlineLevel="1" thickTop="1" thickBot="1">
      <c r="B25" s="539"/>
      <c r="C25" s="539"/>
      <c r="D25" s="539"/>
      <c r="E25" s="539"/>
      <c r="F25" s="539" t="s">
        <v>367</v>
      </c>
      <c r="G25" s="540">
        <f>+Assumptions!E43</f>
        <v>2000</v>
      </c>
      <c r="H25" s="540">
        <f>+Assumptions!F43</f>
        <v>2000</v>
      </c>
      <c r="I25" s="540">
        <f>+Assumptions!G43</f>
        <v>2000</v>
      </c>
      <c r="J25" s="540">
        <f>+Assumptions!H43</f>
        <v>2000</v>
      </c>
      <c r="K25" s="540">
        <f>+Assumptions!I43</f>
        <v>2000</v>
      </c>
      <c r="L25" s="540">
        <f>+Assumptions!J43</f>
        <v>2000</v>
      </c>
      <c r="M25" s="540">
        <f>+Assumptions!K43</f>
        <v>2000</v>
      </c>
      <c r="N25" s="532"/>
      <c r="P25" s="542">
        <f>+$Y$25</f>
        <v>615</v>
      </c>
      <c r="Q25" s="542">
        <f t="shared" ref="Q25:V25" si="7">+$Y$25</f>
        <v>615</v>
      </c>
      <c r="R25" s="542">
        <f t="shared" si="7"/>
        <v>615</v>
      </c>
      <c r="S25" s="542">
        <f t="shared" si="7"/>
        <v>615</v>
      </c>
      <c r="T25" s="542">
        <f t="shared" si="7"/>
        <v>615</v>
      </c>
      <c r="U25" s="542">
        <f t="shared" si="7"/>
        <v>615</v>
      </c>
      <c r="V25" s="542">
        <f t="shared" si="7"/>
        <v>615</v>
      </c>
      <c r="W25" s="532"/>
      <c r="Y25" s="542">
        <v>615</v>
      </c>
    </row>
    <row r="26" spans="2:25" ht="29" thickTop="1">
      <c r="D26" s="531"/>
      <c r="E26" s="531"/>
      <c r="F26" s="531"/>
      <c r="G26" s="532"/>
      <c r="H26" s="532"/>
      <c r="I26" s="532"/>
      <c r="J26" s="532"/>
      <c r="K26" s="532"/>
      <c r="L26" s="532"/>
      <c r="M26" s="532"/>
      <c r="N26" s="532"/>
      <c r="P26" s="532"/>
      <c r="Q26" s="532"/>
      <c r="R26" s="532"/>
      <c r="S26" s="532"/>
      <c r="T26" s="532"/>
      <c r="U26" s="532"/>
      <c r="V26" s="532"/>
      <c r="W26" s="532"/>
    </row>
    <row r="27" spans="2:25" s="421" customFormat="1" ht="52.15" customHeight="1" outlineLevel="1" thickBot="1">
      <c r="B27" s="535"/>
      <c r="C27" s="535"/>
      <c r="D27" s="535"/>
      <c r="E27" s="535"/>
      <c r="F27" s="535" t="s">
        <v>175</v>
      </c>
      <c r="G27" s="536"/>
      <c r="H27" s="536"/>
      <c r="I27" s="536"/>
      <c r="J27" s="536"/>
      <c r="K27" s="536"/>
      <c r="L27" s="536"/>
      <c r="M27" s="536"/>
      <c r="N27" s="532"/>
      <c r="P27" s="536"/>
      <c r="Q27" s="536"/>
      <c r="R27" s="536"/>
      <c r="S27" s="536"/>
      <c r="T27" s="536"/>
      <c r="U27" s="536"/>
      <c r="V27" s="536"/>
      <c r="W27" s="532"/>
    </row>
    <row r="28" spans="2:25" ht="29" thickTop="1"/>
    <row r="29" spans="2:25" s="545" customFormat="1" ht="29" thickBot="1">
      <c r="D29" s="522"/>
      <c r="E29" s="522"/>
      <c r="F29" s="523"/>
      <c r="G29" s="524"/>
      <c r="H29" s="524"/>
      <c r="I29" s="524"/>
      <c r="J29" s="524"/>
      <c r="K29" s="526"/>
      <c r="L29" s="526"/>
      <c r="M29" s="526"/>
      <c r="N29" s="524"/>
      <c r="P29" s="524"/>
      <c r="Q29" s="524"/>
      <c r="R29" s="524"/>
      <c r="S29" s="524"/>
      <c r="T29" s="526"/>
      <c r="U29" s="526"/>
      <c r="V29" s="526"/>
      <c r="W29" s="524"/>
    </row>
    <row r="30" spans="2:25" s="424" customFormat="1" ht="42.65" customHeight="1" thickBot="1">
      <c r="B30" s="527"/>
      <c r="C30" s="527"/>
      <c r="D30" s="527"/>
      <c r="E30" s="527"/>
      <c r="F30" s="528" t="s">
        <v>99</v>
      </c>
      <c r="G30" s="529" t="s">
        <v>104</v>
      </c>
      <c r="H30" s="529" t="s">
        <v>105</v>
      </c>
      <c r="I30" s="529" t="s">
        <v>106</v>
      </c>
      <c r="J30" s="529" t="s">
        <v>107</v>
      </c>
      <c r="K30" s="529" t="s">
        <v>108</v>
      </c>
      <c r="L30" s="529" t="s">
        <v>109</v>
      </c>
      <c r="M30" s="529" t="s">
        <v>110</v>
      </c>
      <c r="N30" s="530" t="s">
        <v>64</v>
      </c>
      <c r="P30" s="529" t="s">
        <v>104</v>
      </c>
      <c r="Q30" s="529" t="s">
        <v>105</v>
      </c>
      <c r="R30" s="529" t="s">
        <v>106</v>
      </c>
      <c r="S30" s="529" t="s">
        <v>107</v>
      </c>
      <c r="T30" s="529" t="s">
        <v>108</v>
      </c>
      <c r="U30" s="529" t="s">
        <v>109</v>
      </c>
      <c r="V30" s="529" t="s">
        <v>110</v>
      </c>
      <c r="W30" s="530" t="s">
        <v>64</v>
      </c>
    </row>
    <row r="31" spans="2:25" ht="29" thickTop="1">
      <c r="D31" s="531"/>
      <c r="E31" s="531"/>
      <c r="F31" s="531"/>
      <c r="G31" s="532"/>
      <c r="H31" s="532"/>
      <c r="I31" s="532"/>
      <c r="J31" s="532"/>
      <c r="K31" s="532"/>
      <c r="L31" s="532"/>
      <c r="M31" s="532"/>
      <c r="N31" s="532" t="s">
        <v>420</v>
      </c>
      <c r="P31" s="546">
        <v>3.5</v>
      </c>
      <c r="Q31" s="546">
        <v>3.5</v>
      </c>
      <c r="R31" s="546">
        <v>3.5</v>
      </c>
      <c r="S31" s="546">
        <v>3.5</v>
      </c>
      <c r="T31" s="546">
        <v>3.5</v>
      </c>
      <c r="U31" s="546">
        <v>3.5</v>
      </c>
      <c r="V31" s="546">
        <v>3.5</v>
      </c>
      <c r="W31" s="532"/>
    </row>
    <row r="32" spans="2:25" s="422" customFormat="1" ht="31.9" customHeight="1" outlineLevel="1" thickBot="1">
      <c r="B32" s="539"/>
      <c r="C32" s="539"/>
      <c r="D32" s="539"/>
      <c r="E32" s="539"/>
      <c r="F32" s="539" t="s">
        <v>362</v>
      </c>
      <c r="G32" s="540">
        <f>+G21*G10</f>
        <v>13375824.000000002</v>
      </c>
      <c r="H32" s="540">
        <f t="shared" ref="H32:M32" si="8">+H21*H10</f>
        <v>20063736</v>
      </c>
      <c r="I32" s="540">
        <f t="shared" si="8"/>
        <v>26751648.000000004</v>
      </c>
      <c r="J32" s="540">
        <f t="shared" si="8"/>
        <v>33439560</v>
      </c>
      <c r="K32" s="540">
        <f t="shared" si="8"/>
        <v>40127472</v>
      </c>
      <c r="L32" s="540">
        <f t="shared" si="8"/>
        <v>46815384</v>
      </c>
      <c r="M32" s="540">
        <f t="shared" si="8"/>
        <v>53503296.000000007</v>
      </c>
      <c r="N32" s="532"/>
      <c r="P32" s="540">
        <f>+P21*P10*P$31</f>
        <v>3821664</v>
      </c>
      <c r="Q32" s="540">
        <f t="shared" ref="Q32:V32" si="9">+Q21*Q10*Q$31</f>
        <v>5732496.0000000009</v>
      </c>
      <c r="R32" s="540">
        <f t="shared" si="9"/>
        <v>7643328</v>
      </c>
      <c r="S32" s="540">
        <f t="shared" si="9"/>
        <v>9554160</v>
      </c>
      <c r="T32" s="540">
        <f t="shared" si="9"/>
        <v>11464992.000000002</v>
      </c>
      <c r="U32" s="540">
        <f t="shared" si="9"/>
        <v>13375824.000000002</v>
      </c>
      <c r="V32" s="540">
        <f t="shared" si="9"/>
        <v>15286656</v>
      </c>
      <c r="W32" s="532"/>
    </row>
    <row r="33" spans="2:32" s="422" customFormat="1" ht="31.9" customHeight="1" outlineLevel="1" thickTop="1" thickBot="1">
      <c r="B33" s="539"/>
      <c r="C33" s="539"/>
      <c r="D33" s="539"/>
      <c r="E33" s="539"/>
      <c r="F33" s="539" t="s">
        <v>103</v>
      </c>
      <c r="G33" s="540">
        <f ca="1">+G22*G11</f>
        <v>0</v>
      </c>
      <c r="H33" s="540">
        <f t="shared" ref="H33:M34" ca="1" si="10">+H22*H11</f>
        <v>0</v>
      </c>
      <c r="I33" s="540">
        <f t="shared" ca="1" si="10"/>
        <v>142489.60000001098</v>
      </c>
      <c r="J33" s="540">
        <f t="shared" ca="1" si="10"/>
        <v>0</v>
      </c>
      <c r="K33" s="540">
        <f t="shared" ca="1" si="10"/>
        <v>213734.39999999973</v>
      </c>
      <c r="L33" s="540">
        <f t="shared" ca="1" si="10"/>
        <v>0</v>
      </c>
      <c r="M33" s="540">
        <f t="shared" ca="1" si="10"/>
        <v>284979.20000002196</v>
      </c>
      <c r="N33" s="532"/>
      <c r="P33" s="540">
        <f ca="1">+P11*P22*P31</f>
        <v>0</v>
      </c>
      <c r="Q33" s="540">
        <f t="shared" ref="Q33:V33" ca="1" si="11">+Q11*Q22*Q31</f>
        <v>0</v>
      </c>
      <c r="R33" s="540">
        <f t="shared" ca="1" si="11"/>
        <v>0</v>
      </c>
      <c r="S33" s="540">
        <f t="shared" ca="1" si="11"/>
        <v>0</v>
      </c>
      <c r="T33" s="540">
        <f t="shared" ca="1" si="11"/>
        <v>0</v>
      </c>
      <c r="U33" s="540">
        <f t="shared" ca="1" si="11"/>
        <v>0</v>
      </c>
      <c r="V33" s="540">
        <f t="shared" ca="1" si="11"/>
        <v>0</v>
      </c>
      <c r="W33" s="532"/>
    </row>
    <row r="34" spans="2:32" s="422" customFormat="1" ht="31.9" customHeight="1" outlineLevel="1" thickTop="1" thickBot="1">
      <c r="B34" s="539"/>
      <c r="C34" s="539"/>
      <c r="D34" s="539"/>
      <c r="E34" s="539"/>
      <c r="F34" s="539" t="s">
        <v>431</v>
      </c>
      <c r="G34" s="540">
        <f>+G23*G12</f>
        <v>6040320</v>
      </c>
      <c r="H34" s="540">
        <f t="shared" si="10"/>
        <v>9060480</v>
      </c>
      <c r="I34" s="540">
        <f t="shared" si="10"/>
        <v>12080640</v>
      </c>
      <c r="J34" s="540">
        <f t="shared" si="10"/>
        <v>15100800</v>
      </c>
      <c r="K34" s="540">
        <f t="shared" si="10"/>
        <v>18120960</v>
      </c>
      <c r="L34" s="540">
        <f t="shared" si="10"/>
        <v>21141120</v>
      </c>
      <c r="M34" s="540">
        <f t="shared" si="10"/>
        <v>24161280</v>
      </c>
      <c r="N34" s="532"/>
      <c r="P34" s="540">
        <f>+P23*P12*P$31</f>
        <v>1772771.0000000002</v>
      </c>
      <c r="Q34" s="540">
        <f t="shared" ref="Q34:V34" si="12">+Q23*Q12*Q$31</f>
        <v>2659156.5</v>
      </c>
      <c r="R34" s="540">
        <f t="shared" si="12"/>
        <v>3545542.0000000005</v>
      </c>
      <c r="S34" s="540">
        <f t="shared" si="12"/>
        <v>4431927.5</v>
      </c>
      <c r="T34" s="540">
        <f t="shared" si="12"/>
        <v>5318313</v>
      </c>
      <c r="U34" s="540">
        <f t="shared" si="12"/>
        <v>6204698.5000000009</v>
      </c>
      <c r="V34" s="540">
        <f t="shared" si="12"/>
        <v>7091084.0000000009</v>
      </c>
      <c r="W34" s="532"/>
    </row>
    <row r="35" spans="2:32" s="422" customFormat="1" ht="31.9" customHeight="1" outlineLevel="1" thickTop="1" thickBot="1">
      <c r="B35" s="539"/>
      <c r="C35" s="539"/>
      <c r="D35" s="539"/>
      <c r="E35" s="539"/>
      <c r="F35" s="539" t="s">
        <v>307</v>
      </c>
      <c r="G35" s="540">
        <f ca="1">+G13*G25</f>
        <v>0</v>
      </c>
      <c r="H35" s="540">
        <f t="shared" ref="H35:M35" ca="1" si="13">+H13*H25</f>
        <v>0</v>
      </c>
      <c r="I35" s="540">
        <f t="shared" ca="1" si="13"/>
        <v>0</v>
      </c>
      <c r="J35" s="540">
        <f t="shared" ca="1" si="13"/>
        <v>0</v>
      </c>
      <c r="K35" s="540">
        <f t="shared" ca="1" si="13"/>
        <v>0</v>
      </c>
      <c r="L35" s="540">
        <f t="shared" ca="1" si="13"/>
        <v>0</v>
      </c>
      <c r="M35" s="540">
        <f t="shared" ca="1" si="13"/>
        <v>0</v>
      </c>
      <c r="N35" s="532"/>
      <c r="P35" s="540">
        <f ca="1">+P25*P13*P$31</f>
        <v>0</v>
      </c>
      <c r="Q35" s="540">
        <f t="shared" ref="Q35:V35" ca="1" si="14">+Q25*Q13*Q$31</f>
        <v>0</v>
      </c>
      <c r="R35" s="540">
        <f t="shared" ca="1" si="14"/>
        <v>0</v>
      </c>
      <c r="S35" s="540">
        <f t="shared" ca="1" si="14"/>
        <v>0</v>
      </c>
      <c r="T35" s="540">
        <f t="shared" ca="1" si="14"/>
        <v>0</v>
      </c>
      <c r="U35" s="540">
        <f t="shared" ca="1" si="14"/>
        <v>0</v>
      </c>
      <c r="V35" s="540">
        <f t="shared" ca="1" si="14"/>
        <v>0</v>
      </c>
      <c r="W35" s="532"/>
    </row>
    <row r="36" spans="2:32" s="422" customFormat="1" ht="31.9" customHeight="1" outlineLevel="1" thickTop="1" thickBot="1">
      <c r="B36" s="539"/>
      <c r="C36" s="539"/>
      <c r="D36" s="539"/>
      <c r="E36" s="539"/>
      <c r="F36" s="539" t="s">
        <v>112</v>
      </c>
      <c r="G36" s="540">
        <f ca="1">G13*G25+(G14-G13)*G24</f>
        <v>12420731.192213872</v>
      </c>
      <c r="H36" s="540">
        <f t="shared" ref="H36:M36" ca="1" si="15">H13*H25+(H14-H13)*H24</f>
        <v>18188977.045024008</v>
      </c>
      <c r="I36" s="540">
        <f t="shared" ca="1" si="15"/>
        <v>23939013.958699659</v>
      </c>
      <c r="J36" s="540">
        <f t="shared" ca="1" si="15"/>
        <v>29808596.562848423</v>
      </c>
      <c r="K36" s="540">
        <f t="shared" ca="1" si="15"/>
        <v>35557155.704410605</v>
      </c>
      <c r="L36" s="540">
        <f t="shared" ca="1" si="15"/>
        <v>41428216.080672823</v>
      </c>
      <c r="M36" s="540">
        <f t="shared" ca="1" si="15"/>
        <v>47175297.450121552</v>
      </c>
      <c r="N36" s="532"/>
      <c r="P36" s="540" t="e">
        <f ca="1">P13*P25*P$31+(P14-P13)*P24</f>
        <v>#REF!</v>
      </c>
      <c r="Q36" s="540" t="e">
        <f t="shared" ref="Q36:V36" ca="1" si="16">Q13*Q25*Q$31+(Q14-Q13)*Q24</f>
        <v>#REF!</v>
      </c>
      <c r="R36" s="540" t="e">
        <f t="shared" ca="1" si="16"/>
        <v>#REF!</v>
      </c>
      <c r="S36" s="540" t="e">
        <f t="shared" ca="1" si="16"/>
        <v>#REF!</v>
      </c>
      <c r="T36" s="540" t="e">
        <f t="shared" ca="1" si="16"/>
        <v>#REF!</v>
      </c>
      <c r="U36" s="540" t="e">
        <f t="shared" ca="1" si="16"/>
        <v>#REF!</v>
      </c>
      <c r="V36" s="540" t="e">
        <f t="shared" ca="1" si="16"/>
        <v>#REF!</v>
      </c>
      <c r="W36" s="532"/>
    </row>
    <row r="37" spans="2:32" ht="29" thickTop="1">
      <c r="D37" s="531"/>
      <c r="E37" s="531"/>
      <c r="F37" s="531"/>
      <c r="G37" s="532"/>
      <c r="H37" s="532"/>
      <c r="I37" s="532"/>
      <c r="J37" s="532"/>
      <c r="K37" s="532"/>
      <c r="L37" s="532"/>
      <c r="M37" s="532"/>
      <c r="N37" s="532"/>
      <c r="P37" s="532"/>
      <c r="Q37" s="532"/>
      <c r="R37" s="532"/>
      <c r="S37" s="532"/>
      <c r="T37" s="532"/>
      <c r="U37" s="532"/>
      <c r="V37" s="532"/>
      <c r="W37" s="532"/>
    </row>
    <row r="38" spans="2:32" s="421" customFormat="1" ht="49.15" customHeight="1" outlineLevel="1" thickBot="1">
      <c r="B38" s="535"/>
      <c r="C38" s="535"/>
      <c r="D38" s="535"/>
      <c r="E38" s="535"/>
      <c r="F38" s="535" t="s">
        <v>396</v>
      </c>
      <c r="G38" s="536">
        <f ca="1">SUM(G32:G35)</f>
        <v>21721385.600000001</v>
      </c>
      <c r="H38" s="536">
        <f t="shared" ref="H38:M38" ca="1" si="17">SUM(H32:H35)</f>
        <v>32582078.399999999</v>
      </c>
      <c r="I38" s="536">
        <f t="shared" ca="1" si="17"/>
        <v>43546060.800000012</v>
      </c>
      <c r="J38" s="536">
        <f t="shared" ca="1" si="17"/>
        <v>54303464</v>
      </c>
      <c r="K38" s="536">
        <f t="shared" ca="1" si="17"/>
        <v>65319091.199999996</v>
      </c>
      <c r="L38" s="536">
        <f t="shared" ca="1" si="17"/>
        <v>76024849.600000009</v>
      </c>
      <c r="M38" s="536">
        <f t="shared" ca="1" si="17"/>
        <v>87092121.600000024</v>
      </c>
      <c r="N38" s="532"/>
      <c r="P38" s="536">
        <f ca="1">SUM(P32:P35)</f>
        <v>5594435</v>
      </c>
      <c r="Q38" s="536">
        <f t="shared" ref="Q38:V38" ca="1" si="18">SUM(Q32:Q35)</f>
        <v>8391652.5</v>
      </c>
      <c r="R38" s="536">
        <f t="shared" ca="1" si="18"/>
        <v>11188870</v>
      </c>
      <c r="S38" s="536">
        <f t="shared" ca="1" si="18"/>
        <v>13986087.5</v>
      </c>
      <c r="T38" s="536">
        <f t="shared" ca="1" si="18"/>
        <v>16783305</v>
      </c>
      <c r="U38" s="536">
        <f t="shared" ca="1" si="18"/>
        <v>19580522.500000004</v>
      </c>
      <c r="V38" s="536">
        <f t="shared" ca="1" si="18"/>
        <v>22377740</v>
      </c>
      <c r="W38" s="532"/>
    </row>
    <row r="39" spans="2:32" s="416" customFormat="1" ht="29.5" customHeight="1" thickTop="1" thickBot="1">
      <c r="F39" s="668" t="s">
        <v>494</v>
      </c>
      <c r="G39" s="414">
        <f ca="1">+G14*G25</f>
        <v>12391912</v>
      </c>
      <c r="H39" s="414">
        <f t="shared" ref="H39:M39" ca="1" si="19">+H14*H25</f>
        <v>18587868.000000004</v>
      </c>
      <c r="I39" s="414">
        <f t="shared" ca="1" si="19"/>
        <v>24780800.000000004</v>
      </c>
      <c r="J39" s="414">
        <f t="shared" ca="1" si="19"/>
        <v>30979780.000000004</v>
      </c>
      <c r="K39" s="414">
        <f t="shared" ca="1" si="19"/>
        <v>37171200.000000007</v>
      </c>
      <c r="L39" s="414">
        <f t="shared" ca="1" si="19"/>
        <v>43371692</v>
      </c>
      <c r="M39" s="414">
        <f t="shared" ca="1" si="19"/>
        <v>49561600.000000007</v>
      </c>
      <c r="N39" s="667"/>
      <c r="P39" s="667"/>
      <c r="Q39" s="667"/>
      <c r="R39" s="667"/>
      <c r="S39" s="667"/>
      <c r="T39" s="667"/>
      <c r="U39" s="667"/>
      <c r="V39" s="667"/>
      <c r="W39" s="667"/>
    </row>
    <row r="40" spans="2:32" s="424" customFormat="1" ht="42.65" customHeight="1" thickBot="1">
      <c r="B40" s="527"/>
      <c r="C40" s="527"/>
      <c r="D40" s="527"/>
      <c r="E40" s="527"/>
      <c r="F40" s="528" t="s">
        <v>386</v>
      </c>
      <c r="G40" s="529" t="s">
        <v>104</v>
      </c>
      <c r="H40" s="529" t="s">
        <v>105</v>
      </c>
      <c r="I40" s="529" t="s">
        <v>106</v>
      </c>
      <c r="J40" s="529" t="s">
        <v>107</v>
      </c>
      <c r="K40" s="529" t="s">
        <v>108</v>
      </c>
      <c r="L40" s="529" t="s">
        <v>109</v>
      </c>
      <c r="M40" s="529" t="s">
        <v>110</v>
      </c>
      <c r="N40" s="530"/>
      <c r="P40" s="529" t="s">
        <v>104</v>
      </c>
      <c r="Q40" s="529" t="s">
        <v>105</v>
      </c>
      <c r="R40" s="529" t="s">
        <v>106</v>
      </c>
      <c r="S40" s="529" t="s">
        <v>107</v>
      </c>
      <c r="T40" s="529" t="s">
        <v>108</v>
      </c>
      <c r="U40" s="529" t="s">
        <v>109</v>
      </c>
      <c r="V40" s="529" t="s">
        <v>110</v>
      </c>
      <c r="W40" s="530"/>
    </row>
    <row r="41" spans="2:32" ht="29" outlineLevel="1" thickTop="1">
      <c r="B41" s="547"/>
      <c r="C41" s="548"/>
      <c r="D41" s="531"/>
      <c r="E41" s="531"/>
      <c r="F41" s="531"/>
      <c r="G41" s="532"/>
      <c r="H41" s="532"/>
      <c r="I41" s="532"/>
      <c r="J41" s="532"/>
      <c r="K41" s="532"/>
      <c r="L41" s="532"/>
      <c r="M41" s="532"/>
      <c r="N41" s="549"/>
      <c r="O41" s="548"/>
      <c r="P41" s="532"/>
      <c r="Q41" s="532"/>
      <c r="R41" s="532"/>
      <c r="S41" s="532"/>
      <c r="T41" s="532"/>
      <c r="U41" s="532"/>
      <c r="V41" s="550"/>
    </row>
    <row r="42" spans="2:32" ht="36.65" customHeight="1" outlineLevel="1" thickBot="1">
      <c r="B42" s="551"/>
      <c r="C42" s="539"/>
      <c r="D42" s="539"/>
      <c r="E42" s="539"/>
      <c r="F42" s="539" t="s">
        <v>362</v>
      </c>
      <c r="G42" s="552">
        <f>+G10/Volume!G10</f>
        <v>0.8</v>
      </c>
      <c r="H42" s="552">
        <f>+H10/Volume!H10</f>
        <v>0.8</v>
      </c>
      <c r="I42" s="552">
        <f>+I10/Volume!I10</f>
        <v>0.8</v>
      </c>
      <c r="J42" s="552">
        <f>+J10/Volume!J10</f>
        <v>0.79999999999999993</v>
      </c>
      <c r="K42" s="552">
        <f>+K10/Volume!K10</f>
        <v>0.8</v>
      </c>
      <c r="L42" s="552">
        <f>+L10/Volume!L10</f>
        <v>0.79999999999999993</v>
      </c>
      <c r="M42" s="552">
        <f>+M10/Volume!M10</f>
        <v>0.8</v>
      </c>
      <c r="N42" s="549"/>
      <c r="O42" s="548"/>
      <c r="P42" s="552">
        <f>+P10/Volume!G10</f>
        <v>0.2</v>
      </c>
      <c r="Q42" s="552">
        <f>+Q10/Volume!H10</f>
        <v>0.2</v>
      </c>
      <c r="R42" s="552">
        <f>+R10/Volume!I10</f>
        <v>0.2</v>
      </c>
      <c r="S42" s="552">
        <f>+S10/Volume!J10</f>
        <v>0.2</v>
      </c>
      <c r="T42" s="552">
        <f>+T10/Volume!K10</f>
        <v>0.2</v>
      </c>
      <c r="U42" s="552">
        <f>+U10/Volume!L10</f>
        <v>0.2</v>
      </c>
      <c r="V42" s="553">
        <f>+V10/Volume!M10</f>
        <v>0.2</v>
      </c>
      <c r="Z42" s="554">
        <f>+G42+P42</f>
        <v>1</v>
      </c>
      <c r="AA42" s="554">
        <f t="shared" ref="AA42:AF42" si="20">+H42+Q42</f>
        <v>1</v>
      </c>
      <c r="AB42" s="554">
        <f t="shared" si="20"/>
        <v>1</v>
      </c>
      <c r="AC42" s="554">
        <f t="shared" si="20"/>
        <v>1</v>
      </c>
      <c r="AD42" s="554">
        <f t="shared" si="20"/>
        <v>1</v>
      </c>
      <c r="AE42" s="554">
        <f t="shared" si="20"/>
        <v>1</v>
      </c>
      <c r="AF42" s="554">
        <f t="shared" si="20"/>
        <v>1</v>
      </c>
    </row>
    <row r="43" spans="2:32" ht="36.65" customHeight="1" outlineLevel="1" thickTop="1" thickBot="1">
      <c r="B43" s="551"/>
      <c r="C43" s="539"/>
      <c r="D43" s="539"/>
      <c r="E43" s="539"/>
      <c r="F43" s="539" t="s">
        <v>103</v>
      </c>
      <c r="G43" s="552" t="str">
        <f ca="1">IFERROR(G11/Volume!G11,"0")</f>
        <v>0</v>
      </c>
      <c r="H43" s="555" t="str">
        <f ca="1">IFERROR(H11/Volume!H11,"0")</f>
        <v>0</v>
      </c>
      <c r="I43" s="555">
        <f ca="1">IFERROR(I11/Volume!I11,"0")</f>
        <v>0.8</v>
      </c>
      <c r="J43" s="555" t="str">
        <f ca="1">IFERROR(J11/Volume!J11,"0")</f>
        <v>0</v>
      </c>
      <c r="K43" s="555">
        <f ca="1">IFERROR(K11/Volume!K11,"0")</f>
        <v>0.8</v>
      </c>
      <c r="L43" s="555" t="str">
        <f ca="1">IFERROR(L11/Volume!L11,"0")</f>
        <v>0</v>
      </c>
      <c r="M43" s="555">
        <f ca="1">IFERROR(M11/Volume!M11,"0")</f>
        <v>0.8</v>
      </c>
      <c r="N43" s="556"/>
      <c r="O43" s="557"/>
      <c r="P43" s="558" t="str">
        <f ca="1">IFERROR(P11/Volume!G11,"0")</f>
        <v>0</v>
      </c>
      <c r="Q43" s="558" t="str">
        <f ca="1">IFERROR(Q11/Volume!H11,"0")</f>
        <v>0</v>
      </c>
      <c r="R43" s="558">
        <f ca="1">IFERROR(R11/Volume!I11,"0")</f>
        <v>0.2</v>
      </c>
      <c r="S43" s="558" t="str">
        <f ca="1">IFERROR(S11/Volume!J11,"0")</f>
        <v>0</v>
      </c>
      <c r="T43" s="558">
        <f ca="1">IFERROR(T11/Volume!K11,"0")</f>
        <v>0.2</v>
      </c>
      <c r="U43" s="558" t="str">
        <f ca="1">IFERROR(U11/Volume!L11,"0")</f>
        <v>0</v>
      </c>
      <c r="V43" s="558">
        <f ca="1">IFERROR(V11/Volume!M11,"0")</f>
        <v>0.2</v>
      </c>
      <c r="Z43" s="554">
        <f t="shared" ref="Z43:Z45" ca="1" si="21">+G43+P43</f>
        <v>0</v>
      </c>
      <c r="AA43" s="554">
        <f t="shared" ref="AA43:AA45" ca="1" si="22">+H43+Q43</f>
        <v>0</v>
      </c>
      <c r="AB43" s="554">
        <f t="shared" ref="AB43:AB45" ca="1" si="23">+I43+R43</f>
        <v>1</v>
      </c>
      <c r="AC43" s="554">
        <f t="shared" ref="AC43:AC45" ca="1" si="24">+J43+S43</f>
        <v>0</v>
      </c>
      <c r="AD43" s="554">
        <f t="shared" ref="AD43:AD45" ca="1" si="25">+K43+T43</f>
        <v>1</v>
      </c>
      <c r="AE43" s="554">
        <f t="shared" ref="AE43:AE45" ca="1" si="26">+L43+U43</f>
        <v>0</v>
      </c>
      <c r="AF43" s="554">
        <f t="shared" ref="AF43:AF45" ca="1" si="27">+M43+V43</f>
        <v>1</v>
      </c>
    </row>
    <row r="44" spans="2:32" ht="36.65" customHeight="1" outlineLevel="1" thickTop="1" thickBot="1">
      <c r="B44" s="551"/>
      <c r="C44" s="539"/>
      <c r="D44" s="539"/>
      <c r="E44" s="539"/>
      <c r="F44" s="539" t="s">
        <v>431</v>
      </c>
      <c r="G44" s="552">
        <f>IFERROR(G12/Volume!G12,"0")</f>
        <v>0.8</v>
      </c>
      <c r="H44" s="552">
        <f>IFERROR(H12/Volume!H12,"0")</f>
        <v>0.79999999999999993</v>
      </c>
      <c r="I44" s="552">
        <f>IFERROR(I12/Volume!I12,"0")</f>
        <v>0.8</v>
      </c>
      <c r="J44" s="552">
        <f>IFERROR(J12/Volume!J12,"0")</f>
        <v>0.8</v>
      </c>
      <c r="K44" s="552">
        <f>IFERROR(K12/Volume!K12,"0")</f>
        <v>0.79999999999999993</v>
      </c>
      <c r="L44" s="552">
        <f>IFERROR(L12/Volume!L12,"0")</f>
        <v>0.79999999999999993</v>
      </c>
      <c r="M44" s="552">
        <f>IFERROR(M12/Volume!M12,"0")</f>
        <v>0.8</v>
      </c>
      <c r="N44" s="549"/>
      <c r="O44" s="548"/>
      <c r="P44" s="552">
        <f>IFERROR(P12/Volume!G12,"0")</f>
        <v>0.2</v>
      </c>
      <c r="Q44" s="552">
        <f>IFERROR(Q12/Volume!H12,"0")</f>
        <v>0.2</v>
      </c>
      <c r="R44" s="552">
        <f>IFERROR(R12/Volume!I12,"0")</f>
        <v>0.2</v>
      </c>
      <c r="S44" s="552">
        <f>IFERROR(S12/Volume!J12,"0")</f>
        <v>0.2</v>
      </c>
      <c r="T44" s="552">
        <f>IFERROR(T12/Volume!K12,"0")</f>
        <v>0.2</v>
      </c>
      <c r="U44" s="552">
        <f>IFERROR(U12/Volume!L12,"0")</f>
        <v>0.2</v>
      </c>
      <c r="V44" s="552">
        <f>IFERROR(V12/Volume!M12,"0")</f>
        <v>0.2</v>
      </c>
      <c r="Z44" s="554">
        <f t="shared" si="21"/>
        <v>1</v>
      </c>
      <c r="AA44" s="554">
        <f t="shared" si="22"/>
        <v>1</v>
      </c>
      <c r="AB44" s="554">
        <f t="shared" si="23"/>
        <v>1</v>
      </c>
      <c r="AC44" s="554">
        <f t="shared" si="24"/>
        <v>1</v>
      </c>
      <c r="AD44" s="554">
        <f t="shared" si="25"/>
        <v>1</v>
      </c>
      <c r="AE44" s="554">
        <f t="shared" si="26"/>
        <v>1</v>
      </c>
      <c r="AF44" s="554">
        <f t="shared" si="27"/>
        <v>1</v>
      </c>
    </row>
    <row r="45" spans="2:32" ht="36.65" customHeight="1" outlineLevel="1" thickTop="1" thickBot="1">
      <c r="B45" s="551"/>
      <c r="C45" s="539"/>
      <c r="D45" s="539"/>
      <c r="E45" s="539"/>
      <c r="F45" s="539" t="s">
        <v>112</v>
      </c>
      <c r="G45" s="552">
        <f ca="1">+G14/Volume!G14</f>
        <v>1</v>
      </c>
      <c r="H45" s="552">
        <f ca="1">+H14/Volume!H14</f>
        <v>1</v>
      </c>
      <c r="I45" s="552">
        <f ca="1">+I14/Volume!I14</f>
        <v>1</v>
      </c>
      <c r="J45" s="552">
        <f ca="1">+J14/Volume!J14</f>
        <v>1</v>
      </c>
      <c r="K45" s="552">
        <f ca="1">+K14/Volume!K14</f>
        <v>1</v>
      </c>
      <c r="L45" s="552">
        <f ca="1">+L14/Volume!L14</f>
        <v>1</v>
      </c>
      <c r="M45" s="552">
        <f ca="1">+M14/Volume!M14</f>
        <v>1</v>
      </c>
      <c r="N45" s="549"/>
      <c r="O45" s="548"/>
      <c r="P45" s="552">
        <f ca="1">+P14/Volume!G14</f>
        <v>0</v>
      </c>
      <c r="Q45" s="552">
        <f ca="1">+Q14/Volume!H14</f>
        <v>0</v>
      </c>
      <c r="R45" s="552">
        <f ca="1">+R14/Volume!I14</f>
        <v>0</v>
      </c>
      <c r="S45" s="552">
        <f ca="1">+S14/Volume!J14</f>
        <v>0</v>
      </c>
      <c r="T45" s="552">
        <f ca="1">+T14/Volume!K14</f>
        <v>0</v>
      </c>
      <c r="U45" s="552">
        <f ca="1">+U14/Volume!L14</f>
        <v>0</v>
      </c>
      <c r="V45" s="553">
        <f ca="1">+V14/Volume!M14</f>
        <v>0</v>
      </c>
      <c r="Z45" s="554">
        <f t="shared" ca="1" si="21"/>
        <v>1</v>
      </c>
      <c r="AA45" s="554">
        <f t="shared" ca="1" si="22"/>
        <v>1</v>
      </c>
      <c r="AB45" s="554">
        <f t="shared" ca="1" si="23"/>
        <v>1</v>
      </c>
      <c r="AC45" s="554">
        <f t="shared" ca="1" si="24"/>
        <v>1</v>
      </c>
      <c r="AD45" s="554">
        <f t="shared" ca="1" si="25"/>
        <v>1</v>
      </c>
      <c r="AE45" s="554">
        <f t="shared" ca="1" si="26"/>
        <v>1</v>
      </c>
      <c r="AF45" s="554">
        <f t="shared" ca="1" si="27"/>
        <v>1</v>
      </c>
    </row>
    <row r="46" spans="2:32" ht="29" outlineLevel="1" thickTop="1">
      <c r="B46" s="547"/>
      <c r="C46" s="548"/>
      <c r="D46" s="531"/>
      <c r="E46" s="531"/>
      <c r="F46" s="531"/>
      <c r="G46" s="532"/>
      <c r="H46" s="532"/>
      <c r="I46" s="532"/>
      <c r="J46" s="532"/>
      <c r="K46" s="532"/>
      <c r="L46" s="532"/>
      <c r="M46" s="532"/>
      <c r="N46" s="549"/>
      <c r="O46" s="548"/>
      <c r="P46" s="532"/>
      <c r="Q46" s="532"/>
      <c r="R46" s="532"/>
      <c r="S46" s="532"/>
      <c r="T46" s="532"/>
      <c r="U46" s="532"/>
      <c r="V46" s="550"/>
    </row>
    <row r="47" spans="2:32" s="421" customFormat="1" ht="49.15" customHeight="1" outlineLevel="1" thickBot="1">
      <c r="B47" s="535"/>
      <c r="C47" s="535"/>
      <c r="D47" s="535"/>
      <c r="E47" s="535"/>
      <c r="F47" s="535" t="s">
        <v>175</v>
      </c>
      <c r="G47" s="536">
        <f ca="1">+G16</f>
        <v>15125.044</v>
      </c>
      <c r="H47" s="536">
        <f t="shared" ref="H47:M47" ca="1" si="28">+H16</f>
        <v>22687.565999999999</v>
      </c>
      <c r="I47" s="536">
        <f t="shared" ca="1" si="28"/>
        <v>30294.528000000006</v>
      </c>
      <c r="J47" s="536">
        <f t="shared" ca="1" si="28"/>
        <v>37812.61</v>
      </c>
      <c r="K47" s="536">
        <f t="shared" ca="1" si="28"/>
        <v>45441.792000000001</v>
      </c>
      <c r="L47" s="536">
        <f t="shared" ca="1" si="28"/>
        <v>52937.65400000001</v>
      </c>
      <c r="M47" s="536">
        <f t="shared" ca="1" si="28"/>
        <v>60589.056000000011</v>
      </c>
      <c r="N47" s="532"/>
      <c r="P47" s="536">
        <f ca="1">+P16</f>
        <v>1994.0800000000002</v>
      </c>
      <c r="Q47" s="536">
        <f t="shared" ref="Q47:V47" ca="1" si="29">+Q16</f>
        <v>2991.1200000000003</v>
      </c>
      <c r="R47" s="536">
        <f t="shared" ca="1" si="29"/>
        <v>3988.1600000000003</v>
      </c>
      <c r="S47" s="536">
        <f t="shared" ca="1" si="29"/>
        <v>4985.2000000000007</v>
      </c>
      <c r="T47" s="536">
        <f t="shared" ca="1" si="29"/>
        <v>5982.2400000000007</v>
      </c>
      <c r="U47" s="536">
        <f t="shared" ca="1" si="29"/>
        <v>6979.2800000000007</v>
      </c>
      <c r="V47" s="536">
        <f t="shared" ca="1" si="29"/>
        <v>7976.3200000000006</v>
      </c>
      <c r="W47" s="532"/>
    </row>
    <row r="48" spans="2:32" ht="29" outlineLevel="1" thickTop="1"/>
    <row r="49" spans="2:32" outlineLevel="1"/>
    <row r="50" spans="2:32" ht="29" thickBot="1"/>
    <row r="51" spans="2:32" ht="41.5" customHeight="1" thickBot="1">
      <c r="B51" s="559"/>
      <c r="C51" s="560"/>
      <c r="D51" s="560"/>
      <c r="E51" s="561" t="s">
        <v>421</v>
      </c>
      <c r="F51" s="561"/>
      <c r="G51" s="562" t="s">
        <v>104</v>
      </c>
      <c r="H51" s="562" t="s">
        <v>105</v>
      </c>
      <c r="I51" s="562" t="s">
        <v>106</v>
      </c>
      <c r="J51" s="562" t="s">
        <v>107</v>
      </c>
      <c r="K51" s="562" t="s">
        <v>108</v>
      </c>
      <c r="L51" s="562" t="s">
        <v>109</v>
      </c>
      <c r="M51" s="563" t="s">
        <v>110</v>
      </c>
      <c r="N51" s="423"/>
      <c r="P51" s="562" t="s">
        <v>104</v>
      </c>
      <c r="Q51" s="562" t="s">
        <v>105</v>
      </c>
      <c r="R51" s="562" t="s">
        <v>106</v>
      </c>
      <c r="S51" s="562" t="s">
        <v>107</v>
      </c>
      <c r="T51" s="562" t="s">
        <v>108</v>
      </c>
      <c r="U51" s="562" t="s">
        <v>109</v>
      </c>
      <c r="V51" s="563" t="s">
        <v>110</v>
      </c>
      <c r="W51" s="423"/>
    </row>
    <row r="52" spans="2:32" ht="29" thickTop="1">
      <c r="B52" s="547"/>
      <c r="C52" s="548"/>
      <c r="D52" s="531"/>
      <c r="E52" s="531"/>
      <c r="F52" s="531"/>
      <c r="G52" s="532"/>
      <c r="H52" s="532"/>
      <c r="I52" s="532"/>
      <c r="J52" s="532"/>
      <c r="K52" s="532"/>
      <c r="L52" s="532"/>
      <c r="M52" s="550"/>
      <c r="P52" s="532"/>
      <c r="Q52" s="532"/>
      <c r="R52" s="532"/>
      <c r="S52" s="532"/>
      <c r="T52" s="532"/>
      <c r="U52" s="532"/>
      <c r="V52" s="550"/>
    </row>
    <row r="53" spans="2:32" ht="28.9" customHeight="1" thickBot="1">
      <c r="B53" s="551"/>
      <c r="C53" s="539"/>
      <c r="D53" s="539"/>
      <c r="E53" s="539"/>
      <c r="F53" s="539" t="s">
        <v>362</v>
      </c>
      <c r="G53" s="540">
        <f ca="1">IFERROR(G42*Volume!G61,"0")</f>
        <v>234817.50267522733</v>
      </c>
      <c r="H53" s="540">
        <f ca="1">IFERROR(H42*Volume!H61,"0")</f>
        <v>234817.50267522733</v>
      </c>
      <c r="I53" s="540">
        <f ca="1">IFERROR(I42*Volume!I61,"0")</f>
        <v>234817.50267522733</v>
      </c>
      <c r="J53" s="540">
        <f ca="1">IFERROR(J42*Volume!J61,"0")</f>
        <v>234817.50267522736</v>
      </c>
      <c r="K53" s="540">
        <f ca="1">IFERROR(K42*Volume!K61,"0")</f>
        <v>234817.50267522733</v>
      </c>
      <c r="L53" s="540">
        <f ca="1">IFERROR(L42*Volume!L61,"0")</f>
        <v>234817.50267522736</v>
      </c>
      <c r="M53" s="540">
        <f ca="1">IFERROR(M42*Volume!M61,"0")</f>
        <v>234817.50267522733</v>
      </c>
      <c r="N53" s="564"/>
      <c r="P53" s="540">
        <f ca="1">IFERROR(P42*Volume!G61,"0")</f>
        <v>58704.375668806839</v>
      </c>
      <c r="Q53" s="540">
        <f ca="1">IFERROR(Q42*Volume!H61,"0")</f>
        <v>58704.375668806839</v>
      </c>
      <c r="R53" s="540">
        <f ca="1">IFERROR(R42*Volume!I61,"0")</f>
        <v>58704.375668806853</v>
      </c>
      <c r="S53" s="540">
        <f ca="1">IFERROR(S42*Volume!J61,"0")</f>
        <v>58704.375668806839</v>
      </c>
      <c r="T53" s="540">
        <f ca="1">IFERROR(T42*Volume!K61,"0")</f>
        <v>58704.375668806853</v>
      </c>
      <c r="U53" s="540">
        <f ca="1">IFERROR(U42*Volume!L61,"0")</f>
        <v>58704.375668806839</v>
      </c>
      <c r="V53" s="540">
        <f ca="1">IFERROR(V42*Volume!M61,"0")</f>
        <v>58704.375668806853</v>
      </c>
      <c r="W53" s="564"/>
      <c r="Z53" s="565">
        <f ca="1">+G53+P53</f>
        <v>293521.87834403419</v>
      </c>
      <c r="AA53" s="565">
        <f t="shared" ref="AA53:AF53" ca="1" si="30">+H53+Q53</f>
        <v>293521.87834403419</v>
      </c>
      <c r="AB53" s="565">
        <f t="shared" ca="1" si="30"/>
        <v>293521.87834403419</v>
      </c>
      <c r="AC53" s="565">
        <f t="shared" ca="1" si="30"/>
        <v>293521.87834403419</v>
      </c>
      <c r="AD53" s="565">
        <f t="shared" ca="1" si="30"/>
        <v>293521.87834403419</v>
      </c>
      <c r="AE53" s="565">
        <f t="shared" ca="1" si="30"/>
        <v>293521.87834403419</v>
      </c>
      <c r="AF53" s="565">
        <f t="shared" ca="1" si="30"/>
        <v>293521.87834403419</v>
      </c>
    </row>
    <row r="54" spans="2:32" ht="28.9" customHeight="1" thickTop="1" thickBot="1">
      <c r="B54" s="551"/>
      <c r="C54" s="539"/>
      <c r="D54" s="539"/>
      <c r="E54" s="539"/>
      <c r="F54" s="539" t="s">
        <v>103</v>
      </c>
      <c r="G54" s="540">
        <f ca="1">IFERROR(G43*Volume!G62,"0")</f>
        <v>0</v>
      </c>
      <c r="H54" s="540">
        <f ca="1">IFERROR(H43*Volume!H62,"0")</f>
        <v>0</v>
      </c>
      <c r="I54" s="540">
        <f ca="1">IFERROR(I43*Volume!I62,"0")</f>
        <v>0</v>
      </c>
      <c r="J54" s="540">
        <f ca="1">IFERROR(J43*Volume!J62,"0")</f>
        <v>0</v>
      </c>
      <c r="K54" s="540">
        <f ca="1">IFERROR(K43*Volume!K62,"0")</f>
        <v>0</v>
      </c>
      <c r="L54" s="540">
        <f ca="1">IFERROR(L43*Volume!L62,"0")</f>
        <v>0</v>
      </c>
      <c r="M54" s="540">
        <f ca="1">IFERROR(M43*Volume!M62,"0")</f>
        <v>0</v>
      </c>
      <c r="N54" s="564"/>
      <c r="P54" s="540">
        <f ca="1">IFERROR(P43*Volume!G62,"")</f>
        <v>0</v>
      </c>
      <c r="Q54" s="540">
        <f ca="1">IFERROR(Q43*Volume!H62,"")</f>
        <v>0</v>
      </c>
      <c r="R54" s="540">
        <f ca="1">IFERROR(R43*Volume!I62,"")</f>
        <v>0</v>
      </c>
      <c r="S54" s="540">
        <f ca="1">IFERROR(S43*Volume!J62,"")</f>
        <v>0</v>
      </c>
      <c r="T54" s="540">
        <f ca="1">IFERROR(T43*Volume!K62,"")</f>
        <v>0</v>
      </c>
      <c r="U54" s="540">
        <f ca="1">IFERROR(U43*Volume!L62,"")</f>
        <v>0</v>
      </c>
      <c r="V54" s="540">
        <f ca="1">IFERROR(V43*Volume!M62,"")</f>
        <v>0</v>
      </c>
      <c r="W54" s="564"/>
      <c r="Z54" s="565">
        <f t="shared" ref="Z54:Z57" ca="1" si="31">+G54+P54</f>
        <v>0</v>
      </c>
      <c r="AA54" s="565">
        <f t="shared" ref="AA54:AA57" ca="1" si="32">+H54+Q54</f>
        <v>0</v>
      </c>
      <c r="AB54" s="565">
        <f t="shared" ref="AB54:AB57" ca="1" si="33">+I54+R54</f>
        <v>0</v>
      </c>
      <c r="AC54" s="565">
        <f t="shared" ref="AC54:AC57" ca="1" si="34">+J54+S54</f>
        <v>0</v>
      </c>
      <c r="AD54" s="565">
        <f t="shared" ref="AD54:AD57" ca="1" si="35">+K54+T54</f>
        <v>0</v>
      </c>
      <c r="AE54" s="565">
        <f t="shared" ref="AE54:AE57" ca="1" si="36">+L54+U54</f>
        <v>0</v>
      </c>
      <c r="AF54" s="565">
        <f t="shared" ref="AF54:AF57" ca="1" si="37">+M54+V54</f>
        <v>0</v>
      </c>
    </row>
    <row r="55" spans="2:32" ht="28.9" customHeight="1" thickTop="1" thickBot="1">
      <c r="B55" s="551"/>
      <c r="C55" s="539"/>
      <c r="D55" s="539"/>
      <c r="E55" s="539"/>
      <c r="F55" s="539" t="s">
        <v>431</v>
      </c>
      <c r="G55" s="540">
        <f ca="1">IFERROR(G44*Volume!G63,"0")</f>
        <v>64920.133092562857</v>
      </c>
      <c r="H55" s="540">
        <f ca="1">IFERROR(H44*Volume!H63,"0")</f>
        <v>64920.133092562857</v>
      </c>
      <c r="I55" s="540">
        <f ca="1">IFERROR(I44*Volume!I63,"0")</f>
        <v>64920.133092562857</v>
      </c>
      <c r="J55" s="540">
        <f ca="1">IFERROR(J44*Volume!J63,"0")</f>
        <v>64920.133092562872</v>
      </c>
      <c r="K55" s="540">
        <f ca="1">IFERROR(K44*Volume!K63,"0")</f>
        <v>64920.133092562857</v>
      </c>
      <c r="L55" s="540">
        <f ca="1">IFERROR(L44*Volume!L63,"0")</f>
        <v>64920.133092562872</v>
      </c>
      <c r="M55" s="540">
        <f ca="1">IFERROR(M44*Volume!M63,"0")</f>
        <v>64920.133092562857</v>
      </c>
      <c r="N55" s="564"/>
      <c r="P55" s="540">
        <f ca="1">IFERROR(P44*Volume!G63,"")</f>
        <v>16230.033273140718</v>
      </c>
      <c r="Q55" s="540">
        <f ca="1">IFERROR(Q44*Volume!H63,"")</f>
        <v>16230.033273140718</v>
      </c>
      <c r="R55" s="540">
        <f ca="1">IFERROR(R44*Volume!I63,"")</f>
        <v>16230.033273140718</v>
      </c>
      <c r="S55" s="540">
        <f ca="1">IFERROR(S44*Volume!J63,"")</f>
        <v>16230.033273140718</v>
      </c>
      <c r="T55" s="540">
        <f ca="1">IFERROR(T44*Volume!K63,"")</f>
        <v>16230.033273140718</v>
      </c>
      <c r="U55" s="540">
        <f ca="1">IFERROR(U44*Volume!L63,"")</f>
        <v>16230.033273140718</v>
      </c>
      <c r="V55" s="540">
        <f ca="1">IFERROR(V44*Volume!M63,"")</f>
        <v>16230.033273140718</v>
      </c>
      <c r="W55" s="564"/>
      <c r="Z55" s="565">
        <f t="shared" ca="1" si="31"/>
        <v>81150.166365703568</v>
      </c>
      <c r="AA55" s="565">
        <f t="shared" ca="1" si="32"/>
        <v>81150.166365703568</v>
      </c>
      <c r="AB55" s="565">
        <f t="shared" ca="1" si="33"/>
        <v>81150.166365703568</v>
      </c>
      <c r="AC55" s="565">
        <f t="shared" ca="1" si="34"/>
        <v>81150.166365703597</v>
      </c>
      <c r="AD55" s="565">
        <f t="shared" ca="1" si="35"/>
        <v>81150.166365703568</v>
      </c>
      <c r="AE55" s="565">
        <f t="shared" ca="1" si="36"/>
        <v>81150.166365703597</v>
      </c>
      <c r="AF55" s="565">
        <f t="shared" ca="1" si="37"/>
        <v>81150.166365703568</v>
      </c>
    </row>
    <row r="56" spans="2:32" ht="28.9" customHeight="1" thickTop="1" thickBot="1">
      <c r="B56" s="551"/>
      <c r="C56" s="539"/>
      <c r="D56" s="539"/>
      <c r="E56" s="539"/>
      <c r="F56" s="539" t="s">
        <v>363</v>
      </c>
      <c r="G56" s="540"/>
      <c r="H56" s="540"/>
      <c r="I56" s="540"/>
      <c r="J56" s="540"/>
      <c r="K56" s="540"/>
      <c r="L56" s="540"/>
      <c r="M56" s="540"/>
      <c r="P56" s="540"/>
      <c r="Q56" s="540"/>
      <c r="R56" s="540"/>
      <c r="S56" s="540"/>
      <c r="T56" s="540"/>
      <c r="U56" s="540"/>
      <c r="V56" s="540"/>
      <c r="Z56" s="565">
        <f t="shared" si="31"/>
        <v>0</v>
      </c>
      <c r="AA56" s="565">
        <f t="shared" si="32"/>
        <v>0</v>
      </c>
      <c r="AB56" s="565">
        <f t="shared" si="33"/>
        <v>0</v>
      </c>
      <c r="AC56" s="565">
        <f t="shared" si="34"/>
        <v>0</v>
      </c>
      <c r="AD56" s="565">
        <f t="shared" si="35"/>
        <v>0</v>
      </c>
      <c r="AE56" s="565">
        <f t="shared" si="36"/>
        <v>0</v>
      </c>
      <c r="AF56" s="565">
        <f t="shared" si="37"/>
        <v>0</v>
      </c>
    </row>
    <row r="57" spans="2:32" ht="28.9" customHeight="1" thickTop="1" thickBot="1">
      <c r="B57" s="551"/>
      <c r="C57" s="539"/>
      <c r="D57" s="539"/>
      <c r="E57" s="539"/>
      <c r="F57" s="539" t="s">
        <v>112</v>
      </c>
      <c r="G57" s="540">
        <f ca="1">IFERROR(G45*Volume!G65,"0")</f>
        <v>86329.9642188336</v>
      </c>
      <c r="H57" s="540">
        <f ca="1">IFERROR(H45*Volume!H65,"0")</f>
        <v>86329.9642188336</v>
      </c>
      <c r="I57" s="540">
        <f ca="1">IFERROR(I45*Volume!I65,"0")</f>
        <v>86329.9642188336</v>
      </c>
      <c r="J57" s="540">
        <f ca="1">IFERROR(J45*Volume!J65,"0")</f>
        <v>86329.9642188336</v>
      </c>
      <c r="K57" s="540">
        <f ca="1">IFERROR(K45*Volume!K65,"0")</f>
        <v>86329.9642188336</v>
      </c>
      <c r="L57" s="540">
        <f ca="1">IFERROR(L45*Volume!L65,"0")</f>
        <v>86329.9642188336</v>
      </c>
      <c r="M57" s="540">
        <f ca="1">IFERROR(M45*Volume!M65,"0")</f>
        <v>86329.9642188336</v>
      </c>
      <c r="N57" s="564"/>
      <c r="P57" s="540">
        <f ca="1">IFERROR(P45*Volume!G65,"0")</f>
        <v>0</v>
      </c>
      <c r="Q57" s="540">
        <f ca="1">IFERROR(Q45*Volume!H65,"0")</f>
        <v>0</v>
      </c>
      <c r="R57" s="540">
        <f ca="1">IFERROR(R45*Volume!I65,"0")</f>
        <v>0</v>
      </c>
      <c r="S57" s="540">
        <f ca="1">IFERROR(S45*Volume!J65,"0")</f>
        <v>0</v>
      </c>
      <c r="T57" s="540">
        <f ca="1">IFERROR(T45*Volume!K65,"0")</f>
        <v>0</v>
      </c>
      <c r="U57" s="540">
        <f ca="1">IFERROR(U45*Volume!L65,"0")</f>
        <v>0</v>
      </c>
      <c r="V57" s="540">
        <f ca="1">IFERROR(V45*Volume!M65,"0")</f>
        <v>0</v>
      </c>
      <c r="W57" s="564"/>
      <c r="Z57" s="565">
        <f t="shared" ca="1" si="31"/>
        <v>86329.9642188336</v>
      </c>
      <c r="AA57" s="565">
        <f t="shared" ca="1" si="32"/>
        <v>86329.9642188336</v>
      </c>
      <c r="AB57" s="565">
        <f t="shared" ca="1" si="33"/>
        <v>86329.9642188336</v>
      </c>
      <c r="AC57" s="565">
        <f t="shared" ca="1" si="34"/>
        <v>86329.9642188336</v>
      </c>
      <c r="AD57" s="565">
        <f t="shared" ca="1" si="35"/>
        <v>86329.9642188336</v>
      </c>
      <c r="AE57" s="565">
        <f t="shared" ca="1" si="36"/>
        <v>86329.9642188336</v>
      </c>
      <c r="AF57" s="565">
        <f t="shared" ca="1" si="37"/>
        <v>86329.9642188336</v>
      </c>
    </row>
    <row r="58" spans="2:32" ht="28.9" customHeight="1" thickTop="1">
      <c r="B58" s="547"/>
      <c r="C58" s="548"/>
      <c r="D58" s="531"/>
      <c r="E58" s="531"/>
      <c r="F58" s="531"/>
      <c r="G58" s="532"/>
      <c r="H58" s="532"/>
      <c r="I58" s="532"/>
      <c r="J58" s="532"/>
      <c r="K58" s="532"/>
      <c r="L58" s="532"/>
      <c r="M58" s="550"/>
      <c r="P58" s="532"/>
      <c r="Q58" s="532"/>
      <c r="R58" s="532"/>
      <c r="S58" s="532"/>
      <c r="T58" s="532"/>
      <c r="U58" s="532"/>
      <c r="V58" s="550"/>
    </row>
    <row r="59" spans="2:32" ht="48" customHeight="1" thickBot="1">
      <c r="B59" s="566"/>
      <c r="C59" s="567"/>
      <c r="D59" s="567"/>
      <c r="E59" s="567"/>
      <c r="F59" s="567" t="s">
        <v>395</v>
      </c>
      <c r="G59" s="568">
        <f ca="1">SUM(G53:G57)</f>
        <v>386067.5999866238</v>
      </c>
      <c r="H59" s="568">
        <f t="shared" ref="H59:M59" ca="1" si="38">SUM(H53:H57)</f>
        <v>386067.5999866238</v>
      </c>
      <c r="I59" s="568">
        <f t="shared" ca="1" si="38"/>
        <v>386067.5999866238</v>
      </c>
      <c r="J59" s="568">
        <f t="shared" ca="1" si="38"/>
        <v>386067.59998662386</v>
      </c>
      <c r="K59" s="568">
        <f t="shared" ca="1" si="38"/>
        <v>386067.5999866238</v>
      </c>
      <c r="L59" s="568">
        <f t="shared" ca="1" si="38"/>
        <v>386067.59998662386</v>
      </c>
      <c r="M59" s="569">
        <f t="shared" ca="1" si="38"/>
        <v>386067.5999866238</v>
      </c>
      <c r="P59" s="568">
        <f ca="1">SUM(P53:P57)</f>
        <v>74934.408941947564</v>
      </c>
      <c r="Q59" s="568">
        <f t="shared" ref="Q59:V59" ca="1" si="39">SUM(Q53:Q57)</f>
        <v>74934.408941947564</v>
      </c>
      <c r="R59" s="568">
        <f t="shared" ca="1" si="39"/>
        <v>74934.408941947564</v>
      </c>
      <c r="S59" s="568">
        <f t="shared" ca="1" si="39"/>
        <v>74934.408941947564</v>
      </c>
      <c r="T59" s="568">
        <f t="shared" ca="1" si="39"/>
        <v>74934.408941947564</v>
      </c>
      <c r="U59" s="568">
        <f t="shared" ca="1" si="39"/>
        <v>74934.408941947564</v>
      </c>
      <c r="V59" s="569">
        <f t="shared" ca="1" si="39"/>
        <v>74934.408941947564</v>
      </c>
      <c r="Z59" s="565">
        <f ca="1">SUM(Z53:Z57)</f>
        <v>461002.00892857136</v>
      </c>
      <c r="AA59" s="565">
        <f t="shared" ref="AA59:AF59" ca="1" si="40">SUM(AA53:AA57)</f>
        <v>461002.00892857136</v>
      </c>
      <c r="AB59" s="565">
        <f t="shared" ca="1" si="40"/>
        <v>461002.00892857136</v>
      </c>
      <c r="AC59" s="565">
        <f t="shared" ca="1" si="40"/>
        <v>461002.00892857136</v>
      </c>
      <c r="AD59" s="565">
        <f t="shared" ca="1" si="40"/>
        <v>461002.00892857136</v>
      </c>
      <c r="AE59" s="565">
        <f t="shared" ca="1" si="40"/>
        <v>461002.00892857136</v>
      </c>
      <c r="AF59" s="565">
        <f t="shared" ca="1" si="40"/>
        <v>461002.00892857136</v>
      </c>
    </row>
    <row r="60" spans="2:32" ht="29" thickBot="1">
      <c r="Z60" s="565">
        <f ca="1">+Z59-Volume!G67</f>
        <v>0</v>
      </c>
      <c r="AA60" s="565">
        <f ca="1">+AA59-Volume!H67</f>
        <v>0</v>
      </c>
      <c r="AB60" s="565">
        <f ca="1">+AB59-Volume!I67</f>
        <v>0</v>
      </c>
      <c r="AC60" s="565">
        <f ca="1">+AC59-Volume!J67</f>
        <v>0</v>
      </c>
      <c r="AD60" s="565">
        <f ca="1">+AD59-Volume!K67</f>
        <v>0</v>
      </c>
      <c r="AE60" s="565">
        <f ca="1">+AE59-Volume!L67</f>
        <v>0</v>
      </c>
      <c r="AF60" s="565">
        <f ca="1">+AF59-Volume!M67</f>
        <v>0</v>
      </c>
    </row>
    <row r="61" spans="2:32" ht="49.9" customHeight="1" thickBot="1">
      <c r="B61" s="559"/>
      <c r="C61" s="560"/>
      <c r="D61" s="560"/>
      <c r="E61" s="570" t="s">
        <v>422</v>
      </c>
      <c r="F61" s="570"/>
      <c r="G61" s="562" t="s">
        <v>104</v>
      </c>
      <c r="H61" s="562" t="s">
        <v>105</v>
      </c>
      <c r="I61" s="562" t="s">
        <v>106</v>
      </c>
      <c r="J61" s="562" t="s">
        <v>107</v>
      </c>
      <c r="K61" s="562" t="s">
        <v>108</v>
      </c>
      <c r="L61" s="562" t="s">
        <v>109</v>
      </c>
      <c r="M61" s="563" t="s">
        <v>110</v>
      </c>
      <c r="P61" s="562" t="s">
        <v>104</v>
      </c>
      <c r="Q61" s="562" t="s">
        <v>105</v>
      </c>
      <c r="R61" s="562" t="s">
        <v>106</v>
      </c>
      <c r="S61" s="562" t="s">
        <v>107</v>
      </c>
      <c r="T61" s="562" t="s">
        <v>108</v>
      </c>
      <c r="U61" s="562" t="s">
        <v>109</v>
      </c>
      <c r="V61" s="563" t="s">
        <v>110</v>
      </c>
    </row>
    <row r="62" spans="2:32" ht="10.15" customHeight="1" thickTop="1">
      <c r="B62" s="547"/>
      <c r="C62" s="548"/>
      <c r="D62" s="548"/>
      <c r="E62" s="548"/>
      <c r="F62" s="548"/>
      <c r="G62" s="549"/>
      <c r="H62" s="549"/>
      <c r="I62" s="549"/>
      <c r="J62" s="549"/>
      <c r="K62" s="549"/>
      <c r="L62" s="549"/>
      <c r="M62" s="571"/>
      <c r="P62" s="549"/>
      <c r="Q62" s="549"/>
      <c r="R62" s="549"/>
      <c r="S62" s="549"/>
      <c r="T62" s="549"/>
      <c r="U62" s="549"/>
      <c r="V62" s="571"/>
    </row>
    <row r="63" spans="2:32" s="420" customFormat="1" ht="36.65" customHeight="1" thickBot="1">
      <c r="B63" s="551"/>
      <c r="C63" s="539"/>
      <c r="D63" s="539"/>
      <c r="E63" s="539"/>
      <c r="F63" s="539" t="s">
        <v>362</v>
      </c>
      <c r="G63" s="540" t="e">
        <f>+G42*#REF!</f>
        <v>#REF!</v>
      </c>
      <c r="H63" s="540" t="e">
        <f>+H42*#REF!</f>
        <v>#REF!</v>
      </c>
      <c r="I63" s="540" t="e">
        <f>+I42*#REF!</f>
        <v>#REF!</v>
      </c>
      <c r="J63" s="540" t="e">
        <f>+J42*#REF!</f>
        <v>#REF!</v>
      </c>
      <c r="K63" s="540" t="e">
        <f>+K42*#REF!</f>
        <v>#REF!</v>
      </c>
      <c r="L63" s="540" t="e">
        <f>+L42*#REF!</f>
        <v>#REF!</v>
      </c>
      <c r="M63" s="572" t="e">
        <f>+M42*#REF!</f>
        <v>#REF!</v>
      </c>
      <c r="O63" s="418"/>
      <c r="P63" s="540" t="e">
        <f>+P42*#REF!</f>
        <v>#REF!</v>
      </c>
      <c r="Q63" s="540" t="e">
        <f>+Q42*#REF!</f>
        <v>#REF!</v>
      </c>
      <c r="R63" s="540" t="e">
        <f>+R42*#REF!</f>
        <v>#REF!</v>
      </c>
      <c r="S63" s="540" t="e">
        <f>+S42*#REF!</f>
        <v>#REF!</v>
      </c>
      <c r="T63" s="540" t="e">
        <f>+T42*#REF!</f>
        <v>#REF!</v>
      </c>
      <c r="U63" s="540" t="e">
        <f>+U42*#REF!</f>
        <v>#REF!</v>
      </c>
      <c r="V63" s="572" t="e">
        <f>+V42*#REF!</f>
        <v>#REF!</v>
      </c>
    </row>
    <row r="64" spans="2:32" s="420" customFormat="1" ht="36.65" customHeight="1" thickTop="1" thickBot="1">
      <c r="B64" s="551"/>
      <c r="C64" s="539"/>
      <c r="D64" s="539"/>
      <c r="E64" s="539"/>
      <c r="F64" s="539" t="s">
        <v>103</v>
      </c>
      <c r="G64" s="540">
        <f ca="1">+G43*#REF!</f>
        <v>0</v>
      </c>
      <c r="H64" s="540">
        <f ca="1">+H43*#REF!</f>
        <v>0</v>
      </c>
      <c r="I64" s="540">
        <f ca="1">+I43*#REF!</f>
        <v>455943.02670623153</v>
      </c>
      <c r="J64" s="540">
        <f ca="1">+J43*#REF!</f>
        <v>0</v>
      </c>
      <c r="K64" s="540">
        <f ca="1">+K43*#REF!</f>
        <v>455943.02670623153</v>
      </c>
      <c r="L64" s="540">
        <f ca="1">+L43*#REF!</f>
        <v>0</v>
      </c>
      <c r="M64" s="572">
        <f ca="1">+M43*#REF!</f>
        <v>455943.02670623153</v>
      </c>
      <c r="O64" s="418"/>
      <c r="P64" s="540">
        <f ca="1">+P43*#REF!</f>
        <v>0</v>
      </c>
      <c r="Q64" s="540">
        <f ca="1">+Q43*#REF!</f>
        <v>0</v>
      </c>
      <c r="R64" s="540">
        <f ca="1">+R43*#REF!</f>
        <v>113985.75667655788</v>
      </c>
      <c r="S64" s="540">
        <f ca="1">+S43*#REF!</f>
        <v>0</v>
      </c>
      <c r="T64" s="540">
        <f ca="1">+T43*#REF!</f>
        <v>113985.75667655788</v>
      </c>
      <c r="U64" s="540">
        <f ca="1">+U43*#REF!</f>
        <v>0</v>
      </c>
      <c r="V64" s="572">
        <f ca="1">+V43*#REF!</f>
        <v>113985.75667655788</v>
      </c>
    </row>
    <row r="65" spans="2:32" s="420" customFormat="1" ht="36.65" customHeight="1" thickTop="1" thickBot="1">
      <c r="B65" s="551"/>
      <c r="C65" s="539"/>
      <c r="D65" s="539"/>
      <c r="E65" s="539"/>
      <c r="F65" s="539" t="s">
        <v>431</v>
      </c>
      <c r="G65" s="540" t="e">
        <f>+#REF!*G44</f>
        <v>#REF!</v>
      </c>
      <c r="H65" s="540" t="e">
        <f>+#REF!*H44</f>
        <v>#REF!</v>
      </c>
      <c r="I65" s="540" t="e">
        <f>+#REF!*I44</f>
        <v>#REF!</v>
      </c>
      <c r="J65" s="540" t="e">
        <f>+#REF!*J44</f>
        <v>#REF!</v>
      </c>
      <c r="K65" s="540" t="e">
        <f>+#REF!*K44</f>
        <v>#REF!</v>
      </c>
      <c r="L65" s="540" t="e">
        <f>+#REF!*L44</f>
        <v>#REF!</v>
      </c>
      <c r="M65" s="572" t="e">
        <f>+#REF!*M44</f>
        <v>#REF!</v>
      </c>
      <c r="O65" s="418"/>
      <c r="P65" s="540" t="e">
        <f>+#REF!*P44</f>
        <v>#REF!</v>
      </c>
      <c r="Q65" s="540" t="e">
        <f>+#REF!*Q44</f>
        <v>#REF!</v>
      </c>
      <c r="R65" s="540" t="e">
        <f>+#REF!*R44</f>
        <v>#REF!</v>
      </c>
      <c r="S65" s="540" t="e">
        <f>+#REF!*S44</f>
        <v>#REF!</v>
      </c>
      <c r="T65" s="540" t="e">
        <f>+#REF!*T44</f>
        <v>#REF!</v>
      </c>
      <c r="U65" s="540" t="e">
        <f>+#REF!*U44</f>
        <v>#REF!</v>
      </c>
      <c r="V65" s="572" t="e">
        <f>+#REF!*V44</f>
        <v>#REF!</v>
      </c>
    </row>
    <row r="66" spans="2:32" s="420" customFormat="1" ht="36.65" customHeight="1" thickTop="1" thickBot="1">
      <c r="B66" s="551"/>
      <c r="C66" s="539"/>
      <c r="D66" s="539"/>
      <c r="E66" s="539"/>
      <c r="F66" s="539" t="s">
        <v>363</v>
      </c>
      <c r="G66" s="540">
        <f ca="1">+#REF!*'Volume Local_Export'!G45</f>
        <v>422059.92509363295</v>
      </c>
      <c r="H66" s="540">
        <f ca="1">+#REF!*'Volume Local_Export'!H45</f>
        <v>422059.92509363295</v>
      </c>
      <c r="I66" s="540">
        <f ca="1">+#REF!*'Volume Local_Export'!I45</f>
        <v>407091.9881305637</v>
      </c>
      <c r="J66" s="540">
        <f ca="1">+#REF!*'Volume Local_Export'!J45</f>
        <v>422059.92509363295</v>
      </c>
      <c r="K66" s="540">
        <f ca="1">+#REF!*'Volume Local_Export'!K45</f>
        <v>407091.9881305637</v>
      </c>
      <c r="L66" s="540">
        <f ca="1">+#REF!*'Volume Local_Export'!L45</f>
        <v>422059.92509363295</v>
      </c>
      <c r="M66" s="572">
        <f ca="1">+#REF!*'Volume Local_Export'!M45</f>
        <v>407091.9881305637</v>
      </c>
      <c r="O66" s="418"/>
      <c r="P66" s="540">
        <f ca="1">+P45*#REF!</f>
        <v>0</v>
      </c>
      <c r="Q66" s="540">
        <f ca="1">+Q45*#REF!</f>
        <v>0</v>
      </c>
      <c r="R66" s="540">
        <f ca="1">+R45*#REF!</f>
        <v>0</v>
      </c>
      <c r="S66" s="540">
        <f ca="1">+S45*#REF!</f>
        <v>0</v>
      </c>
      <c r="T66" s="540">
        <f ca="1">+T45*#REF!</f>
        <v>0</v>
      </c>
      <c r="U66" s="540">
        <f ca="1">+U45*#REF!</f>
        <v>0</v>
      </c>
      <c r="V66" s="572">
        <f ca="1">+V45*#REF!</f>
        <v>0</v>
      </c>
    </row>
    <row r="67" spans="2:32" s="420" customFormat="1" ht="36.65" customHeight="1" thickTop="1" thickBot="1">
      <c r="B67" s="573"/>
      <c r="C67" s="574"/>
      <c r="D67" s="574"/>
      <c r="E67" s="574"/>
      <c r="F67" s="574" t="s">
        <v>112</v>
      </c>
      <c r="G67" s="575"/>
      <c r="H67" s="575"/>
      <c r="I67" s="575"/>
      <c r="J67" s="575"/>
      <c r="K67" s="575"/>
      <c r="L67" s="575"/>
      <c r="M67" s="576"/>
      <c r="O67" s="418"/>
      <c r="P67" s="575"/>
      <c r="Q67" s="575"/>
      <c r="R67" s="575"/>
      <c r="S67" s="575"/>
      <c r="T67" s="575"/>
      <c r="U67" s="575"/>
      <c r="V67" s="576"/>
    </row>
    <row r="68" spans="2:32" s="420" customFormat="1">
      <c r="B68" s="547"/>
      <c r="C68" s="548"/>
      <c r="D68" s="531"/>
      <c r="E68" s="531"/>
      <c r="F68" s="531"/>
      <c r="G68" s="532"/>
      <c r="H68" s="532"/>
      <c r="I68" s="532"/>
      <c r="J68" s="532"/>
      <c r="K68" s="532"/>
      <c r="L68" s="532"/>
      <c r="M68" s="550"/>
      <c r="O68" s="418"/>
      <c r="P68" s="532"/>
      <c r="Q68" s="532"/>
      <c r="R68" s="532"/>
      <c r="S68" s="532"/>
      <c r="T68" s="532"/>
      <c r="U68" s="532"/>
      <c r="V68" s="550"/>
    </row>
    <row r="69" spans="2:32" ht="48" customHeight="1" thickBot="1">
      <c r="B69" s="566"/>
      <c r="C69" s="567"/>
      <c r="D69" s="567"/>
      <c r="E69" s="567" t="s">
        <v>423</v>
      </c>
      <c r="F69" s="567"/>
      <c r="G69" s="568" t="e">
        <f>SUM(G63:G67)</f>
        <v>#REF!</v>
      </c>
      <c r="H69" s="568" t="e">
        <f t="shared" ref="H69:M69" si="41">SUM(H63:H67)</f>
        <v>#REF!</v>
      </c>
      <c r="I69" s="568" t="e">
        <f t="shared" si="41"/>
        <v>#REF!</v>
      </c>
      <c r="J69" s="568" t="e">
        <f t="shared" si="41"/>
        <v>#REF!</v>
      </c>
      <c r="K69" s="568" t="e">
        <f t="shared" si="41"/>
        <v>#REF!</v>
      </c>
      <c r="L69" s="568" t="e">
        <f t="shared" si="41"/>
        <v>#REF!</v>
      </c>
      <c r="M69" s="569" t="e">
        <f t="shared" si="41"/>
        <v>#REF!</v>
      </c>
      <c r="P69" s="568" t="e">
        <f>SUM(P63:P67)</f>
        <v>#REF!</v>
      </c>
      <c r="Q69" s="568" t="e">
        <f t="shared" ref="Q69:V69" si="42">SUM(Q63:Q67)</f>
        <v>#REF!</v>
      </c>
      <c r="R69" s="568" t="e">
        <f t="shared" si="42"/>
        <v>#REF!</v>
      </c>
      <c r="S69" s="568" t="e">
        <f t="shared" si="42"/>
        <v>#REF!</v>
      </c>
      <c r="T69" s="568" t="e">
        <f t="shared" si="42"/>
        <v>#REF!</v>
      </c>
      <c r="U69" s="568" t="e">
        <f t="shared" si="42"/>
        <v>#REF!</v>
      </c>
      <c r="V69" s="569" t="e">
        <f t="shared" si="42"/>
        <v>#REF!</v>
      </c>
    </row>
    <row r="71" spans="2:32" s="420" customFormat="1" ht="33.65" customHeight="1" thickBot="1">
      <c r="B71" s="539"/>
      <c r="C71" s="539"/>
      <c r="D71" s="539"/>
      <c r="E71" s="539"/>
      <c r="F71" s="539" t="s">
        <v>362</v>
      </c>
      <c r="G71" s="577" t="e">
        <f>+#REF!*'Volume Local_Export'!G42</f>
        <v>#REF!</v>
      </c>
      <c r="H71" s="577" t="e">
        <f>+#REF!*'Volume Local_Export'!H42</f>
        <v>#REF!</v>
      </c>
      <c r="I71" s="577" t="e">
        <f>+#REF!*'Volume Local_Export'!I42</f>
        <v>#REF!</v>
      </c>
      <c r="J71" s="577" t="e">
        <f>+#REF!*'Volume Local_Export'!J42</f>
        <v>#REF!</v>
      </c>
      <c r="K71" s="577" t="e">
        <f>+#REF!*'Volume Local_Export'!K42</f>
        <v>#REF!</v>
      </c>
      <c r="L71" s="577" t="e">
        <f>+#REF!*'Volume Local_Export'!L42</f>
        <v>#REF!</v>
      </c>
      <c r="M71" s="577" t="e">
        <f>+#REF!*'Volume Local_Export'!M42</f>
        <v>#REF!</v>
      </c>
      <c r="O71" s="418"/>
      <c r="P71" s="577" t="e">
        <f>+#REF!*'Volume Local_Export'!P42</f>
        <v>#REF!</v>
      </c>
      <c r="Q71" s="577" t="e">
        <f>+#REF!*'Volume Local_Export'!Q42</f>
        <v>#REF!</v>
      </c>
      <c r="R71" s="577" t="e">
        <f>+#REF!*'Volume Local_Export'!R42</f>
        <v>#REF!</v>
      </c>
      <c r="S71" s="577" t="e">
        <f>+#REF!*'Volume Local_Export'!S42</f>
        <v>#REF!</v>
      </c>
      <c r="T71" s="577" t="e">
        <f>+#REF!*'Volume Local_Export'!T42</f>
        <v>#REF!</v>
      </c>
      <c r="U71" s="577" t="e">
        <f>+#REF!*'Volume Local_Export'!U42</f>
        <v>#REF!</v>
      </c>
      <c r="V71" s="577" t="e">
        <f>+#REF!*'Volume Local_Export'!V42</f>
        <v>#REF!</v>
      </c>
      <c r="Z71" s="578" t="e">
        <f>+G71+P71</f>
        <v>#REF!</v>
      </c>
      <c r="AA71" s="578" t="e">
        <f t="shared" ref="AA71:AF75" si="43">+H71+Q71</f>
        <v>#REF!</v>
      </c>
      <c r="AB71" s="578" t="e">
        <f t="shared" si="43"/>
        <v>#REF!</v>
      </c>
      <c r="AC71" s="578" t="e">
        <f t="shared" si="43"/>
        <v>#REF!</v>
      </c>
      <c r="AD71" s="578" t="e">
        <f t="shared" si="43"/>
        <v>#REF!</v>
      </c>
      <c r="AE71" s="578" t="e">
        <f t="shared" si="43"/>
        <v>#REF!</v>
      </c>
      <c r="AF71" s="578" t="e">
        <f t="shared" si="43"/>
        <v>#REF!</v>
      </c>
    </row>
    <row r="72" spans="2:32" s="420" customFormat="1" ht="33.65" customHeight="1" thickTop="1" thickBot="1">
      <c r="B72" s="539"/>
      <c r="C72" s="539"/>
      <c r="D72" s="539"/>
      <c r="E72" s="539"/>
      <c r="F72" s="539" t="s">
        <v>103</v>
      </c>
      <c r="G72" s="577">
        <f ca="1">+#REF!*'Volume Local_Export'!G43</f>
        <v>0</v>
      </c>
      <c r="H72" s="577">
        <f ca="1">+#REF!*'Volume Local_Export'!H43</f>
        <v>0</v>
      </c>
      <c r="I72" s="577">
        <f ca="1">+#REF!*'Volume Local_Export'!I43</f>
        <v>34655.764810690474</v>
      </c>
      <c r="J72" s="577">
        <f ca="1">+#REF!*'Volume Local_Export'!J43</f>
        <v>0</v>
      </c>
      <c r="K72" s="577">
        <f ca="1">+#REF!*'Volume Local_Export'!K43</f>
        <v>34858.113140311805</v>
      </c>
      <c r="L72" s="577">
        <f ca="1">+#REF!*'Volume Local_Export'!L43</f>
        <v>0</v>
      </c>
      <c r="M72" s="577">
        <f ca="1">+#REF!*'Volume Local_Export'!M43</f>
        <v>35060.461469933267</v>
      </c>
      <c r="O72" s="418"/>
      <c r="P72" s="577">
        <f ca="1">+#REF!*'Volume Local_Export'!P43</f>
        <v>0</v>
      </c>
      <c r="Q72" s="577">
        <f ca="1">+#REF!*'Volume Local_Export'!Q43</f>
        <v>0</v>
      </c>
      <c r="R72" s="577">
        <f ca="1">+#REF!*'Volume Local_Export'!R43</f>
        <v>8663.9412026726186</v>
      </c>
      <c r="S72" s="577">
        <f ca="1">+#REF!*'Volume Local_Export'!S43</f>
        <v>0</v>
      </c>
      <c r="T72" s="577">
        <f ca="1">+#REF!*'Volume Local_Export'!T43</f>
        <v>8714.5282850779513</v>
      </c>
      <c r="U72" s="577">
        <f ca="1">+#REF!*'Volume Local_Export'!U43</f>
        <v>0</v>
      </c>
      <c r="V72" s="577">
        <f ca="1">+#REF!*'Volume Local_Export'!V43</f>
        <v>8765.1153674833167</v>
      </c>
      <c r="Z72" s="578">
        <f t="shared" ref="Z72:Z75" ca="1" si="44">+G72+P72</f>
        <v>0</v>
      </c>
      <c r="AA72" s="578">
        <f t="shared" ca="1" si="43"/>
        <v>0</v>
      </c>
      <c r="AB72" s="578">
        <f t="shared" ca="1" si="43"/>
        <v>43319.706013363095</v>
      </c>
      <c r="AC72" s="578">
        <f t="shared" ca="1" si="43"/>
        <v>0</v>
      </c>
      <c r="AD72" s="578">
        <f t="shared" ca="1" si="43"/>
        <v>43572.641425389753</v>
      </c>
      <c r="AE72" s="578">
        <f t="shared" ca="1" si="43"/>
        <v>0</v>
      </c>
      <c r="AF72" s="578">
        <f t="shared" ca="1" si="43"/>
        <v>43825.576837416585</v>
      </c>
    </row>
    <row r="73" spans="2:32" s="420" customFormat="1" ht="33.65" customHeight="1" thickTop="1" thickBot="1">
      <c r="B73" s="539"/>
      <c r="C73" s="539"/>
      <c r="D73" s="539"/>
      <c r="E73" s="539"/>
      <c r="F73" s="539" t="s">
        <v>431</v>
      </c>
      <c r="G73" s="577" t="e">
        <f>+G44*#REF!</f>
        <v>#REF!</v>
      </c>
      <c r="H73" s="577" t="e">
        <f>+H44*#REF!</f>
        <v>#REF!</v>
      </c>
      <c r="I73" s="577" t="e">
        <f>+I44*#REF!</f>
        <v>#REF!</v>
      </c>
      <c r="J73" s="577" t="e">
        <f>+J44*#REF!</f>
        <v>#REF!</v>
      </c>
      <c r="K73" s="577" t="e">
        <f>+K44*#REF!</f>
        <v>#REF!</v>
      </c>
      <c r="L73" s="577" t="e">
        <f>+L44*#REF!</f>
        <v>#REF!</v>
      </c>
      <c r="M73" s="577" t="e">
        <f>+M44*#REF!</f>
        <v>#REF!</v>
      </c>
      <c r="O73" s="418"/>
      <c r="P73" s="577" t="e">
        <f>+P44*#REF!</f>
        <v>#REF!</v>
      </c>
      <c r="Q73" s="577" t="e">
        <f>+Q44*#REF!</f>
        <v>#REF!</v>
      </c>
      <c r="R73" s="577" t="e">
        <f>+R44*#REF!</f>
        <v>#REF!</v>
      </c>
      <c r="S73" s="577" t="e">
        <f>+S44*#REF!</f>
        <v>#REF!</v>
      </c>
      <c r="T73" s="577" t="e">
        <f>+T44*#REF!</f>
        <v>#REF!</v>
      </c>
      <c r="U73" s="577" t="e">
        <f>+U44*#REF!</f>
        <v>#REF!</v>
      </c>
      <c r="V73" s="577" t="e">
        <f>+V44*#REF!</f>
        <v>#REF!</v>
      </c>
      <c r="Z73" s="578" t="e">
        <f t="shared" si="44"/>
        <v>#REF!</v>
      </c>
      <c r="AA73" s="578" t="e">
        <f t="shared" si="43"/>
        <v>#REF!</v>
      </c>
      <c r="AB73" s="578" t="e">
        <f t="shared" si="43"/>
        <v>#REF!</v>
      </c>
      <c r="AC73" s="578" t="e">
        <f t="shared" si="43"/>
        <v>#REF!</v>
      </c>
      <c r="AD73" s="578" t="e">
        <f t="shared" si="43"/>
        <v>#REF!</v>
      </c>
      <c r="AE73" s="578" t="e">
        <f t="shared" si="43"/>
        <v>#REF!</v>
      </c>
      <c r="AF73" s="578" t="e">
        <f t="shared" si="43"/>
        <v>#REF!</v>
      </c>
    </row>
    <row r="74" spans="2:32" s="420" customFormat="1" ht="33.65" customHeight="1" thickTop="1" thickBot="1">
      <c r="B74" s="539"/>
      <c r="C74" s="539"/>
      <c r="D74" s="539"/>
      <c r="E74" s="539"/>
      <c r="F74" s="539" t="s">
        <v>363</v>
      </c>
      <c r="G74" s="577"/>
      <c r="H74" s="577"/>
      <c r="I74" s="577"/>
      <c r="J74" s="577"/>
      <c r="K74" s="577"/>
      <c r="L74" s="577"/>
      <c r="M74" s="577"/>
      <c r="O74" s="418"/>
      <c r="P74" s="577"/>
      <c r="Q74" s="577"/>
      <c r="R74" s="577"/>
      <c r="S74" s="577"/>
      <c r="T74" s="577"/>
      <c r="U74" s="577"/>
      <c r="V74" s="577"/>
      <c r="Z74" s="578">
        <f t="shared" si="44"/>
        <v>0</v>
      </c>
      <c r="AA74" s="578">
        <f t="shared" si="43"/>
        <v>0</v>
      </c>
      <c r="AB74" s="578">
        <f t="shared" si="43"/>
        <v>0</v>
      </c>
      <c r="AC74" s="578">
        <f t="shared" si="43"/>
        <v>0</v>
      </c>
      <c r="AD74" s="578">
        <f t="shared" si="43"/>
        <v>0</v>
      </c>
      <c r="AE74" s="578">
        <f t="shared" si="43"/>
        <v>0</v>
      </c>
      <c r="AF74" s="578">
        <f t="shared" si="43"/>
        <v>0</v>
      </c>
    </row>
    <row r="75" spans="2:32" s="420" customFormat="1" ht="33.65" customHeight="1" thickTop="1" thickBot="1">
      <c r="B75" s="539"/>
      <c r="C75" s="539"/>
      <c r="D75" s="539"/>
      <c r="E75" s="539"/>
      <c r="F75" s="539" t="s">
        <v>112</v>
      </c>
      <c r="G75" s="577">
        <f ca="1">+G45*#REF!</f>
        <v>202451.88530484782</v>
      </c>
      <c r="H75" s="577">
        <f ca="1">+H45*#REF!</f>
        <v>202451.88530484782</v>
      </c>
      <c r="I75" s="577">
        <f ca="1">+I45*#REF!</f>
        <v>202248.96213808464</v>
      </c>
      <c r="J75" s="577">
        <f ca="1">+J45*#REF!</f>
        <v>285579.69750899274</v>
      </c>
      <c r="K75" s="577">
        <f ca="1">+K45*#REF!</f>
        <v>285306.6280623608</v>
      </c>
      <c r="L75" s="577">
        <f ca="1">+L45*#REF!</f>
        <v>368707.5097131377</v>
      </c>
      <c r="M75" s="577">
        <f ca="1">+M45*#REF!</f>
        <v>368364.29398663691</v>
      </c>
      <c r="O75" s="418"/>
      <c r="P75" s="577">
        <f ca="1">+P45*#REF!</f>
        <v>0</v>
      </c>
      <c r="Q75" s="577">
        <f ca="1">+Q45*#REF!</f>
        <v>0</v>
      </c>
      <c r="R75" s="577">
        <f ca="1">+R45*#REF!</f>
        <v>0</v>
      </c>
      <c r="S75" s="577">
        <f ca="1">+S45*#REF!</f>
        <v>0</v>
      </c>
      <c r="T75" s="577">
        <f ca="1">+T45*#REF!</f>
        <v>0</v>
      </c>
      <c r="U75" s="577">
        <f ca="1">+U45*#REF!</f>
        <v>0</v>
      </c>
      <c r="V75" s="577">
        <f ca="1">+V45*#REF!</f>
        <v>0</v>
      </c>
      <c r="Z75" s="578">
        <f t="shared" ca="1" si="44"/>
        <v>202451.88530484782</v>
      </c>
      <c r="AA75" s="578">
        <f t="shared" ca="1" si="43"/>
        <v>202451.88530484782</v>
      </c>
      <c r="AB75" s="578">
        <f t="shared" ca="1" si="43"/>
        <v>202248.96213808464</v>
      </c>
      <c r="AC75" s="578">
        <f t="shared" ca="1" si="43"/>
        <v>285579.69750899274</v>
      </c>
      <c r="AD75" s="578">
        <f t="shared" ca="1" si="43"/>
        <v>285306.6280623608</v>
      </c>
      <c r="AE75" s="578">
        <f t="shared" ca="1" si="43"/>
        <v>368707.5097131377</v>
      </c>
      <c r="AF75" s="578">
        <f t="shared" ca="1" si="43"/>
        <v>368364.29398663691</v>
      </c>
    </row>
    <row r="76" spans="2:32" s="420" customFormat="1" ht="29" thickTop="1">
      <c r="B76" s="418"/>
      <c r="C76" s="418"/>
      <c r="D76" s="531"/>
      <c r="E76" s="531"/>
      <c r="F76" s="531"/>
      <c r="G76" s="579"/>
      <c r="H76" s="579"/>
      <c r="I76" s="579"/>
      <c r="J76" s="579"/>
      <c r="K76" s="579"/>
      <c r="L76" s="579"/>
      <c r="M76" s="579"/>
      <c r="O76" s="418"/>
      <c r="P76" s="579"/>
      <c r="Q76" s="579"/>
      <c r="R76" s="579"/>
      <c r="S76" s="579"/>
      <c r="T76" s="579"/>
      <c r="U76" s="579"/>
      <c r="V76" s="579"/>
    </row>
    <row r="77" spans="2:32" s="420" customFormat="1" ht="39.65" customHeight="1" thickBot="1">
      <c r="B77" s="535"/>
      <c r="C77" s="535"/>
      <c r="D77" s="535"/>
      <c r="E77" s="535"/>
      <c r="F77" s="535" t="s">
        <v>175</v>
      </c>
      <c r="G77" s="580" t="e">
        <f>SUM(G71:G75)</f>
        <v>#REF!</v>
      </c>
      <c r="H77" s="580" t="e">
        <f t="shared" ref="H77:M77" si="45">SUM(H71:H75)</f>
        <v>#REF!</v>
      </c>
      <c r="I77" s="580" t="e">
        <f t="shared" si="45"/>
        <v>#REF!</v>
      </c>
      <c r="J77" s="580" t="e">
        <f t="shared" si="45"/>
        <v>#REF!</v>
      </c>
      <c r="K77" s="580" t="e">
        <f t="shared" si="45"/>
        <v>#REF!</v>
      </c>
      <c r="L77" s="580" t="e">
        <f t="shared" si="45"/>
        <v>#REF!</v>
      </c>
      <c r="M77" s="580" t="e">
        <f t="shared" si="45"/>
        <v>#REF!</v>
      </c>
      <c r="O77" s="418"/>
      <c r="P77" s="580" t="e">
        <f>SUM(P71:P75)</f>
        <v>#REF!</v>
      </c>
      <c r="Q77" s="580" t="e">
        <f t="shared" ref="Q77:V77" si="46">SUM(Q71:Q75)</f>
        <v>#REF!</v>
      </c>
      <c r="R77" s="580" t="e">
        <f t="shared" si="46"/>
        <v>#REF!</v>
      </c>
      <c r="S77" s="580" t="e">
        <f t="shared" si="46"/>
        <v>#REF!</v>
      </c>
      <c r="T77" s="580" t="e">
        <f t="shared" si="46"/>
        <v>#REF!</v>
      </c>
      <c r="U77" s="580" t="e">
        <f t="shared" si="46"/>
        <v>#REF!</v>
      </c>
      <c r="V77" s="580" t="e">
        <f t="shared" si="46"/>
        <v>#REF!</v>
      </c>
      <c r="Z77" s="581" t="e">
        <f>SUM(Z71:Z75)</f>
        <v>#REF!</v>
      </c>
      <c r="AA77" s="581" t="e">
        <f t="shared" ref="AA77:AF77" si="47">SUM(AA71:AA75)</f>
        <v>#REF!</v>
      </c>
      <c r="AB77" s="581" t="e">
        <f t="shared" si="47"/>
        <v>#REF!</v>
      </c>
      <c r="AC77" s="581" t="e">
        <f t="shared" si="47"/>
        <v>#REF!</v>
      </c>
      <c r="AD77" s="581" t="e">
        <f t="shared" si="47"/>
        <v>#REF!</v>
      </c>
      <c r="AE77" s="581" t="e">
        <f t="shared" si="47"/>
        <v>#REF!</v>
      </c>
      <c r="AF77" s="581" t="e">
        <f t="shared" si="47"/>
        <v>#REF!</v>
      </c>
    </row>
    <row r="78" spans="2:32" s="420" customFormat="1" ht="29" thickTop="1">
      <c r="B78" s="418"/>
      <c r="C78" s="418"/>
      <c r="D78" s="418"/>
      <c r="E78" s="418"/>
      <c r="F78" s="418"/>
      <c r="O78" s="418"/>
      <c r="Z78" s="582" t="e">
        <f>+#REF!</f>
        <v>#REF!</v>
      </c>
      <c r="AA78" s="582" t="e">
        <f>+#REF!</f>
        <v>#REF!</v>
      </c>
      <c r="AB78" s="582" t="e">
        <f>+#REF!</f>
        <v>#REF!</v>
      </c>
      <c r="AC78" s="582" t="e">
        <f>+#REF!</f>
        <v>#REF!</v>
      </c>
      <c r="AD78" s="582" t="e">
        <f>+#REF!</f>
        <v>#REF!</v>
      </c>
      <c r="AE78" s="582" t="e">
        <f>+#REF!</f>
        <v>#REF!</v>
      </c>
      <c r="AF78" s="582" t="e">
        <f>+#REF!</f>
        <v>#REF!</v>
      </c>
    </row>
    <row r="79" spans="2:32" ht="48" customHeight="1" thickBot="1">
      <c r="B79" s="566"/>
      <c r="C79" s="567"/>
      <c r="D79" s="567"/>
      <c r="E79" s="567" t="s">
        <v>424</v>
      </c>
      <c r="F79" s="567"/>
      <c r="G79" s="568" t="s">
        <v>104</v>
      </c>
      <c r="H79" s="568" t="s">
        <v>105</v>
      </c>
      <c r="I79" s="568" t="s">
        <v>106</v>
      </c>
      <c r="J79" s="568" t="s">
        <v>107</v>
      </c>
      <c r="K79" s="568" t="s">
        <v>108</v>
      </c>
      <c r="L79" s="568" t="s">
        <v>109</v>
      </c>
      <c r="M79" s="569" t="s">
        <v>110</v>
      </c>
      <c r="P79" s="568" t="s">
        <v>104</v>
      </c>
      <c r="Q79" s="568" t="s">
        <v>105</v>
      </c>
      <c r="R79" s="568" t="s">
        <v>106</v>
      </c>
      <c r="S79" s="568" t="s">
        <v>107</v>
      </c>
      <c r="T79" s="568" t="s">
        <v>108</v>
      </c>
      <c r="U79" s="568" t="s">
        <v>109</v>
      </c>
      <c r="V79" s="569" t="s">
        <v>110</v>
      </c>
    </row>
    <row r="80" spans="2:32" s="420" customFormat="1">
      <c r="B80" s="418"/>
      <c r="C80" s="418"/>
      <c r="D80" s="418"/>
      <c r="E80" s="418"/>
      <c r="F80" s="418"/>
      <c r="O80" s="418"/>
    </row>
    <row r="81" spans="2:32" ht="34.15" customHeight="1" thickBot="1">
      <c r="B81" s="539"/>
      <c r="C81" s="539"/>
      <c r="D81" s="539"/>
      <c r="E81" s="539"/>
      <c r="F81" s="539" t="s">
        <v>362</v>
      </c>
      <c r="G81" s="540">
        <f>+G42*Volume!G167</f>
        <v>137579.90400000001</v>
      </c>
      <c r="H81" s="540">
        <f>+H42*Volume!H167</f>
        <v>206369.85600000003</v>
      </c>
      <c r="I81" s="540">
        <f>+I42*Volume!I167</f>
        <v>275159.80800000002</v>
      </c>
      <c r="J81" s="540">
        <f>+J42*Volume!J167</f>
        <v>343949.76</v>
      </c>
      <c r="K81" s="540">
        <f>+K42*Volume!K167</f>
        <v>412739.71200000006</v>
      </c>
      <c r="L81" s="540">
        <f>+L42*Volume!L167</f>
        <v>481529.66399999993</v>
      </c>
      <c r="M81" s="540">
        <f>+M42*Volume!M167</f>
        <v>550319.61600000004</v>
      </c>
      <c r="P81" s="540">
        <f>+P42*Volume!G167</f>
        <v>34394.976000000002</v>
      </c>
      <c r="Q81" s="540">
        <f>+Q42*Volume!H167</f>
        <v>51592.464000000007</v>
      </c>
      <c r="R81" s="540">
        <f>+R42*Volume!I167</f>
        <v>68789.952000000005</v>
      </c>
      <c r="S81" s="540">
        <f>+S42*Volume!J167</f>
        <v>85987.44</v>
      </c>
      <c r="T81" s="540">
        <f>+T42*Volume!K167</f>
        <v>103184.92800000001</v>
      </c>
      <c r="U81" s="540">
        <f>+U42*Volume!L167</f>
        <v>120382.416</v>
      </c>
      <c r="V81" s="540">
        <f>+V42*Volume!M167</f>
        <v>137579.90400000001</v>
      </c>
      <c r="Z81" s="565">
        <f>+G81+P81</f>
        <v>171974.88</v>
      </c>
      <c r="AA81" s="565">
        <f t="shared" ref="AA81:AF81" si="48">+H81+Q81</f>
        <v>257962.32000000004</v>
      </c>
      <c r="AB81" s="565">
        <f t="shared" si="48"/>
        <v>343949.76</v>
      </c>
      <c r="AC81" s="565">
        <f t="shared" si="48"/>
        <v>429937.2</v>
      </c>
      <c r="AD81" s="565">
        <f t="shared" si="48"/>
        <v>515924.64000000007</v>
      </c>
      <c r="AE81" s="565">
        <f t="shared" si="48"/>
        <v>601912.07999999996</v>
      </c>
      <c r="AF81" s="565">
        <f t="shared" si="48"/>
        <v>687899.52</v>
      </c>
    </row>
    <row r="82" spans="2:32" ht="34.15" customHeight="1" thickTop="1" thickBot="1">
      <c r="B82" s="539"/>
      <c r="C82" s="539"/>
      <c r="D82" s="539"/>
      <c r="E82" s="539"/>
      <c r="F82" s="539" t="s">
        <v>103</v>
      </c>
      <c r="G82" s="540">
        <f ca="1">+G43*Volume!G168</f>
        <v>0</v>
      </c>
      <c r="H82" s="540">
        <f ca="1">+H43*Volume!H168</f>
        <v>0</v>
      </c>
      <c r="I82" s="540">
        <f ca="1">+I43*Volume!I168</f>
        <v>1489.016320000115</v>
      </c>
      <c r="J82" s="540">
        <f ca="1">+J43*Volume!J168</f>
        <v>0</v>
      </c>
      <c r="K82" s="540">
        <f ca="1">+K43*Volume!K168</f>
        <v>2233.5244799999973</v>
      </c>
      <c r="L82" s="540">
        <f ca="1">+L43*Volume!L168</f>
        <v>0</v>
      </c>
      <c r="M82" s="540">
        <f ca="1">+M43*Volume!M168</f>
        <v>2978.03264000023</v>
      </c>
      <c r="P82" s="540">
        <f ca="1">+P43*Volume!G168</f>
        <v>0</v>
      </c>
      <c r="Q82" s="540">
        <f ca="1">+Q43*Volume!H168</f>
        <v>0</v>
      </c>
      <c r="R82" s="540">
        <f ca="1">+R43*Volume!I168</f>
        <v>372.25408000002875</v>
      </c>
      <c r="S82" s="540">
        <f ca="1">+S43*Volume!J168</f>
        <v>0</v>
      </c>
      <c r="T82" s="540">
        <f ca="1">+T43*Volume!K168</f>
        <v>558.38111999999933</v>
      </c>
      <c r="U82" s="540">
        <f ca="1">+U43*Volume!L168</f>
        <v>0</v>
      </c>
      <c r="V82" s="540">
        <f ca="1">+V43*Volume!M168</f>
        <v>744.5081600000575</v>
      </c>
      <c r="Z82" s="565">
        <f t="shared" ref="Z82:Z85" ca="1" si="49">+G82+P82</f>
        <v>0</v>
      </c>
      <c r="AA82" s="565">
        <f t="shared" ref="AA82:AA85" ca="1" si="50">+H82+Q82</f>
        <v>0</v>
      </c>
      <c r="AB82" s="565">
        <f t="shared" ref="AB82:AB85" ca="1" si="51">+I82+R82</f>
        <v>1861.2704000001438</v>
      </c>
      <c r="AC82" s="565">
        <f t="shared" ref="AC82:AC85" ca="1" si="52">+J82+S82</f>
        <v>0</v>
      </c>
      <c r="AD82" s="565">
        <f t="shared" ref="AD82:AD85" ca="1" si="53">+K82+T82</f>
        <v>2791.9055999999964</v>
      </c>
      <c r="AE82" s="565">
        <f t="shared" ref="AE82:AE85" ca="1" si="54">+L82+U82</f>
        <v>0</v>
      </c>
      <c r="AF82" s="565">
        <f t="shared" ref="AF82:AF85" ca="1" si="55">+M82+V82</f>
        <v>3722.5408000002876</v>
      </c>
    </row>
    <row r="83" spans="2:32" ht="34.15" customHeight="1" thickTop="1" thickBot="1">
      <c r="B83" s="539"/>
      <c r="C83" s="539"/>
      <c r="D83" s="539"/>
      <c r="E83" s="539"/>
      <c r="F83" s="539" t="s">
        <v>431</v>
      </c>
      <c r="G83" s="540">
        <f>+G44*Volume!G169</f>
        <v>62504.728000000003</v>
      </c>
      <c r="H83" s="540">
        <f>+H44*Volume!H169</f>
        <v>93757.09199999999</v>
      </c>
      <c r="I83" s="540">
        <f>+I44*Volume!I169</f>
        <v>125009.45600000001</v>
      </c>
      <c r="J83" s="540">
        <f>+J44*Volume!J169</f>
        <v>156261.82</v>
      </c>
      <c r="K83" s="540">
        <f>+K44*Volume!K169</f>
        <v>187514.18399999998</v>
      </c>
      <c r="L83" s="540">
        <f>+L44*Volume!L169</f>
        <v>218766.54799999998</v>
      </c>
      <c r="M83" s="540">
        <f>+M44*Volume!M169</f>
        <v>250018.91200000001</v>
      </c>
      <c r="P83" s="540">
        <f>+P44*Volume!G169</f>
        <v>15626.182000000001</v>
      </c>
      <c r="Q83" s="540">
        <f>+Q44*Volume!H169</f>
        <v>23439.273000000001</v>
      </c>
      <c r="R83" s="540">
        <f>+R44*Volume!I169</f>
        <v>31252.364000000001</v>
      </c>
      <c r="S83" s="540">
        <f>+S44*Volume!J169</f>
        <v>39065.455000000002</v>
      </c>
      <c r="T83" s="540">
        <f>+T44*Volume!K169</f>
        <v>46878.546000000002</v>
      </c>
      <c r="U83" s="540">
        <f>+U44*Volume!L169</f>
        <v>54691.637000000002</v>
      </c>
      <c r="V83" s="540">
        <f>+V44*Volume!M169</f>
        <v>62504.728000000003</v>
      </c>
      <c r="Z83" s="565">
        <f t="shared" si="49"/>
        <v>78130.91</v>
      </c>
      <c r="AA83" s="565">
        <f t="shared" si="50"/>
        <v>117196.36499999999</v>
      </c>
      <c r="AB83" s="565">
        <f t="shared" si="51"/>
        <v>156261.82</v>
      </c>
      <c r="AC83" s="565">
        <f t="shared" si="52"/>
        <v>195327.27500000002</v>
      </c>
      <c r="AD83" s="565">
        <f t="shared" si="53"/>
        <v>234392.72999999998</v>
      </c>
      <c r="AE83" s="565">
        <f t="shared" si="54"/>
        <v>273458.185</v>
      </c>
      <c r="AF83" s="565">
        <f t="shared" si="55"/>
        <v>312523.64</v>
      </c>
    </row>
    <row r="84" spans="2:32" ht="34.15" customHeight="1" thickTop="1" thickBot="1">
      <c r="B84" s="539"/>
      <c r="C84" s="539"/>
      <c r="D84" s="539"/>
      <c r="E84" s="539"/>
      <c r="F84" s="539" t="s">
        <v>363</v>
      </c>
      <c r="G84" s="540">
        <f ca="1">+G45*Volume!G170</f>
        <v>123919.12</v>
      </c>
      <c r="H84" s="540">
        <f ca="1">+H45*Volume!H170</f>
        <v>185878.68000000005</v>
      </c>
      <c r="I84" s="540">
        <f ca="1">+I45*Volume!I170</f>
        <v>247808.00000000003</v>
      </c>
      <c r="J84" s="540">
        <f ca="1">+J45*Volume!J170</f>
        <v>309797.80000000005</v>
      </c>
      <c r="K84" s="540">
        <f ca="1">+K45*Volume!K170</f>
        <v>371712.00000000006</v>
      </c>
      <c r="L84" s="540">
        <f ca="1">+L45*Volume!L170</f>
        <v>433716.92</v>
      </c>
      <c r="M84" s="540">
        <f ca="1">+M45*Volume!M170</f>
        <v>495616.00000000006</v>
      </c>
      <c r="P84" s="540">
        <f ca="1">+P45*Volume!G170</f>
        <v>0</v>
      </c>
      <c r="Q84" s="540">
        <f ca="1">+Q45*Volume!H170</f>
        <v>0</v>
      </c>
      <c r="R84" s="540">
        <f ca="1">+R45*Volume!I170</f>
        <v>0</v>
      </c>
      <c r="S84" s="540">
        <f ca="1">+S45*Volume!J170</f>
        <v>0</v>
      </c>
      <c r="T84" s="540">
        <f ca="1">+T45*Volume!K170</f>
        <v>0</v>
      </c>
      <c r="U84" s="540">
        <f ca="1">+U45*Volume!L170</f>
        <v>0</v>
      </c>
      <c r="V84" s="540">
        <f ca="1">+V45*Volume!M170</f>
        <v>0</v>
      </c>
      <c r="Z84" s="565">
        <f t="shared" ca="1" si="49"/>
        <v>123919.12</v>
      </c>
      <c r="AA84" s="565">
        <f t="shared" ca="1" si="50"/>
        <v>185878.68000000005</v>
      </c>
      <c r="AB84" s="565">
        <f t="shared" ca="1" si="51"/>
        <v>247808.00000000003</v>
      </c>
      <c r="AC84" s="565">
        <f t="shared" ca="1" si="52"/>
        <v>309797.80000000005</v>
      </c>
      <c r="AD84" s="565">
        <f t="shared" ca="1" si="53"/>
        <v>371712.00000000006</v>
      </c>
      <c r="AE84" s="565">
        <f t="shared" ca="1" si="54"/>
        <v>433716.92</v>
      </c>
      <c r="AF84" s="565">
        <f t="shared" ca="1" si="55"/>
        <v>495616.00000000006</v>
      </c>
    </row>
    <row r="85" spans="2:32" ht="34.15" customHeight="1" thickTop="1" thickBot="1">
      <c r="B85" s="539"/>
      <c r="C85" s="539"/>
      <c r="D85" s="539"/>
      <c r="E85" s="539"/>
      <c r="F85" s="539" t="s">
        <v>112</v>
      </c>
      <c r="G85" s="540"/>
      <c r="H85" s="540"/>
      <c r="I85" s="540"/>
      <c r="J85" s="540"/>
      <c r="K85" s="540"/>
      <c r="L85" s="540"/>
      <c r="M85" s="540"/>
      <c r="P85" s="540" t="e">
        <f>+P46*Volume!G171</f>
        <v>#REF!</v>
      </c>
      <c r="Q85" s="540" t="e">
        <f>+Q46*Volume!H171</f>
        <v>#REF!</v>
      </c>
      <c r="R85" s="540" t="e">
        <f>+R46*Volume!I171</f>
        <v>#REF!</v>
      </c>
      <c r="S85" s="540" t="e">
        <f>+S46*Volume!J171</f>
        <v>#REF!</v>
      </c>
      <c r="T85" s="540" t="e">
        <f>+T46*Volume!K171</f>
        <v>#REF!</v>
      </c>
      <c r="U85" s="540" t="e">
        <f>+U46*Volume!L171</f>
        <v>#REF!</v>
      </c>
      <c r="V85" s="540" t="e">
        <f>+V46*Volume!M171</f>
        <v>#REF!</v>
      </c>
      <c r="Z85" s="565" t="e">
        <f t="shared" si="49"/>
        <v>#REF!</v>
      </c>
      <c r="AA85" s="565" t="e">
        <f t="shared" si="50"/>
        <v>#REF!</v>
      </c>
      <c r="AB85" s="565" t="e">
        <f t="shared" si="51"/>
        <v>#REF!</v>
      </c>
      <c r="AC85" s="565" t="e">
        <f t="shared" si="52"/>
        <v>#REF!</v>
      </c>
      <c r="AD85" s="565" t="e">
        <f t="shared" si="53"/>
        <v>#REF!</v>
      </c>
      <c r="AE85" s="565" t="e">
        <f t="shared" si="54"/>
        <v>#REF!</v>
      </c>
      <c r="AF85" s="565" t="e">
        <f t="shared" si="55"/>
        <v>#REF!</v>
      </c>
    </row>
    <row r="86" spans="2:32" ht="29" thickTop="1"/>
    <row r="87" spans="2:32" ht="34.15" customHeight="1" thickBot="1">
      <c r="B87" s="535"/>
      <c r="C87" s="535"/>
      <c r="D87" s="535"/>
      <c r="E87" s="535"/>
      <c r="F87" s="535" t="s">
        <v>454</v>
      </c>
      <c r="G87" s="580">
        <f ca="1">SUM(G81:G85)</f>
        <v>347801.51360000001</v>
      </c>
      <c r="H87" s="580">
        <f t="shared" ref="H87:M87" ca="1" si="56">SUM(H81:H85)</f>
        <v>521702.27040000004</v>
      </c>
      <c r="I87" s="580">
        <f t="shared" ca="1" si="56"/>
        <v>696658.60352000012</v>
      </c>
      <c r="J87" s="580">
        <f t="shared" ca="1" si="56"/>
        <v>869503.7840000001</v>
      </c>
      <c r="K87" s="580">
        <f t="shared" ca="1" si="56"/>
        <v>1044987.9052800001</v>
      </c>
      <c r="L87" s="580">
        <f t="shared" ca="1" si="56"/>
        <v>1217305.2976000002</v>
      </c>
      <c r="M87" s="580">
        <f t="shared" ca="1" si="56"/>
        <v>1393317.2070400002</v>
      </c>
      <c r="P87" s="580">
        <f ca="1">SUM(P81:P85)</f>
        <v>55970.598400000003</v>
      </c>
      <c r="Q87" s="580">
        <f t="shared" ref="Q87:V87" ca="1" si="57">SUM(Q81:Q85)</f>
        <v>83955.897600000011</v>
      </c>
      <c r="R87" s="580">
        <f t="shared" ca="1" si="57"/>
        <v>112212.65088000006</v>
      </c>
      <c r="S87" s="580">
        <f t="shared" ca="1" si="57"/>
        <v>139926.49600000001</v>
      </c>
      <c r="T87" s="580">
        <f t="shared" ca="1" si="57"/>
        <v>168318.97632000005</v>
      </c>
      <c r="U87" s="580">
        <f t="shared" ca="1" si="57"/>
        <v>195897.09440000003</v>
      </c>
      <c r="V87" s="580">
        <f t="shared" ca="1" si="57"/>
        <v>224425.30176000012</v>
      </c>
      <c r="Z87" s="565">
        <f ca="1">SUM(Z81:Z85)</f>
        <v>403772.11199999996</v>
      </c>
      <c r="AA87" s="565">
        <f t="shared" ref="AA87:AF87" ca="1" si="58">SUM(AA81:AA85)</f>
        <v>605658.16800000006</v>
      </c>
      <c r="AB87" s="565">
        <f t="shared" ca="1" si="58"/>
        <v>808871.25440000021</v>
      </c>
      <c r="AC87" s="565">
        <f t="shared" ca="1" si="58"/>
        <v>1009430.28</v>
      </c>
      <c r="AD87" s="565">
        <f t="shared" ca="1" si="58"/>
        <v>1213306.8816</v>
      </c>
      <c r="AE87" s="565">
        <f t="shared" ca="1" si="58"/>
        <v>1413202.392</v>
      </c>
      <c r="AF87" s="565">
        <f t="shared" ca="1" si="58"/>
        <v>1617742.5088000004</v>
      </c>
    </row>
    <row r="88" spans="2:32" ht="29" thickTop="1">
      <c r="Z88" s="583">
        <f ca="1">+Volume!G173</f>
        <v>403772.11200000002</v>
      </c>
      <c r="AA88" s="583">
        <f ca="1">+Volume!H173</f>
        <v>605658.16800000006</v>
      </c>
      <c r="AB88" s="583">
        <f ca="1">+Volume!I173</f>
        <v>808871.25440000021</v>
      </c>
      <c r="AC88" s="583">
        <f ca="1">+Volume!J173</f>
        <v>1009430.28</v>
      </c>
      <c r="AD88" s="583">
        <f ca="1">+Volume!K173</f>
        <v>1213306.8816</v>
      </c>
      <c r="AE88" s="583">
        <f ca="1">+Volume!L173</f>
        <v>1413202.392</v>
      </c>
      <c r="AF88" s="583">
        <f ca="1">+Volume!M173</f>
        <v>1617742.5088000004</v>
      </c>
    </row>
    <row r="89" spans="2:32" ht="48" customHeight="1" thickBot="1">
      <c r="B89" s="566"/>
      <c r="C89" s="567"/>
      <c r="D89" s="567"/>
      <c r="E89" s="567"/>
      <c r="F89" s="567" t="s">
        <v>397</v>
      </c>
      <c r="G89" s="568" t="s">
        <v>104</v>
      </c>
      <c r="H89" s="568" t="s">
        <v>105</v>
      </c>
      <c r="I89" s="568" t="s">
        <v>106</v>
      </c>
      <c r="J89" s="568" t="s">
        <v>107</v>
      </c>
      <c r="K89" s="568" t="s">
        <v>108</v>
      </c>
      <c r="L89" s="568" t="s">
        <v>109</v>
      </c>
      <c r="M89" s="569" t="s">
        <v>110</v>
      </c>
      <c r="P89" s="568" t="s">
        <v>104</v>
      </c>
      <c r="Q89" s="568" t="s">
        <v>105</v>
      </c>
      <c r="R89" s="568" t="s">
        <v>106</v>
      </c>
      <c r="S89" s="568" t="s">
        <v>107</v>
      </c>
      <c r="T89" s="568" t="s">
        <v>108</v>
      </c>
      <c r="U89" s="568" t="s">
        <v>109</v>
      </c>
      <c r="V89" s="569" t="s">
        <v>110</v>
      </c>
    </row>
    <row r="90" spans="2:32">
      <c r="D90" s="531"/>
      <c r="E90" s="531"/>
      <c r="F90" s="531"/>
      <c r="G90" s="532"/>
      <c r="H90" s="532"/>
      <c r="I90" s="532"/>
      <c r="J90" s="532"/>
      <c r="K90" s="532"/>
      <c r="L90" s="532"/>
      <c r="M90" s="532"/>
      <c r="P90" s="532"/>
      <c r="Q90" s="532"/>
      <c r="R90" s="532"/>
      <c r="S90" s="532"/>
      <c r="T90" s="532"/>
      <c r="U90" s="532"/>
      <c r="V90" s="532"/>
    </row>
    <row r="91" spans="2:32" ht="31.9" customHeight="1" thickBot="1">
      <c r="B91" s="539"/>
      <c r="C91" s="539"/>
      <c r="D91" s="539"/>
      <c r="E91" s="539"/>
      <c r="F91" s="539" t="s">
        <v>362</v>
      </c>
      <c r="G91" s="540">
        <f t="shared" ref="G91:M93" si="59">+G32*$N91</f>
        <v>133758.24000000002</v>
      </c>
      <c r="H91" s="540">
        <f t="shared" si="59"/>
        <v>200637.36000000002</v>
      </c>
      <c r="I91" s="540">
        <f t="shared" si="59"/>
        <v>267516.48000000004</v>
      </c>
      <c r="J91" s="540">
        <f t="shared" si="59"/>
        <v>334395.60000000003</v>
      </c>
      <c r="K91" s="540">
        <f t="shared" si="59"/>
        <v>401274.72000000003</v>
      </c>
      <c r="L91" s="540">
        <f t="shared" si="59"/>
        <v>468153.84</v>
      </c>
      <c r="M91" s="540">
        <f t="shared" si="59"/>
        <v>535032.96000000008</v>
      </c>
      <c r="N91" s="584">
        <v>0.01</v>
      </c>
      <c r="P91" s="540">
        <f>+P32*$W91</f>
        <v>38216.639999999999</v>
      </c>
      <c r="Q91" s="540">
        <f t="shared" ref="Q91:V91" si="60">+Q32*$W91</f>
        <v>57324.960000000014</v>
      </c>
      <c r="R91" s="540">
        <f t="shared" si="60"/>
        <v>76433.279999999999</v>
      </c>
      <c r="S91" s="540">
        <f t="shared" si="60"/>
        <v>95541.6</v>
      </c>
      <c r="T91" s="540">
        <f t="shared" si="60"/>
        <v>114649.92000000003</v>
      </c>
      <c r="U91" s="540">
        <f t="shared" si="60"/>
        <v>133758.24000000002</v>
      </c>
      <c r="V91" s="540">
        <f t="shared" si="60"/>
        <v>152866.56</v>
      </c>
      <c r="W91" s="584">
        <v>0.01</v>
      </c>
    </row>
    <row r="92" spans="2:32" ht="31.9" customHeight="1" thickTop="1" thickBot="1">
      <c r="B92" s="539"/>
      <c r="C92" s="539"/>
      <c r="D92" s="539"/>
      <c r="E92" s="539"/>
      <c r="F92" s="539" t="s">
        <v>103</v>
      </c>
      <c r="G92" s="540">
        <f t="shared" ca="1" si="59"/>
        <v>0</v>
      </c>
      <c r="H92" s="540">
        <f t="shared" ca="1" si="59"/>
        <v>0</v>
      </c>
      <c r="I92" s="540">
        <f t="shared" ca="1" si="59"/>
        <v>1424.8960000001098</v>
      </c>
      <c r="J92" s="540">
        <f t="shared" ca="1" si="59"/>
        <v>0</v>
      </c>
      <c r="K92" s="540">
        <f t="shared" ca="1" si="59"/>
        <v>2137.3439999999973</v>
      </c>
      <c r="L92" s="540">
        <f t="shared" ca="1" si="59"/>
        <v>0</v>
      </c>
      <c r="M92" s="540">
        <f t="shared" ca="1" si="59"/>
        <v>2849.7920000002196</v>
      </c>
      <c r="N92" s="584">
        <v>0.01</v>
      </c>
      <c r="P92" s="540">
        <f t="shared" ref="P92:V93" ca="1" si="61">+P33*$W92</f>
        <v>0</v>
      </c>
      <c r="Q92" s="540">
        <f t="shared" ca="1" si="61"/>
        <v>0</v>
      </c>
      <c r="R92" s="540">
        <f t="shared" ca="1" si="61"/>
        <v>0</v>
      </c>
      <c r="S92" s="540">
        <f t="shared" ca="1" si="61"/>
        <v>0</v>
      </c>
      <c r="T92" s="540">
        <f t="shared" ca="1" si="61"/>
        <v>0</v>
      </c>
      <c r="U92" s="540">
        <f t="shared" ca="1" si="61"/>
        <v>0</v>
      </c>
      <c r="V92" s="540">
        <f t="shared" ca="1" si="61"/>
        <v>0</v>
      </c>
      <c r="W92" s="584">
        <v>0.01</v>
      </c>
    </row>
    <row r="93" spans="2:32" ht="31.9" customHeight="1" thickTop="1" thickBot="1">
      <c r="B93" s="539"/>
      <c r="C93" s="539"/>
      <c r="D93" s="539"/>
      <c r="E93" s="539"/>
      <c r="F93" s="539" t="s">
        <v>431</v>
      </c>
      <c r="G93" s="540">
        <f t="shared" si="59"/>
        <v>60403.200000000004</v>
      </c>
      <c r="H93" s="540">
        <f t="shared" si="59"/>
        <v>90604.800000000003</v>
      </c>
      <c r="I93" s="540">
        <f t="shared" si="59"/>
        <v>120806.40000000001</v>
      </c>
      <c r="J93" s="540">
        <f t="shared" si="59"/>
        <v>151008</v>
      </c>
      <c r="K93" s="540">
        <f t="shared" si="59"/>
        <v>181209.60000000001</v>
      </c>
      <c r="L93" s="540">
        <f t="shared" si="59"/>
        <v>211411.20000000001</v>
      </c>
      <c r="M93" s="540">
        <f t="shared" si="59"/>
        <v>241612.80000000002</v>
      </c>
      <c r="N93" s="584">
        <v>0.01</v>
      </c>
      <c r="P93" s="540">
        <f t="shared" si="61"/>
        <v>17727.710000000003</v>
      </c>
      <c r="Q93" s="540">
        <f t="shared" si="61"/>
        <v>26591.565000000002</v>
      </c>
      <c r="R93" s="540">
        <f t="shared" si="61"/>
        <v>35455.420000000006</v>
      </c>
      <c r="S93" s="540">
        <f t="shared" si="61"/>
        <v>44319.275000000001</v>
      </c>
      <c r="T93" s="540">
        <f t="shared" si="61"/>
        <v>53183.130000000005</v>
      </c>
      <c r="U93" s="540">
        <f t="shared" si="61"/>
        <v>62046.985000000008</v>
      </c>
      <c r="V93" s="540">
        <f t="shared" si="61"/>
        <v>70910.840000000011</v>
      </c>
      <c r="W93" s="584">
        <v>0.01</v>
      </c>
    </row>
    <row r="94" spans="2:32" ht="31.9" customHeight="1" thickTop="1" thickBot="1">
      <c r="B94" s="539"/>
      <c r="C94" s="539"/>
      <c r="D94" s="539"/>
      <c r="E94" s="539"/>
      <c r="F94" s="539" t="s">
        <v>307</v>
      </c>
      <c r="G94" s="540">
        <f ca="1">+G39*$N$94</f>
        <v>123919.12</v>
      </c>
      <c r="H94" s="540">
        <f t="shared" ref="H94:M94" ca="1" si="62">+H39*$N$94</f>
        <v>185878.68000000005</v>
      </c>
      <c r="I94" s="540">
        <f t="shared" ca="1" si="62"/>
        <v>247808.00000000003</v>
      </c>
      <c r="J94" s="540">
        <f t="shared" ca="1" si="62"/>
        <v>309797.80000000005</v>
      </c>
      <c r="K94" s="540">
        <f t="shared" ca="1" si="62"/>
        <v>371712.00000000006</v>
      </c>
      <c r="L94" s="540">
        <f t="shared" ca="1" si="62"/>
        <v>433716.92</v>
      </c>
      <c r="M94" s="540">
        <f t="shared" ca="1" si="62"/>
        <v>495616.00000000006</v>
      </c>
      <c r="N94" s="584">
        <v>0.01</v>
      </c>
      <c r="P94" s="540">
        <f t="shared" ref="P94:V94" ca="1" si="63">+P35*$W94</f>
        <v>0</v>
      </c>
      <c r="Q94" s="540">
        <f t="shared" ca="1" si="63"/>
        <v>0</v>
      </c>
      <c r="R94" s="540">
        <f t="shared" ca="1" si="63"/>
        <v>0</v>
      </c>
      <c r="S94" s="540">
        <f t="shared" ca="1" si="63"/>
        <v>0</v>
      </c>
      <c r="T94" s="540">
        <f t="shared" ca="1" si="63"/>
        <v>0</v>
      </c>
      <c r="U94" s="540">
        <f t="shared" ca="1" si="63"/>
        <v>0</v>
      </c>
      <c r="V94" s="540">
        <f t="shared" ca="1" si="63"/>
        <v>0</v>
      </c>
      <c r="W94" s="584">
        <v>0.01</v>
      </c>
    </row>
    <row r="95" spans="2:32" ht="31.9" customHeight="1" thickTop="1" thickBot="1">
      <c r="B95" s="539"/>
      <c r="C95" s="539"/>
      <c r="D95" s="539"/>
      <c r="E95" s="539"/>
      <c r="F95" s="539" t="s">
        <v>112</v>
      </c>
      <c r="G95" s="540">
        <f t="shared" ref="G95:M95" ca="1" si="64">+G$59*G112</f>
        <v>0</v>
      </c>
      <c r="H95" s="540">
        <f t="shared" ca="1" si="64"/>
        <v>0</v>
      </c>
      <c r="I95" s="540">
        <f t="shared" ca="1" si="64"/>
        <v>0</v>
      </c>
      <c r="J95" s="540">
        <f t="shared" ca="1" si="64"/>
        <v>0</v>
      </c>
      <c r="K95" s="540">
        <f t="shared" ca="1" si="64"/>
        <v>0</v>
      </c>
      <c r="L95" s="540">
        <f t="shared" ca="1" si="64"/>
        <v>0</v>
      </c>
      <c r="M95" s="540">
        <f t="shared" ca="1" si="64"/>
        <v>0</v>
      </c>
      <c r="N95" s="584">
        <v>0.01</v>
      </c>
      <c r="P95" s="540"/>
      <c r="Q95" s="540"/>
      <c r="R95" s="540"/>
      <c r="S95" s="540"/>
      <c r="T95" s="540"/>
      <c r="U95" s="540"/>
      <c r="V95" s="540"/>
      <c r="W95" s="584">
        <v>0.02</v>
      </c>
    </row>
    <row r="96" spans="2:32" ht="29" thickTop="1"/>
    <row r="98" spans="2:32" ht="48" customHeight="1" thickBot="1">
      <c r="B98" s="566"/>
      <c r="C98" s="567"/>
      <c r="D98" s="567"/>
      <c r="E98" s="567"/>
      <c r="F98" s="567" t="s">
        <v>425</v>
      </c>
      <c r="G98" s="568">
        <f ca="1">SUM(G91:G95)</f>
        <v>341132.97600000002</v>
      </c>
      <c r="H98" s="568">
        <f t="shared" ref="H98:M98" ca="1" si="65">SUM(H91:H95)</f>
        <v>511699.46400000004</v>
      </c>
      <c r="I98" s="568">
        <f t="shared" ca="1" si="65"/>
        <v>683268.60800000012</v>
      </c>
      <c r="J98" s="568">
        <f t="shared" ca="1" si="65"/>
        <v>852832.44000000006</v>
      </c>
      <c r="K98" s="568">
        <f t="shared" ca="1" si="65"/>
        <v>1024902.912</v>
      </c>
      <c r="L98" s="568">
        <f t="shared" ca="1" si="65"/>
        <v>1193965.416</v>
      </c>
      <c r="M98" s="569">
        <f t="shared" ca="1" si="65"/>
        <v>1366537.2160000002</v>
      </c>
      <c r="P98" s="568">
        <f ca="1">SUM(P91:P95)</f>
        <v>55944.350000000006</v>
      </c>
      <c r="Q98" s="568">
        <f t="shared" ref="Q98:V98" ca="1" si="66">SUM(Q91:Q95)</f>
        <v>83916.525000000023</v>
      </c>
      <c r="R98" s="568">
        <f t="shared" ca="1" si="66"/>
        <v>111888.70000000001</v>
      </c>
      <c r="S98" s="568">
        <f t="shared" ca="1" si="66"/>
        <v>139860.875</v>
      </c>
      <c r="T98" s="568">
        <f t="shared" ca="1" si="66"/>
        <v>167833.05000000005</v>
      </c>
      <c r="U98" s="568">
        <f t="shared" ca="1" si="66"/>
        <v>195805.22500000003</v>
      </c>
      <c r="V98" s="569">
        <f t="shared" ca="1" si="66"/>
        <v>223777.40000000002</v>
      </c>
    </row>
    <row r="100" spans="2:32" ht="48" customHeight="1" thickBot="1">
      <c r="B100" s="566"/>
      <c r="C100" s="567"/>
      <c r="D100" s="567"/>
      <c r="E100" s="567"/>
      <c r="F100" s="567" t="s">
        <v>453</v>
      </c>
      <c r="G100" s="568" t="s">
        <v>104</v>
      </c>
      <c r="H100" s="568" t="s">
        <v>105</v>
      </c>
      <c r="I100" s="568" t="s">
        <v>106</v>
      </c>
      <c r="J100" s="568" t="s">
        <v>107</v>
      </c>
      <c r="K100" s="568" t="s">
        <v>108</v>
      </c>
      <c r="L100" s="568" t="s">
        <v>109</v>
      </c>
      <c r="M100" s="569" t="s">
        <v>110</v>
      </c>
      <c r="P100" s="568" t="s">
        <v>104</v>
      </c>
      <c r="Q100" s="568" t="s">
        <v>105</v>
      </c>
      <c r="R100" s="568" t="s">
        <v>106</v>
      </c>
      <c r="S100" s="568" t="s">
        <v>107</v>
      </c>
      <c r="T100" s="568" t="s">
        <v>108</v>
      </c>
      <c r="U100" s="568" t="s">
        <v>109</v>
      </c>
      <c r="V100" s="569" t="s">
        <v>110</v>
      </c>
    </row>
    <row r="101" spans="2:32">
      <c r="D101" s="531"/>
      <c r="E101" s="531"/>
      <c r="F101" s="531"/>
      <c r="G101" s="532"/>
      <c r="H101" s="532"/>
      <c r="I101" s="532"/>
      <c r="J101" s="532"/>
      <c r="K101" s="532"/>
      <c r="L101" s="532"/>
      <c r="M101" s="532"/>
      <c r="P101" s="532"/>
      <c r="Q101" s="532"/>
      <c r="R101" s="532"/>
      <c r="S101" s="532"/>
      <c r="T101" s="532"/>
      <c r="U101" s="532"/>
      <c r="V101" s="532"/>
    </row>
    <row r="102" spans="2:32" ht="31.9" customHeight="1" thickBot="1">
      <c r="B102" s="539"/>
      <c r="C102" s="539"/>
      <c r="D102" s="539"/>
      <c r="E102" s="539"/>
      <c r="F102" s="539" t="s">
        <v>362</v>
      </c>
      <c r="G102" s="540" t="e">
        <f>+#REF!*G42</f>
        <v>#REF!</v>
      </c>
      <c r="H102" s="540" t="e">
        <f>+#REF!*H42</f>
        <v>#REF!</v>
      </c>
      <c r="I102" s="540" t="e">
        <f>+#REF!*I42</f>
        <v>#REF!</v>
      </c>
      <c r="J102" s="540" t="e">
        <f>+#REF!*J42</f>
        <v>#REF!</v>
      </c>
      <c r="K102" s="540" t="e">
        <f>+#REF!*K42</f>
        <v>#REF!</v>
      </c>
      <c r="L102" s="540" t="e">
        <f>+#REF!*L42</f>
        <v>#REF!</v>
      </c>
      <c r="M102" s="540" t="e">
        <f>+#REF!*M42</f>
        <v>#REF!</v>
      </c>
      <c r="N102" s="564"/>
      <c r="P102" s="540" t="e">
        <f>+#REF!*P42</f>
        <v>#REF!</v>
      </c>
      <c r="Q102" s="540" t="e">
        <f>+#REF!*Q42</f>
        <v>#REF!</v>
      </c>
      <c r="R102" s="540" t="e">
        <f>+#REF!*R42</f>
        <v>#REF!</v>
      </c>
      <c r="S102" s="540" t="e">
        <f>+#REF!*S42</f>
        <v>#REF!</v>
      </c>
      <c r="T102" s="540" t="e">
        <f>+#REF!*T42</f>
        <v>#REF!</v>
      </c>
      <c r="U102" s="540" t="e">
        <f>+#REF!*U42</f>
        <v>#REF!</v>
      </c>
      <c r="V102" s="540" t="e">
        <f>+#REF!*V42</f>
        <v>#REF!</v>
      </c>
      <c r="W102" s="564"/>
      <c r="Z102" s="565" t="e">
        <f>+G102+P102</f>
        <v>#REF!</v>
      </c>
      <c r="AA102" s="565" t="e">
        <f t="shared" ref="AA102:AF106" si="67">+H102+Q102</f>
        <v>#REF!</v>
      </c>
      <c r="AB102" s="565" t="e">
        <f t="shared" si="67"/>
        <v>#REF!</v>
      </c>
      <c r="AC102" s="565" t="e">
        <f t="shared" si="67"/>
        <v>#REF!</v>
      </c>
      <c r="AD102" s="565" t="e">
        <f t="shared" si="67"/>
        <v>#REF!</v>
      </c>
      <c r="AE102" s="565" t="e">
        <f t="shared" si="67"/>
        <v>#REF!</v>
      </c>
      <c r="AF102" s="565" t="e">
        <f t="shared" si="67"/>
        <v>#REF!</v>
      </c>
    </row>
    <row r="103" spans="2:32" ht="31.9" customHeight="1" thickTop="1" thickBot="1">
      <c r="B103" s="539"/>
      <c r="C103" s="539"/>
      <c r="D103" s="539"/>
      <c r="E103" s="539"/>
      <c r="F103" s="539" t="s">
        <v>103</v>
      </c>
      <c r="G103" s="540">
        <f ca="1">+#REF!*'Volume Local_Export'!G43</f>
        <v>0</v>
      </c>
      <c r="H103" s="540">
        <f ca="1">+#REF!*'Volume Local_Export'!H43</f>
        <v>0</v>
      </c>
      <c r="I103" s="540">
        <f ca="1">+#REF!*'Volume Local_Export'!I43</f>
        <v>133.69443207127975</v>
      </c>
      <c r="J103" s="540">
        <f ca="1">+#REF!*'Volume Local_Export'!J43</f>
        <v>0</v>
      </c>
      <c r="K103" s="540">
        <f ca="1">+#REF!*'Volume Local_Export'!K43</f>
        <v>133.69443207126932</v>
      </c>
      <c r="L103" s="540">
        <f ca="1">+#REF!*'Volume Local_Export'!L43</f>
        <v>0</v>
      </c>
      <c r="M103" s="540">
        <f ca="1">+#REF!*'Volume Local_Export'!M43</f>
        <v>133.69443207127975</v>
      </c>
      <c r="N103" s="564"/>
      <c r="P103" s="540" t="e">
        <f>+#REF!*'Volume Local_Export'!P42</f>
        <v>#REF!</v>
      </c>
      <c r="Q103" s="540" t="e">
        <f>+#REF!*'Volume Local_Export'!Q42</f>
        <v>#REF!</v>
      </c>
      <c r="R103" s="540" t="e">
        <f>+#REF!*'Volume Local_Export'!R42</f>
        <v>#REF!</v>
      </c>
      <c r="S103" s="540" t="e">
        <f>+#REF!*'Volume Local_Export'!S42</f>
        <v>#REF!</v>
      </c>
      <c r="T103" s="540" t="e">
        <f>+#REF!*'Volume Local_Export'!T42</f>
        <v>#REF!</v>
      </c>
      <c r="U103" s="540" t="e">
        <f>+#REF!*'Volume Local_Export'!U42</f>
        <v>#REF!</v>
      </c>
      <c r="V103" s="540" t="e">
        <f>+#REF!*'Volume Local_Export'!V42</f>
        <v>#REF!</v>
      </c>
      <c r="W103" s="564"/>
      <c r="Z103" s="565">
        <f t="shared" ref="Z103:Z106" ca="1" si="68">+G103+P103</f>
        <v>0</v>
      </c>
      <c r="AA103" s="565">
        <f t="shared" ca="1" si="67"/>
        <v>0</v>
      </c>
      <c r="AB103" s="565">
        <f t="shared" ca="1" si="67"/>
        <v>167.11804008909968</v>
      </c>
      <c r="AC103" s="565">
        <f t="shared" ca="1" si="67"/>
        <v>0</v>
      </c>
      <c r="AD103" s="565">
        <f t="shared" ca="1" si="67"/>
        <v>167.11804008908666</v>
      </c>
      <c r="AE103" s="565">
        <f t="shared" ca="1" si="67"/>
        <v>0</v>
      </c>
      <c r="AF103" s="565">
        <f t="shared" ca="1" si="67"/>
        <v>167.11804008909968</v>
      </c>
    </row>
    <row r="104" spans="2:32" ht="31.9" customHeight="1" thickTop="1" thickBot="1">
      <c r="B104" s="539"/>
      <c r="C104" s="539"/>
      <c r="D104" s="539"/>
      <c r="E104" s="539"/>
      <c r="F104" s="539" t="s">
        <v>431</v>
      </c>
      <c r="G104" s="540" t="e">
        <f>+#REF!*'Volume Local_Export'!G44</f>
        <v>#REF!</v>
      </c>
      <c r="H104" s="540" t="e">
        <f>+#REF!*'Volume Local_Export'!H44</f>
        <v>#REF!</v>
      </c>
      <c r="I104" s="540" t="e">
        <f>+#REF!*'Volume Local_Export'!I44</f>
        <v>#REF!</v>
      </c>
      <c r="J104" s="540" t="e">
        <f>+#REF!*'Volume Local_Export'!J44</f>
        <v>#REF!</v>
      </c>
      <c r="K104" s="540" t="e">
        <f>+#REF!*'Volume Local_Export'!K44</f>
        <v>#REF!</v>
      </c>
      <c r="L104" s="540" t="e">
        <f>+#REF!*'Volume Local_Export'!L44</f>
        <v>#REF!</v>
      </c>
      <c r="M104" s="540" t="e">
        <f>+#REF!*'Volume Local_Export'!M44</f>
        <v>#REF!</v>
      </c>
      <c r="N104" s="564"/>
      <c r="P104" s="540" t="e">
        <f>+#REF!*'Volume Local_Export'!P44</f>
        <v>#REF!</v>
      </c>
      <c r="Q104" s="540" t="e">
        <f>+#REF!*'Volume Local_Export'!Q44</f>
        <v>#REF!</v>
      </c>
      <c r="R104" s="540" t="e">
        <f>+#REF!*'Volume Local_Export'!R44</f>
        <v>#REF!</v>
      </c>
      <c r="S104" s="540" t="e">
        <f>+#REF!*'Volume Local_Export'!S44</f>
        <v>#REF!</v>
      </c>
      <c r="T104" s="540" t="e">
        <f>+#REF!*'Volume Local_Export'!T44</f>
        <v>#REF!</v>
      </c>
      <c r="U104" s="540" t="e">
        <f>+#REF!*'Volume Local_Export'!U44</f>
        <v>#REF!</v>
      </c>
      <c r="V104" s="540" t="e">
        <f>+#REF!*'Volume Local_Export'!V44</f>
        <v>#REF!</v>
      </c>
      <c r="W104" s="564"/>
      <c r="Z104" s="565" t="e">
        <f t="shared" si="68"/>
        <v>#REF!</v>
      </c>
      <c r="AA104" s="565" t="e">
        <f t="shared" si="67"/>
        <v>#REF!</v>
      </c>
      <c r="AB104" s="565" t="e">
        <f t="shared" si="67"/>
        <v>#REF!</v>
      </c>
      <c r="AC104" s="565" t="e">
        <f t="shared" si="67"/>
        <v>#REF!</v>
      </c>
      <c r="AD104" s="565" t="e">
        <f t="shared" si="67"/>
        <v>#REF!</v>
      </c>
      <c r="AE104" s="565" t="e">
        <f t="shared" si="67"/>
        <v>#REF!</v>
      </c>
      <c r="AF104" s="565" t="e">
        <f t="shared" si="67"/>
        <v>#REF!</v>
      </c>
    </row>
    <row r="105" spans="2:32" ht="31.9" customHeight="1" thickTop="1" thickBot="1">
      <c r="B105" s="539"/>
      <c r="C105" s="539"/>
      <c r="D105" s="539"/>
      <c r="E105" s="539"/>
      <c r="F105" s="539" t="s">
        <v>307</v>
      </c>
      <c r="G105" s="540">
        <f ca="1">+#REF!*'Volume Local_Export'!G45</f>
        <v>26785.233063452899</v>
      </c>
      <c r="H105" s="540">
        <f ca="1">+#REF!*'Volume Local_Export'!H45</f>
        <v>26785.233063452899</v>
      </c>
      <c r="I105" s="540">
        <f ca="1">+#REF!*'Volume Local_Export'!I45</f>
        <v>26738.886414253891</v>
      </c>
      <c r="J105" s="540">
        <f ca="1">+#REF!*'Volume Local_Export'!J45</f>
        <v>26785.233063452899</v>
      </c>
      <c r="K105" s="540">
        <f ca="1">+#REF!*'Volume Local_Export'!K45</f>
        <v>26738.886414253891</v>
      </c>
      <c r="L105" s="540">
        <f ca="1">+#REF!*'Volume Local_Export'!L45</f>
        <v>26785.233063452899</v>
      </c>
      <c r="M105" s="540">
        <f ca="1">+#REF!*'Volume Local_Export'!M45</f>
        <v>26738.886414253891</v>
      </c>
      <c r="N105" s="564"/>
      <c r="P105" s="540">
        <f ca="1">+#REF!*'Volume Local_Export'!P45</f>
        <v>0</v>
      </c>
      <c r="Q105" s="540">
        <f ca="1">+#REF!*'Volume Local_Export'!Q45</f>
        <v>0</v>
      </c>
      <c r="R105" s="540">
        <f ca="1">+#REF!*'Volume Local_Export'!R45</f>
        <v>0</v>
      </c>
      <c r="S105" s="540">
        <f ca="1">+#REF!*'Volume Local_Export'!S45</f>
        <v>0</v>
      </c>
      <c r="T105" s="540">
        <f ca="1">+#REF!*'Volume Local_Export'!T45</f>
        <v>0</v>
      </c>
      <c r="U105" s="540">
        <f ca="1">+#REF!*'Volume Local_Export'!U45</f>
        <v>0</v>
      </c>
      <c r="V105" s="540">
        <f ca="1">+#REF!*'Volume Local_Export'!V45</f>
        <v>0</v>
      </c>
      <c r="W105" s="564"/>
      <c r="Z105" s="565">
        <f t="shared" ca="1" si="68"/>
        <v>26785.233063452899</v>
      </c>
      <c r="AA105" s="565">
        <f t="shared" ca="1" si="67"/>
        <v>26785.233063452899</v>
      </c>
      <c r="AB105" s="565">
        <f t="shared" ca="1" si="67"/>
        <v>26738.886414253891</v>
      </c>
      <c r="AC105" s="565">
        <f t="shared" ca="1" si="67"/>
        <v>26785.233063452899</v>
      </c>
      <c r="AD105" s="565">
        <f t="shared" ca="1" si="67"/>
        <v>26738.886414253891</v>
      </c>
      <c r="AE105" s="565">
        <f t="shared" ca="1" si="67"/>
        <v>26785.233063452899</v>
      </c>
      <c r="AF105" s="565">
        <f t="shared" ca="1" si="67"/>
        <v>26738.886414253891</v>
      </c>
    </row>
    <row r="106" spans="2:32" ht="31.9" customHeight="1" thickTop="1" thickBot="1">
      <c r="B106" s="539"/>
      <c r="C106" s="539"/>
      <c r="D106" s="539"/>
      <c r="E106" s="539"/>
      <c r="F106" s="539" t="s">
        <v>112</v>
      </c>
      <c r="G106" s="540"/>
      <c r="H106" s="540"/>
      <c r="I106" s="540"/>
      <c r="J106" s="540"/>
      <c r="K106" s="540"/>
      <c r="L106" s="540"/>
      <c r="M106" s="540"/>
      <c r="N106" s="564"/>
      <c r="P106" s="540"/>
      <c r="Q106" s="540"/>
      <c r="R106" s="540"/>
      <c r="S106" s="540"/>
      <c r="T106" s="540"/>
      <c r="U106" s="540"/>
      <c r="V106" s="540"/>
      <c r="W106" s="564"/>
      <c r="Z106" s="565">
        <f t="shared" si="68"/>
        <v>0</v>
      </c>
      <c r="AA106" s="565">
        <f t="shared" si="67"/>
        <v>0</v>
      </c>
      <c r="AB106" s="565">
        <f t="shared" si="67"/>
        <v>0</v>
      </c>
      <c r="AC106" s="565">
        <f t="shared" si="67"/>
        <v>0</v>
      </c>
      <c r="AD106" s="565">
        <f t="shared" si="67"/>
        <v>0</v>
      </c>
      <c r="AE106" s="565">
        <f t="shared" si="67"/>
        <v>0</v>
      </c>
      <c r="AF106" s="565">
        <f t="shared" si="67"/>
        <v>0</v>
      </c>
    </row>
    <row r="107" spans="2:32" ht="29" thickTop="1"/>
    <row r="108" spans="2:32">
      <c r="Z108" s="565" t="e">
        <f>SUM(Z102:Z106)</f>
        <v>#REF!</v>
      </c>
      <c r="AA108" s="565" t="e">
        <f t="shared" ref="AA108:AF108" si="69">SUM(AA102:AA106)</f>
        <v>#REF!</v>
      </c>
      <c r="AB108" s="565" t="e">
        <f t="shared" si="69"/>
        <v>#REF!</v>
      </c>
      <c r="AC108" s="565" t="e">
        <f t="shared" si="69"/>
        <v>#REF!</v>
      </c>
      <c r="AD108" s="565" t="e">
        <f t="shared" si="69"/>
        <v>#REF!</v>
      </c>
      <c r="AE108" s="565" t="e">
        <f t="shared" si="69"/>
        <v>#REF!</v>
      </c>
      <c r="AF108" s="565" t="e">
        <f t="shared" si="69"/>
        <v>#REF!</v>
      </c>
    </row>
    <row r="109" spans="2:32" ht="36.65" customHeight="1" thickBot="1">
      <c r="B109" s="535"/>
      <c r="C109" s="535"/>
      <c r="D109" s="535"/>
      <c r="E109" s="535"/>
      <c r="F109" s="535" t="s">
        <v>455</v>
      </c>
      <c r="G109" s="580" t="e">
        <f>SUM(G102:G106)</f>
        <v>#REF!</v>
      </c>
      <c r="H109" s="580" t="e">
        <f t="shared" ref="H109:M109" si="70">SUM(H102:H106)</f>
        <v>#REF!</v>
      </c>
      <c r="I109" s="580" t="e">
        <f t="shared" si="70"/>
        <v>#REF!</v>
      </c>
      <c r="J109" s="580" t="e">
        <f t="shared" si="70"/>
        <v>#REF!</v>
      </c>
      <c r="K109" s="580" t="e">
        <f t="shared" si="70"/>
        <v>#REF!</v>
      </c>
      <c r="L109" s="580" t="e">
        <f t="shared" si="70"/>
        <v>#REF!</v>
      </c>
      <c r="M109" s="580" t="e">
        <f t="shared" si="70"/>
        <v>#REF!</v>
      </c>
      <c r="P109" s="580" t="e">
        <f>SUM(P102:P106)</f>
        <v>#REF!</v>
      </c>
      <c r="Q109" s="580" t="e">
        <f t="shared" ref="Q109:V109" si="71">SUM(Q102:Q106)</f>
        <v>#REF!</v>
      </c>
      <c r="R109" s="580" t="e">
        <f t="shared" si="71"/>
        <v>#REF!</v>
      </c>
      <c r="S109" s="580" t="e">
        <f t="shared" si="71"/>
        <v>#REF!</v>
      </c>
      <c r="T109" s="580" t="e">
        <f t="shared" si="71"/>
        <v>#REF!</v>
      </c>
      <c r="U109" s="580" t="e">
        <f t="shared" si="71"/>
        <v>#REF!</v>
      </c>
      <c r="V109" s="580" t="e">
        <f t="shared" si="71"/>
        <v>#REF!</v>
      </c>
      <c r="Z109" s="419" t="e">
        <f>+#REF!</f>
        <v>#REF!</v>
      </c>
      <c r="AA109" s="419" t="e">
        <f>+#REF!</f>
        <v>#REF!</v>
      </c>
      <c r="AB109" s="419" t="e">
        <f>+#REF!</f>
        <v>#REF!</v>
      </c>
      <c r="AC109" s="419" t="e">
        <f>+#REF!</f>
        <v>#REF!</v>
      </c>
      <c r="AD109" s="419" t="e">
        <f>+#REF!</f>
        <v>#REF!</v>
      </c>
      <c r="AE109" s="419" t="e">
        <f>+#REF!</f>
        <v>#REF!</v>
      </c>
      <c r="AF109" s="419" t="e">
        <f>+#REF!</f>
        <v>#REF!</v>
      </c>
    </row>
    <row r="110" spans="2:32" ht="29" thickTop="1"/>
    <row r="111" spans="2:32" ht="48" customHeight="1" thickBot="1">
      <c r="B111" s="566"/>
      <c r="C111" s="567"/>
      <c r="D111" s="567"/>
      <c r="E111" s="567"/>
      <c r="F111" s="567" t="s">
        <v>400</v>
      </c>
      <c r="G111" s="568" t="s">
        <v>104</v>
      </c>
      <c r="H111" s="568" t="s">
        <v>105</v>
      </c>
      <c r="I111" s="568" t="s">
        <v>106</v>
      </c>
      <c r="J111" s="568" t="s">
        <v>107</v>
      </c>
      <c r="K111" s="568" t="s">
        <v>108</v>
      </c>
      <c r="L111" s="568" t="s">
        <v>109</v>
      </c>
      <c r="M111" s="569" t="s">
        <v>110</v>
      </c>
      <c r="P111" s="568" t="s">
        <v>104</v>
      </c>
      <c r="Q111" s="568" t="s">
        <v>105</v>
      </c>
      <c r="R111" s="568" t="s">
        <v>106</v>
      </c>
      <c r="S111" s="568" t="s">
        <v>107</v>
      </c>
      <c r="T111" s="568" t="s">
        <v>108</v>
      </c>
      <c r="U111" s="568" t="s">
        <v>109</v>
      </c>
      <c r="V111" s="569" t="s">
        <v>110</v>
      </c>
    </row>
    <row r="112" spans="2:32">
      <c r="D112" s="531"/>
      <c r="E112" s="531"/>
      <c r="F112" s="531"/>
      <c r="G112" s="532"/>
      <c r="H112" s="585"/>
      <c r="I112" s="585"/>
      <c r="J112" s="585"/>
      <c r="K112" s="585"/>
      <c r="L112" s="585"/>
      <c r="M112" s="585"/>
      <c r="P112" s="532"/>
      <c r="Q112" s="585"/>
      <c r="R112" s="585"/>
      <c r="S112" s="585"/>
      <c r="T112" s="585"/>
      <c r="U112" s="585"/>
      <c r="V112" s="585"/>
    </row>
    <row r="113" spans="2:23" ht="28.9" customHeight="1" thickBot="1">
      <c r="B113" s="586"/>
      <c r="C113" s="586"/>
      <c r="D113" s="586"/>
      <c r="E113" s="586"/>
      <c r="F113" s="586" t="s">
        <v>362</v>
      </c>
      <c r="G113" s="587">
        <f>G143</f>
        <v>1.7413163825200868E-2</v>
      </c>
      <c r="H113" s="587">
        <f t="shared" ref="H113:M113" si="72">H143</f>
        <v>2.6119745737801299E-2</v>
      </c>
      <c r="I113" s="587">
        <f t="shared" si="72"/>
        <v>3.4826327650401737E-2</v>
      </c>
      <c r="J113" s="587">
        <f t="shared" si="72"/>
        <v>4.353290956300216E-2</v>
      </c>
      <c r="K113" s="587">
        <f t="shared" si="72"/>
        <v>5.2239491475602598E-2</v>
      </c>
      <c r="L113" s="587">
        <f t="shared" si="72"/>
        <v>6.0946073388203029E-2</v>
      </c>
      <c r="M113" s="587">
        <f t="shared" si="72"/>
        <v>6.9652655300803473E-2</v>
      </c>
      <c r="P113" s="587">
        <f>P143</f>
        <v>4.3532909563002171E-3</v>
      </c>
      <c r="Q113" s="587">
        <f t="shared" ref="Q113:V113" si="73">Q143</f>
        <v>6.5299364344503247E-3</v>
      </c>
      <c r="R113" s="587">
        <f t="shared" si="73"/>
        <v>8.7065819126004342E-3</v>
      </c>
      <c r="S113" s="587">
        <f t="shared" si="73"/>
        <v>1.0883227390750542E-2</v>
      </c>
      <c r="T113" s="587">
        <f t="shared" si="73"/>
        <v>1.3059872868900649E-2</v>
      </c>
      <c r="U113" s="587">
        <f t="shared" si="73"/>
        <v>1.5236518347050761E-2</v>
      </c>
      <c r="V113" s="587">
        <f t="shared" si="73"/>
        <v>1.7413163825200868E-2</v>
      </c>
    </row>
    <row r="114" spans="2:23" ht="28.9" customHeight="1" thickTop="1" thickBot="1">
      <c r="B114" s="586"/>
      <c r="C114" s="586"/>
      <c r="D114" s="586"/>
      <c r="E114" s="586"/>
      <c r="F114" s="586" t="s">
        <v>103</v>
      </c>
      <c r="G114" s="587">
        <f ca="1">G145</f>
        <v>0</v>
      </c>
      <c r="H114" s="587">
        <f t="shared" ref="H114:M114" ca="1" si="74">H145</f>
        <v>0</v>
      </c>
      <c r="I114" s="587">
        <f t="shared" ca="1" si="74"/>
        <v>4.1139321201203371E-4</v>
      </c>
      <c r="J114" s="587">
        <f t="shared" ca="1" si="74"/>
        <v>0</v>
      </c>
      <c r="K114" s="587">
        <f t="shared" ca="1" si="74"/>
        <v>6.1708981801800221E-4</v>
      </c>
      <c r="L114" s="587">
        <f t="shared" ca="1" si="74"/>
        <v>0</v>
      </c>
      <c r="M114" s="587">
        <f t="shared" ca="1" si="74"/>
        <v>8.2278642402406742E-4</v>
      </c>
      <c r="P114" s="587">
        <f ca="1">P145</f>
        <v>0</v>
      </c>
      <c r="Q114" s="587">
        <f t="shared" ref="Q114:V114" ca="1" si="75">Q145</f>
        <v>0</v>
      </c>
      <c r="R114" s="587">
        <f t="shared" ca="1" si="75"/>
        <v>0</v>
      </c>
      <c r="S114" s="587">
        <f t="shared" ca="1" si="75"/>
        <v>0</v>
      </c>
      <c r="T114" s="587">
        <f t="shared" ca="1" si="75"/>
        <v>0</v>
      </c>
      <c r="U114" s="587">
        <f t="shared" ca="1" si="75"/>
        <v>0</v>
      </c>
      <c r="V114" s="587">
        <f t="shared" ca="1" si="75"/>
        <v>0</v>
      </c>
    </row>
    <row r="115" spans="2:23" ht="28.9" customHeight="1" thickTop="1" thickBot="1">
      <c r="B115" s="586"/>
      <c r="C115" s="586"/>
      <c r="D115" s="586"/>
      <c r="E115" s="586"/>
      <c r="F115" s="586"/>
      <c r="G115" s="587"/>
      <c r="H115" s="587"/>
      <c r="I115" s="587"/>
      <c r="J115" s="587"/>
      <c r="K115" s="587"/>
      <c r="L115" s="587"/>
      <c r="M115" s="587"/>
      <c r="P115" s="587"/>
      <c r="Q115" s="587"/>
      <c r="R115" s="587"/>
      <c r="S115" s="587"/>
      <c r="T115" s="587"/>
      <c r="U115" s="587"/>
      <c r="V115" s="587"/>
    </row>
    <row r="116" spans="2:23" ht="28.9" customHeight="1" thickTop="1" thickBot="1">
      <c r="B116" s="586"/>
      <c r="C116" s="586"/>
      <c r="D116" s="586"/>
      <c r="E116" s="586"/>
      <c r="F116" s="586" t="s">
        <v>367</v>
      </c>
      <c r="G116" s="587">
        <f ca="1">G147</f>
        <v>0</v>
      </c>
      <c r="H116" s="587">
        <f t="shared" ref="H116:M116" ca="1" si="76">H147</f>
        <v>0</v>
      </c>
      <c r="I116" s="587">
        <f t="shared" ca="1" si="76"/>
        <v>0</v>
      </c>
      <c r="J116" s="587">
        <f t="shared" ca="1" si="76"/>
        <v>0</v>
      </c>
      <c r="K116" s="587">
        <f t="shared" ca="1" si="76"/>
        <v>0</v>
      </c>
      <c r="L116" s="587">
        <f t="shared" ca="1" si="76"/>
        <v>0</v>
      </c>
      <c r="M116" s="587">
        <f t="shared" ca="1" si="76"/>
        <v>0</v>
      </c>
      <c r="P116" s="587">
        <f ca="1">P147</f>
        <v>0</v>
      </c>
      <c r="Q116" s="587">
        <f t="shared" ref="Q116:V116" ca="1" si="77">Q147</f>
        <v>0</v>
      </c>
      <c r="R116" s="587">
        <f t="shared" ca="1" si="77"/>
        <v>0</v>
      </c>
      <c r="S116" s="587">
        <f t="shared" ca="1" si="77"/>
        <v>0</v>
      </c>
      <c r="T116" s="587">
        <f t="shared" ca="1" si="77"/>
        <v>0</v>
      </c>
      <c r="U116" s="587">
        <f t="shared" ca="1" si="77"/>
        <v>0</v>
      </c>
      <c r="V116" s="587">
        <f t="shared" ca="1" si="77"/>
        <v>0</v>
      </c>
    </row>
    <row r="117" spans="2:23" ht="29" thickTop="1"/>
    <row r="119" spans="2:23">
      <c r="H119" s="564">
        <v>0.05</v>
      </c>
      <c r="I119" s="564">
        <v>0.05</v>
      </c>
      <c r="J119" s="564">
        <v>0.05</v>
      </c>
      <c r="K119" s="564">
        <v>0.05</v>
      </c>
      <c r="L119" s="564">
        <v>0.05</v>
      </c>
      <c r="M119" s="564">
        <v>0.05</v>
      </c>
      <c r="Q119" s="564">
        <v>0.05</v>
      </c>
      <c r="R119" s="564">
        <v>0.05</v>
      </c>
      <c r="S119" s="564">
        <v>0.05</v>
      </c>
      <c r="T119" s="564">
        <v>0.05</v>
      </c>
      <c r="U119" s="564">
        <v>0.05</v>
      </c>
      <c r="V119" s="564">
        <v>0.05</v>
      </c>
    </row>
    <row r="120" spans="2:23" ht="43.9" customHeight="1" thickBot="1">
      <c r="B120" s="588"/>
      <c r="C120" s="588"/>
      <c r="D120" s="588"/>
      <c r="E120" s="588"/>
      <c r="F120" s="589" t="s">
        <v>403</v>
      </c>
      <c r="G120" s="590" t="s">
        <v>104</v>
      </c>
      <c r="H120" s="590" t="s">
        <v>105</v>
      </c>
      <c r="I120" s="590" t="s">
        <v>106</v>
      </c>
      <c r="J120" s="590" t="s">
        <v>107</v>
      </c>
      <c r="K120" s="590" t="s">
        <v>108</v>
      </c>
      <c r="L120" s="590" t="s">
        <v>109</v>
      </c>
      <c r="M120" s="590" t="s">
        <v>110</v>
      </c>
      <c r="P120" s="590" t="s">
        <v>104</v>
      </c>
      <c r="Q120" s="590" t="s">
        <v>105</v>
      </c>
      <c r="R120" s="590" t="s">
        <v>106</v>
      </c>
      <c r="S120" s="590" t="s">
        <v>107</v>
      </c>
      <c r="T120" s="590" t="s">
        <v>108</v>
      </c>
      <c r="U120" s="590" t="s">
        <v>109</v>
      </c>
      <c r="V120" s="590" t="s">
        <v>110</v>
      </c>
    </row>
    <row r="121" spans="2:23" ht="6" customHeight="1" thickTop="1" thickBot="1">
      <c r="B121" s="531"/>
      <c r="C121" s="531"/>
      <c r="D121" s="531"/>
      <c r="E121" s="531"/>
      <c r="F121" s="531"/>
      <c r="G121" s="532"/>
      <c r="H121" s="532"/>
      <c r="I121" s="532"/>
      <c r="J121" s="532"/>
      <c r="K121" s="532"/>
      <c r="L121" s="532"/>
      <c r="M121" s="532"/>
      <c r="P121" s="532"/>
      <c r="Q121" s="532"/>
      <c r="R121" s="532"/>
      <c r="S121" s="532"/>
      <c r="T121" s="532"/>
      <c r="U121" s="532"/>
      <c r="V121" s="532"/>
    </row>
    <row r="122" spans="2:23" ht="26.5" customHeight="1">
      <c r="B122" s="591"/>
      <c r="C122" s="592">
        <v>0.2</v>
      </c>
      <c r="D122" s="593" t="s">
        <v>404</v>
      </c>
      <c r="E122" s="592">
        <v>0</v>
      </c>
      <c r="F122" s="593" t="s">
        <v>362</v>
      </c>
      <c r="G122" s="594">
        <v>35000</v>
      </c>
      <c r="H122" s="594">
        <f>+G122*(1+$C122)</f>
        <v>42000</v>
      </c>
      <c r="I122" s="594">
        <f t="shared" ref="I122:M126" si="78">+H122*(1+$C122)</f>
        <v>50400</v>
      </c>
      <c r="J122" s="594">
        <f t="shared" si="78"/>
        <v>60480</v>
      </c>
      <c r="K122" s="594">
        <f t="shared" si="78"/>
        <v>72576</v>
      </c>
      <c r="L122" s="594">
        <f t="shared" si="78"/>
        <v>87091.199999999997</v>
      </c>
      <c r="M122" s="594">
        <f t="shared" si="78"/>
        <v>104509.43999999999</v>
      </c>
      <c r="P122" s="594">
        <v>35000</v>
      </c>
      <c r="Q122" s="594">
        <f>+P122*(1+$C122)</f>
        <v>42000</v>
      </c>
      <c r="R122" s="594">
        <f t="shared" ref="R122" si="79">+Q122*(1+$C122)</f>
        <v>50400</v>
      </c>
      <c r="S122" s="594">
        <f t="shared" ref="S122" si="80">+R122*(1+$C122)</f>
        <v>60480</v>
      </c>
      <c r="T122" s="594">
        <f t="shared" ref="T122" si="81">+S122*(1+$C122)</f>
        <v>72576</v>
      </c>
      <c r="U122" s="594">
        <f t="shared" ref="U122" si="82">+T122*(1+$C122)</f>
        <v>87091.199999999997</v>
      </c>
      <c r="V122" s="594">
        <f t="shared" ref="V122" si="83">+U122*(1+$C122)</f>
        <v>104509.43999999999</v>
      </c>
    </row>
    <row r="123" spans="2:23" s="600" customFormat="1" ht="26.5" customHeight="1" thickBot="1">
      <c r="B123" s="595"/>
      <c r="C123" s="596">
        <v>0.2</v>
      </c>
      <c r="D123" s="597" t="s">
        <v>405</v>
      </c>
      <c r="E123" s="597">
        <v>550000</v>
      </c>
      <c r="F123" s="597"/>
      <c r="G123" s="598">
        <f>+$E$123*C123</f>
        <v>110000</v>
      </c>
      <c r="H123" s="598">
        <f>+G123*(1+$E122)</f>
        <v>110000</v>
      </c>
      <c r="I123" s="598">
        <f t="shared" ref="I123:M123" si="84">+H123*(1+$E122)</f>
        <v>110000</v>
      </c>
      <c r="J123" s="598">
        <f t="shared" si="84"/>
        <v>110000</v>
      </c>
      <c r="K123" s="598">
        <f t="shared" si="84"/>
        <v>110000</v>
      </c>
      <c r="L123" s="598">
        <f t="shared" si="84"/>
        <v>110000</v>
      </c>
      <c r="M123" s="598">
        <f t="shared" si="84"/>
        <v>110000</v>
      </c>
      <c r="N123" s="599"/>
      <c r="P123" s="598">
        <f>+G123</f>
        <v>110000</v>
      </c>
      <c r="Q123" s="598">
        <f>+P123*(1+$E122)</f>
        <v>110000</v>
      </c>
      <c r="R123" s="598">
        <f t="shared" ref="R123" si="85">+Q123*(1+$E122)</f>
        <v>110000</v>
      </c>
      <c r="S123" s="598">
        <f t="shared" ref="S123" si="86">+R123*(1+$E122)</f>
        <v>110000</v>
      </c>
      <c r="T123" s="598">
        <f t="shared" ref="T123" si="87">+S123*(1+$E122)</f>
        <v>110000</v>
      </c>
      <c r="U123" s="598">
        <f t="shared" ref="U123" si="88">+T123*(1+$E122)</f>
        <v>110000</v>
      </c>
      <c r="V123" s="598">
        <f t="shared" ref="V123" si="89">+U123*(1+$E122)</f>
        <v>110000</v>
      </c>
      <c r="W123" s="599"/>
    </row>
    <row r="124" spans="2:23" ht="26.5" customHeight="1">
      <c r="B124" s="591"/>
      <c r="C124" s="592">
        <v>0.4</v>
      </c>
      <c r="D124" s="593" t="s">
        <v>404</v>
      </c>
      <c r="E124" s="593"/>
      <c r="F124" s="593" t="s">
        <v>103</v>
      </c>
      <c r="G124" s="594">
        <v>2000</v>
      </c>
      <c r="H124" s="594">
        <f>+G124*(1+$C124)</f>
        <v>2800</v>
      </c>
      <c r="I124" s="594">
        <f t="shared" si="78"/>
        <v>3919.9999999999995</v>
      </c>
      <c r="J124" s="594">
        <f t="shared" si="78"/>
        <v>5487.9999999999991</v>
      </c>
      <c r="K124" s="594">
        <f t="shared" si="78"/>
        <v>7683.199999999998</v>
      </c>
      <c r="L124" s="594">
        <f t="shared" si="78"/>
        <v>10756.479999999996</v>
      </c>
      <c r="M124" s="594">
        <f t="shared" si="78"/>
        <v>15059.071999999993</v>
      </c>
      <c r="P124" s="594">
        <v>2000</v>
      </c>
      <c r="Q124" s="594">
        <f>+P124*(1+$C124)</f>
        <v>2800</v>
      </c>
      <c r="R124" s="594">
        <f t="shared" ref="R124" si="90">+Q124*(1+$C124)</f>
        <v>3919.9999999999995</v>
      </c>
      <c r="S124" s="594">
        <f t="shared" ref="S124" si="91">+R124*(1+$C124)</f>
        <v>5487.9999999999991</v>
      </c>
      <c r="T124" s="594">
        <f t="shared" ref="T124" si="92">+S124*(1+$C124)</f>
        <v>7683.199999999998</v>
      </c>
      <c r="U124" s="594">
        <f t="shared" ref="U124" si="93">+T124*(1+$C124)</f>
        <v>10756.479999999996</v>
      </c>
      <c r="V124" s="594">
        <f t="shared" ref="V124" si="94">+U124*(1+$C124)</f>
        <v>15059.071999999993</v>
      </c>
    </row>
    <row r="125" spans="2:23" s="600" customFormat="1" ht="26.5" customHeight="1" thickBot="1">
      <c r="B125" s="595"/>
      <c r="C125" s="597"/>
      <c r="D125" s="597" t="s">
        <v>405</v>
      </c>
      <c r="E125" s="596">
        <v>0.05</v>
      </c>
      <c r="F125" s="597"/>
      <c r="G125" s="598">
        <v>40000</v>
      </c>
      <c r="H125" s="598">
        <f>+G125*(1+$E$125)</f>
        <v>42000</v>
      </c>
      <c r="I125" s="598">
        <f t="shared" ref="I125:M125" si="95">+H125*(1+$E$125)</f>
        <v>44100</v>
      </c>
      <c r="J125" s="598">
        <f t="shared" si="95"/>
        <v>46305</v>
      </c>
      <c r="K125" s="598">
        <f t="shared" si="95"/>
        <v>48620.25</v>
      </c>
      <c r="L125" s="598">
        <f t="shared" si="95"/>
        <v>51051.262500000004</v>
      </c>
      <c r="M125" s="598">
        <f t="shared" si="95"/>
        <v>53603.825625000005</v>
      </c>
      <c r="N125" s="599"/>
      <c r="P125" s="598">
        <v>40000</v>
      </c>
      <c r="Q125" s="598">
        <f>+P125*(1+$E$125)</f>
        <v>42000</v>
      </c>
      <c r="R125" s="598">
        <f t="shared" ref="R125" si="96">+Q125*(1+$E$125)</f>
        <v>44100</v>
      </c>
      <c r="S125" s="598">
        <f t="shared" ref="S125" si="97">+R125*(1+$E$125)</f>
        <v>46305</v>
      </c>
      <c r="T125" s="598">
        <f t="shared" ref="T125" si="98">+S125*(1+$E$125)</f>
        <v>48620.25</v>
      </c>
      <c r="U125" s="598">
        <f t="shared" ref="U125" si="99">+T125*(1+$E$125)</f>
        <v>51051.262500000004</v>
      </c>
      <c r="V125" s="598">
        <f t="shared" ref="V125" si="100">+U125*(1+$E$125)</f>
        <v>53603.825625000005</v>
      </c>
      <c r="W125" s="599"/>
    </row>
    <row r="126" spans="2:23" ht="26.5" customHeight="1">
      <c r="B126" s="591"/>
      <c r="C126" s="592">
        <v>0.2</v>
      </c>
      <c r="D126" s="593" t="s">
        <v>404</v>
      </c>
      <c r="E126" s="593"/>
      <c r="F126" s="593" t="s">
        <v>307</v>
      </c>
      <c r="G126" s="594">
        <v>35000</v>
      </c>
      <c r="H126" s="594">
        <f>+G126*(1+$C126)</f>
        <v>42000</v>
      </c>
      <c r="I126" s="594">
        <f t="shared" si="78"/>
        <v>50400</v>
      </c>
      <c r="J126" s="594">
        <f t="shared" si="78"/>
        <v>60480</v>
      </c>
      <c r="K126" s="594">
        <f t="shared" si="78"/>
        <v>72576</v>
      </c>
      <c r="L126" s="594">
        <f t="shared" si="78"/>
        <v>87091.199999999997</v>
      </c>
      <c r="M126" s="594">
        <f t="shared" si="78"/>
        <v>104509.43999999999</v>
      </c>
      <c r="P126" s="594">
        <v>35000</v>
      </c>
      <c r="Q126" s="594">
        <f>+P126*(1+$C126)</f>
        <v>42000</v>
      </c>
      <c r="R126" s="594">
        <f t="shared" ref="R126" si="101">+Q126*(1+$C126)</f>
        <v>50400</v>
      </c>
      <c r="S126" s="594">
        <f t="shared" ref="S126" si="102">+R126*(1+$C126)</f>
        <v>60480</v>
      </c>
      <c r="T126" s="594">
        <f t="shared" ref="T126" si="103">+S126*(1+$C126)</f>
        <v>72576</v>
      </c>
      <c r="U126" s="594">
        <f t="shared" ref="U126" si="104">+T126*(1+$C126)</f>
        <v>87091.199999999997</v>
      </c>
      <c r="V126" s="594">
        <f t="shared" ref="V126" si="105">+U126*(1+$C126)</f>
        <v>104509.43999999999</v>
      </c>
    </row>
    <row r="127" spans="2:23" s="600" customFormat="1" ht="26.5" customHeight="1" thickBot="1">
      <c r="B127" s="595"/>
      <c r="C127" s="597"/>
      <c r="D127" s="597" t="s">
        <v>405</v>
      </c>
      <c r="E127" s="596">
        <v>0</v>
      </c>
      <c r="F127" s="597"/>
      <c r="G127" s="598">
        <f>G123</f>
        <v>110000</v>
      </c>
      <c r="H127" s="598">
        <f>+G127*(1+$E127)</f>
        <v>110000</v>
      </c>
      <c r="I127" s="598">
        <f t="shared" ref="I127:M127" si="106">+H127*(1+$E127)</f>
        <v>110000</v>
      </c>
      <c r="J127" s="598">
        <f t="shared" si="106"/>
        <v>110000</v>
      </c>
      <c r="K127" s="598">
        <f t="shared" si="106"/>
        <v>110000</v>
      </c>
      <c r="L127" s="598">
        <f t="shared" si="106"/>
        <v>110000</v>
      </c>
      <c r="M127" s="598">
        <f t="shared" si="106"/>
        <v>110000</v>
      </c>
      <c r="N127" s="601"/>
      <c r="P127" s="598">
        <f>P123</f>
        <v>110000</v>
      </c>
      <c r="Q127" s="598">
        <f>+P127*(1+$E127)</f>
        <v>110000</v>
      </c>
      <c r="R127" s="598">
        <f t="shared" ref="R127" si="107">+Q127*(1+$E127)</f>
        <v>110000</v>
      </c>
      <c r="S127" s="598">
        <f t="shared" ref="S127" si="108">+R127*(1+$E127)</f>
        <v>110000</v>
      </c>
      <c r="T127" s="598">
        <f t="shared" ref="T127" si="109">+S127*(1+$E127)</f>
        <v>110000</v>
      </c>
      <c r="U127" s="598">
        <f t="shared" ref="U127" si="110">+T127*(1+$E127)</f>
        <v>110000</v>
      </c>
      <c r="V127" s="598">
        <f t="shared" ref="V127" si="111">+U127*(1+$E127)</f>
        <v>110000</v>
      </c>
      <c r="W127" s="601"/>
    </row>
    <row r="128" spans="2:23" ht="6" customHeight="1">
      <c r="B128" s="531"/>
      <c r="C128" s="531"/>
      <c r="D128" s="531"/>
      <c r="E128" s="531"/>
      <c r="F128" s="531"/>
      <c r="G128" s="532"/>
      <c r="H128" s="532"/>
      <c r="I128" s="532"/>
      <c r="J128" s="532"/>
      <c r="K128" s="532"/>
      <c r="L128" s="532"/>
      <c r="M128" s="532"/>
      <c r="P128" s="532"/>
      <c r="Q128" s="532"/>
      <c r="R128" s="532"/>
      <c r="S128" s="532"/>
      <c r="T128" s="532"/>
      <c r="U128" s="532"/>
      <c r="V128" s="532"/>
    </row>
    <row r="129" spans="2:23" ht="34.9" customHeight="1" thickBot="1">
      <c r="B129" s="602"/>
      <c r="C129" s="602"/>
      <c r="D129" s="602"/>
      <c r="E129" s="602"/>
      <c r="F129" s="602" t="s">
        <v>406</v>
      </c>
      <c r="G129" s="603">
        <f>+G122+G124+G126</f>
        <v>72000</v>
      </c>
      <c r="H129" s="603">
        <f t="shared" ref="H129:L129" si="112">+H122+H124+H126</f>
        <v>86800</v>
      </c>
      <c r="I129" s="603">
        <f t="shared" si="112"/>
        <v>104720</v>
      </c>
      <c r="J129" s="603">
        <f t="shared" si="112"/>
        <v>126448</v>
      </c>
      <c r="K129" s="603">
        <f t="shared" si="112"/>
        <v>152835.20000000001</v>
      </c>
      <c r="L129" s="603">
        <f t="shared" si="112"/>
        <v>184938.88</v>
      </c>
      <c r="M129" s="603">
        <f>+M122+M124+M126</f>
        <v>224077.95199999999</v>
      </c>
      <c r="P129" s="603">
        <f>+P122+P124+P126</f>
        <v>72000</v>
      </c>
      <c r="Q129" s="603">
        <f t="shared" ref="Q129:U129" si="113">+Q122+Q124+Q126</f>
        <v>86800</v>
      </c>
      <c r="R129" s="603">
        <f t="shared" si="113"/>
        <v>104720</v>
      </c>
      <c r="S129" s="603">
        <f t="shared" si="113"/>
        <v>126448</v>
      </c>
      <c r="T129" s="603">
        <f t="shared" si="113"/>
        <v>152835.20000000001</v>
      </c>
      <c r="U129" s="603">
        <f t="shared" si="113"/>
        <v>184938.88</v>
      </c>
      <c r="V129" s="603">
        <f>+V122+V124+V126</f>
        <v>224077.95199999999</v>
      </c>
    </row>
    <row r="130" spans="2:23" ht="29" thickTop="1"/>
    <row r="131" spans="2:23" ht="29" thickBot="1">
      <c r="B131" s="588"/>
      <c r="C131" s="588"/>
      <c r="D131" s="588"/>
      <c r="E131" s="588"/>
      <c r="F131" s="589" t="s">
        <v>407</v>
      </c>
      <c r="G131" s="590" t="s">
        <v>104</v>
      </c>
      <c r="H131" s="590" t="s">
        <v>105</v>
      </c>
      <c r="I131" s="590" t="s">
        <v>106</v>
      </c>
      <c r="J131" s="590" t="s">
        <v>107</v>
      </c>
      <c r="K131" s="590" t="s">
        <v>108</v>
      </c>
      <c r="L131" s="590" t="s">
        <v>109</v>
      </c>
      <c r="M131" s="590" t="s">
        <v>110</v>
      </c>
      <c r="P131" s="590" t="s">
        <v>104</v>
      </c>
      <c r="Q131" s="590" t="s">
        <v>105</v>
      </c>
      <c r="R131" s="590" t="s">
        <v>106</v>
      </c>
      <c r="S131" s="590" t="s">
        <v>107</v>
      </c>
      <c r="T131" s="590" t="s">
        <v>108</v>
      </c>
      <c r="U131" s="590" t="s">
        <v>109</v>
      </c>
      <c r="V131" s="590" t="s">
        <v>110</v>
      </c>
    </row>
    <row r="132" spans="2:23" ht="29.5" thickTop="1" thickBot="1">
      <c r="B132" s="531"/>
      <c r="C132" s="531"/>
      <c r="D132" s="531"/>
      <c r="E132" s="531"/>
      <c r="F132" s="531"/>
      <c r="G132" s="532"/>
      <c r="H132" s="532"/>
      <c r="I132" s="532"/>
      <c r="J132" s="532"/>
      <c r="K132" s="532"/>
      <c r="L132" s="532"/>
      <c r="M132" s="532"/>
      <c r="P132" s="532"/>
      <c r="Q132" s="532"/>
      <c r="R132" s="532"/>
      <c r="S132" s="532"/>
      <c r="T132" s="532"/>
      <c r="U132" s="532"/>
      <c r="V132" s="532"/>
    </row>
    <row r="133" spans="2:23">
      <c r="B133" s="591"/>
      <c r="C133" s="592"/>
      <c r="D133" s="593" t="s">
        <v>408</v>
      </c>
      <c r="E133" s="592">
        <v>0.3</v>
      </c>
      <c r="F133" s="593" t="s">
        <v>362</v>
      </c>
      <c r="G133" s="604">
        <v>0.1</v>
      </c>
      <c r="H133" s="604">
        <v>0.2</v>
      </c>
      <c r="I133" s="604">
        <v>0.25</v>
      </c>
      <c r="J133" s="604">
        <v>0.3</v>
      </c>
      <c r="K133" s="604">
        <v>0.3</v>
      </c>
      <c r="L133" s="604">
        <v>0.3</v>
      </c>
      <c r="M133" s="604">
        <v>0.3</v>
      </c>
      <c r="P133" s="604">
        <v>0.1</v>
      </c>
      <c r="Q133" s="604">
        <v>0.2</v>
      </c>
      <c r="R133" s="604">
        <v>0.25</v>
      </c>
      <c r="S133" s="604">
        <v>0.3</v>
      </c>
      <c r="T133" s="604">
        <v>0.3</v>
      </c>
      <c r="U133" s="604">
        <v>0.3</v>
      </c>
      <c r="V133" s="604">
        <v>0.3</v>
      </c>
    </row>
    <row r="134" spans="2:23" ht="29" thickBot="1">
      <c r="B134" s="595"/>
      <c r="C134" s="596"/>
      <c r="D134" s="597" t="s">
        <v>409</v>
      </c>
      <c r="E134" s="597"/>
      <c r="F134" s="605"/>
      <c r="G134" s="606">
        <f>+G133*G122</f>
        <v>3500</v>
      </c>
      <c r="H134" s="606">
        <f t="shared" ref="H134:M134" si="114">+H133*H122</f>
        <v>8400</v>
      </c>
      <c r="I134" s="606">
        <f t="shared" si="114"/>
        <v>12600</v>
      </c>
      <c r="J134" s="606">
        <f t="shared" si="114"/>
        <v>18144</v>
      </c>
      <c r="K134" s="606">
        <f t="shared" si="114"/>
        <v>21772.799999999999</v>
      </c>
      <c r="L134" s="606">
        <f t="shared" si="114"/>
        <v>26127.359999999997</v>
      </c>
      <c r="M134" s="606">
        <f t="shared" si="114"/>
        <v>31352.831999999995</v>
      </c>
      <c r="P134" s="606">
        <f>+P133*P122</f>
        <v>3500</v>
      </c>
      <c r="Q134" s="606">
        <f t="shared" ref="Q134:V134" si="115">+Q133*Q122</f>
        <v>8400</v>
      </c>
      <c r="R134" s="606">
        <f t="shared" si="115"/>
        <v>12600</v>
      </c>
      <c r="S134" s="606">
        <f t="shared" si="115"/>
        <v>18144</v>
      </c>
      <c r="T134" s="606">
        <f t="shared" si="115"/>
        <v>21772.799999999999</v>
      </c>
      <c r="U134" s="606">
        <f t="shared" si="115"/>
        <v>26127.359999999997</v>
      </c>
      <c r="V134" s="606">
        <f t="shared" si="115"/>
        <v>31352.831999999995</v>
      </c>
    </row>
    <row r="135" spans="2:23">
      <c r="B135" s="591"/>
      <c r="C135" s="592"/>
      <c r="D135" s="593" t="s">
        <v>408</v>
      </c>
      <c r="E135" s="592">
        <v>0.5</v>
      </c>
      <c r="F135" s="593" t="s">
        <v>103</v>
      </c>
      <c r="G135" s="604">
        <v>0.3</v>
      </c>
      <c r="H135" s="604">
        <v>0.35</v>
      </c>
      <c r="I135" s="604">
        <v>0.4</v>
      </c>
      <c r="J135" s="604">
        <v>0.45</v>
      </c>
      <c r="K135" s="604">
        <v>0.5</v>
      </c>
      <c r="L135" s="604">
        <v>0.5</v>
      </c>
      <c r="M135" s="604">
        <v>0.5</v>
      </c>
      <c r="P135" s="604">
        <v>0.3</v>
      </c>
      <c r="Q135" s="604">
        <v>0.35</v>
      </c>
      <c r="R135" s="604">
        <v>0.4</v>
      </c>
      <c r="S135" s="604">
        <v>0.45</v>
      </c>
      <c r="T135" s="604">
        <v>0.5</v>
      </c>
      <c r="U135" s="604">
        <v>0.5</v>
      </c>
      <c r="V135" s="604">
        <v>0.5</v>
      </c>
    </row>
    <row r="136" spans="2:23" ht="29" thickBot="1">
      <c r="B136" s="595"/>
      <c r="C136" s="597"/>
      <c r="D136" s="597" t="s">
        <v>409</v>
      </c>
      <c r="E136" s="597"/>
      <c r="F136" s="605"/>
      <c r="G136" s="606">
        <f>+G135*G124</f>
        <v>600</v>
      </c>
      <c r="H136" s="606">
        <f t="shared" ref="H136:M136" si="116">+H135*H124</f>
        <v>979.99999999999989</v>
      </c>
      <c r="I136" s="606">
        <f t="shared" si="116"/>
        <v>1568</v>
      </c>
      <c r="J136" s="606">
        <f t="shared" si="116"/>
        <v>2469.5999999999995</v>
      </c>
      <c r="K136" s="606">
        <f t="shared" si="116"/>
        <v>3841.599999999999</v>
      </c>
      <c r="L136" s="606">
        <f t="shared" si="116"/>
        <v>5378.239999999998</v>
      </c>
      <c r="M136" s="606">
        <f t="shared" si="116"/>
        <v>7529.5359999999964</v>
      </c>
      <c r="P136" s="606">
        <f>+P135*P124</f>
        <v>600</v>
      </c>
      <c r="Q136" s="606">
        <f t="shared" ref="Q136:V136" si="117">+Q135*Q124</f>
        <v>979.99999999999989</v>
      </c>
      <c r="R136" s="606">
        <f t="shared" si="117"/>
        <v>1568</v>
      </c>
      <c r="S136" s="606">
        <f t="shared" si="117"/>
        <v>2469.5999999999995</v>
      </c>
      <c r="T136" s="606">
        <f t="shared" si="117"/>
        <v>3841.599999999999</v>
      </c>
      <c r="U136" s="606">
        <f t="shared" si="117"/>
        <v>5378.239999999998</v>
      </c>
      <c r="V136" s="606">
        <f t="shared" si="117"/>
        <v>7529.5359999999964</v>
      </c>
    </row>
    <row r="137" spans="2:23">
      <c r="B137" s="591"/>
      <c r="C137" s="592"/>
      <c r="D137" s="593" t="s">
        <v>408</v>
      </c>
      <c r="E137" s="592">
        <v>0.5</v>
      </c>
      <c r="F137" s="593" t="s">
        <v>307</v>
      </c>
      <c r="G137" s="604">
        <v>0.1</v>
      </c>
      <c r="H137" s="604">
        <v>0.2</v>
      </c>
      <c r="I137" s="604">
        <v>0.3</v>
      </c>
      <c r="J137" s="604">
        <v>0.3</v>
      </c>
      <c r="K137" s="604">
        <v>0.4</v>
      </c>
      <c r="L137" s="604">
        <v>0.5</v>
      </c>
      <c r="M137" s="604">
        <v>0.5</v>
      </c>
      <c r="P137" s="604">
        <v>0.1</v>
      </c>
      <c r="Q137" s="604">
        <v>0.2</v>
      </c>
      <c r="R137" s="604">
        <v>0.3</v>
      </c>
      <c r="S137" s="604">
        <v>0.3</v>
      </c>
      <c r="T137" s="604">
        <v>0.4</v>
      </c>
      <c r="U137" s="604">
        <v>0.5</v>
      </c>
      <c r="V137" s="604">
        <v>0.5</v>
      </c>
    </row>
    <row r="138" spans="2:23" ht="29" thickBot="1">
      <c r="B138" s="595"/>
      <c r="C138" s="597"/>
      <c r="D138" s="597" t="s">
        <v>409</v>
      </c>
      <c r="E138" s="596"/>
      <c r="F138" s="605"/>
      <c r="G138" s="606">
        <f>+G137*G126</f>
        <v>3500</v>
      </c>
      <c r="H138" s="606">
        <f t="shared" ref="H138:M138" si="118">+H137*H126</f>
        <v>8400</v>
      </c>
      <c r="I138" s="606">
        <f t="shared" si="118"/>
        <v>15120</v>
      </c>
      <c r="J138" s="606">
        <f t="shared" si="118"/>
        <v>18144</v>
      </c>
      <c r="K138" s="606">
        <f t="shared" si="118"/>
        <v>29030.400000000001</v>
      </c>
      <c r="L138" s="606">
        <f t="shared" si="118"/>
        <v>43545.599999999999</v>
      </c>
      <c r="M138" s="606">
        <f t="shared" si="118"/>
        <v>52254.719999999994</v>
      </c>
      <c r="P138" s="606">
        <f>+P137*P126</f>
        <v>3500</v>
      </c>
      <c r="Q138" s="606">
        <f t="shared" ref="Q138:V138" si="119">+Q137*Q126</f>
        <v>8400</v>
      </c>
      <c r="R138" s="606">
        <f t="shared" si="119"/>
        <v>15120</v>
      </c>
      <c r="S138" s="606">
        <f t="shared" si="119"/>
        <v>18144</v>
      </c>
      <c r="T138" s="606">
        <f t="shared" si="119"/>
        <v>29030.400000000001</v>
      </c>
      <c r="U138" s="606">
        <f t="shared" si="119"/>
        <v>43545.599999999999</v>
      </c>
      <c r="V138" s="606">
        <f t="shared" si="119"/>
        <v>52254.719999999994</v>
      </c>
    </row>
    <row r="139" spans="2:23">
      <c r="B139" s="531"/>
      <c r="C139" s="531"/>
      <c r="D139" s="531"/>
      <c r="E139" s="531"/>
      <c r="F139" s="531"/>
      <c r="G139" s="532"/>
      <c r="H139" s="532"/>
      <c r="I139" s="532"/>
      <c r="J139" s="532"/>
      <c r="K139" s="532"/>
      <c r="L139" s="532"/>
      <c r="M139" s="532"/>
      <c r="P139" s="532"/>
      <c r="Q139" s="532"/>
      <c r="R139" s="532"/>
      <c r="S139" s="532"/>
      <c r="T139" s="532"/>
      <c r="U139" s="532"/>
      <c r="V139" s="532"/>
    </row>
    <row r="140" spans="2:23" ht="36.65" customHeight="1" thickBot="1">
      <c r="B140" s="602"/>
      <c r="C140" s="602"/>
      <c r="D140" s="602"/>
      <c r="E140" s="602"/>
      <c r="F140" s="602" t="s">
        <v>410</v>
      </c>
      <c r="G140" s="603">
        <f>G138+G136+G134</f>
        <v>7600</v>
      </c>
      <c r="H140" s="603">
        <f t="shared" ref="H140:M140" si="120">H138+H136+H134</f>
        <v>17780</v>
      </c>
      <c r="I140" s="603">
        <f t="shared" si="120"/>
        <v>29288</v>
      </c>
      <c r="J140" s="603">
        <f t="shared" si="120"/>
        <v>38757.599999999999</v>
      </c>
      <c r="K140" s="603">
        <f t="shared" si="120"/>
        <v>54644.800000000003</v>
      </c>
      <c r="L140" s="603">
        <f t="shared" si="120"/>
        <v>75051.199999999997</v>
      </c>
      <c r="M140" s="603">
        <f t="shared" si="120"/>
        <v>91137.087999999989</v>
      </c>
      <c r="P140" s="603">
        <f>P138+P136+P134</f>
        <v>7600</v>
      </c>
      <c r="Q140" s="603">
        <f t="shared" ref="Q140:V140" si="121">Q138+Q136+Q134</f>
        <v>17780</v>
      </c>
      <c r="R140" s="603">
        <f t="shared" si="121"/>
        <v>29288</v>
      </c>
      <c r="S140" s="603">
        <f t="shared" si="121"/>
        <v>38757.599999999999</v>
      </c>
      <c r="T140" s="603">
        <f t="shared" si="121"/>
        <v>54644.800000000003</v>
      </c>
      <c r="U140" s="603">
        <f t="shared" si="121"/>
        <v>75051.199999999997</v>
      </c>
      <c r="V140" s="603">
        <f t="shared" si="121"/>
        <v>91137.087999999989</v>
      </c>
    </row>
    <row r="141" spans="2:23" ht="29" thickTop="1"/>
    <row r="142" spans="2:23" ht="29" thickBot="1">
      <c r="F142" s="426" t="s">
        <v>411</v>
      </c>
      <c r="N142" s="420" t="s">
        <v>412</v>
      </c>
      <c r="W142" s="420" t="s">
        <v>412</v>
      </c>
    </row>
    <row r="143" spans="2:23">
      <c r="B143" s="593" t="s">
        <v>413</v>
      </c>
      <c r="C143" s="593"/>
      <c r="D143" s="593"/>
      <c r="E143" s="593"/>
      <c r="F143" s="593" t="s">
        <v>362</v>
      </c>
      <c r="G143" s="607">
        <f t="shared" ref="G143:L143" si="122">+(G144/$N144)*$N143</f>
        <v>1.7413163825200868E-2</v>
      </c>
      <c r="H143" s="607">
        <f t="shared" si="122"/>
        <v>2.6119745737801299E-2</v>
      </c>
      <c r="I143" s="607">
        <f t="shared" si="122"/>
        <v>3.4826327650401737E-2</v>
      </c>
      <c r="J143" s="607">
        <f t="shared" si="122"/>
        <v>4.353290956300216E-2</v>
      </c>
      <c r="K143" s="607">
        <f t="shared" si="122"/>
        <v>5.2239491475602598E-2</v>
      </c>
      <c r="L143" s="607">
        <f t="shared" si="122"/>
        <v>6.0946073388203029E-2</v>
      </c>
      <c r="M143" s="607">
        <f>+(M144/$N144)*$N143</f>
        <v>6.9652655300803473E-2</v>
      </c>
      <c r="N143" s="564">
        <v>0.1</v>
      </c>
      <c r="P143" s="607">
        <f t="shared" ref="P143:U143" si="123">+(P144/$N144)*$N143</f>
        <v>4.3532909563002171E-3</v>
      </c>
      <c r="Q143" s="607">
        <f t="shared" si="123"/>
        <v>6.5299364344503247E-3</v>
      </c>
      <c r="R143" s="607">
        <f t="shared" si="123"/>
        <v>8.7065819126004342E-3</v>
      </c>
      <c r="S143" s="607">
        <f t="shared" si="123"/>
        <v>1.0883227390750542E-2</v>
      </c>
      <c r="T143" s="607">
        <f t="shared" si="123"/>
        <v>1.3059872868900649E-2</v>
      </c>
      <c r="U143" s="607">
        <f t="shared" si="123"/>
        <v>1.5236518347050761E-2</v>
      </c>
      <c r="V143" s="607">
        <f>+(V144/$N144)*$N143</f>
        <v>1.7413163825200868E-2</v>
      </c>
      <c r="W143" s="564">
        <v>0.1</v>
      </c>
    </row>
    <row r="144" spans="2:23" ht="29" thickBot="1">
      <c r="B144" s="605" t="s">
        <v>414</v>
      </c>
      <c r="C144" s="605"/>
      <c r="D144" s="605"/>
      <c r="E144" s="605"/>
      <c r="F144" s="605"/>
      <c r="G144" s="606">
        <f t="shared" ref="G144:M144" si="124">+G10</f>
        <v>5459.52</v>
      </c>
      <c r="H144" s="606">
        <f t="shared" si="124"/>
        <v>8189.2800000000007</v>
      </c>
      <c r="I144" s="606">
        <f t="shared" si="124"/>
        <v>10919.04</v>
      </c>
      <c r="J144" s="606">
        <f t="shared" si="124"/>
        <v>13648.8</v>
      </c>
      <c r="K144" s="606">
        <f t="shared" si="124"/>
        <v>16378.560000000001</v>
      </c>
      <c r="L144" s="606">
        <f t="shared" si="124"/>
        <v>19108.32</v>
      </c>
      <c r="M144" s="606">
        <f t="shared" si="124"/>
        <v>21838.080000000002</v>
      </c>
      <c r="N144" s="608">
        <f>+M134</f>
        <v>31352.831999999995</v>
      </c>
      <c r="P144" s="606">
        <f t="shared" ref="P144:V144" si="125">+P10</f>
        <v>1364.88</v>
      </c>
      <c r="Q144" s="606">
        <f t="shared" si="125"/>
        <v>2047.3200000000002</v>
      </c>
      <c r="R144" s="606">
        <f t="shared" si="125"/>
        <v>2729.76</v>
      </c>
      <c r="S144" s="606">
        <f t="shared" si="125"/>
        <v>3412.2000000000003</v>
      </c>
      <c r="T144" s="606">
        <f t="shared" si="125"/>
        <v>4094.6400000000003</v>
      </c>
      <c r="U144" s="606">
        <f t="shared" si="125"/>
        <v>4777.0800000000008</v>
      </c>
      <c r="V144" s="606">
        <f t="shared" si="125"/>
        <v>5459.52</v>
      </c>
      <c r="W144" s="608">
        <f>+V134</f>
        <v>31352.831999999995</v>
      </c>
    </row>
    <row r="145" spans="2:24">
      <c r="B145" s="593" t="s">
        <v>413</v>
      </c>
      <c r="C145" s="593"/>
      <c r="D145" s="593"/>
      <c r="E145" s="593"/>
      <c r="F145" s="593" t="s">
        <v>103</v>
      </c>
      <c r="G145" s="607">
        <f t="shared" ref="G145:L145" ca="1" si="126">+(G146/$N146)*$N145</f>
        <v>0</v>
      </c>
      <c r="H145" s="607">
        <f t="shared" ca="1" si="126"/>
        <v>0</v>
      </c>
      <c r="I145" s="607">
        <f t="shared" ca="1" si="126"/>
        <v>4.1139321201203371E-4</v>
      </c>
      <c r="J145" s="607">
        <f t="shared" ca="1" si="126"/>
        <v>0</v>
      </c>
      <c r="K145" s="607">
        <f t="shared" ca="1" si="126"/>
        <v>6.1708981801800221E-4</v>
      </c>
      <c r="L145" s="607">
        <f t="shared" ca="1" si="126"/>
        <v>0</v>
      </c>
      <c r="M145" s="607">
        <f ca="1">+(M146/$N146)*$N145</f>
        <v>8.2278642402406742E-4</v>
      </c>
      <c r="N145" s="564">
        <v>0.05</v>
      </c>
      <c r="P145" s="607">
        <f t="shared" ref="P145:U145" ca="1" si="127">+(P146/$N146)*$N145</f>
        <v>0</v>
      </c>
      <c r="Q145" s="607">
        <f t="shared" ca="1" si="127"/>
        <v>0</v>
      </c>
      <c r="R145" s="607">
        <f t="shared" ca="1" si="127"/>
        <v>0</v>
      </c>
      <c r="S145" s="607">
        <f t="shared" ca="1" si="127"/>
        <v>0</v>
      </c>
      <c r="T145" s="607">
        <f t="shared" ca="1" si="127"/>
        <v>0</v>
      </c>
      <c r="U145" s="607">
        <f t="shared" ca="1" si="127"/>
        <v>0</v>
      </c>
      <c r="V145" s="607">
        <f ca="1">+(V146/$N146)*$N145</f>
        <v>0</v>
      </c>
      <c r="W145" s="564">
        <v>0.05</v>
      </c>
    </row>
    <row r="146" spans="2:24" ht="29" thickBot="1">
      <c r="B146" s="605" t="s">
        <v>414</v>
      </c>
      <c r="C146" s="605"/>
      <c r="D146" s="605"/>
      <c r="E146" s="605"/>
      <c r="F146" s="605"/>
      <c r="G146" s="606">
        <f t="shared" ref="G146:M146" ca="1" si="128">+G11</f>
        <v>0</v>
      </c>
      <c r="H146" s="606">
        <f t="shared" ca="1" si="128"/>
        <v>0</v>
      </c>
      <c r="I146" s="606">
        <f t="shared" ca="1" si="128"/>
        <v>61.952000000004773</v>
      </c>
      <c r="J146" s="606">
        <f t="shared" ca="1" si="128"/>
        <v>0</v>
      </c>
      <c r="K146" s="606">
        <f t="shared" ca="1" si="128"/>
        <v>92.927999999999884</v>
      </c>
      <c r="L146" s="606">
        <f t="shared" ca="1" si="128"/>
        <v>0</v>
      </c>
      <c r="M146" s="606">
        <f t="shared" ca="1" si="128"/>
        <v>123.90400000000955</v>
      </c>
      <c r="N146" s="608">
        <f>+M136</f>
        <v>7529.5359999999964</v>
      </c>
      <c r="P146" s="606">
        <f t="shared" ref="P146:V146" ca="1" si="129">+P11</f>
        <v>0</v>
      </c>
      <c r="Q146" s="606">
        <f t="shared" ca="1" si="129"/>
        <v>0</v>
      </c>
      <c r="R146" s="606">
        <f t="shared" ca="1" si="129"/>
        <v>0</v>
      </c>
      <c r="S146" s="606">
        <f t="shared" ca="1" si="129"/>
        <v>0</v>
      </c>
      <c r="T146" s="606">
        <f t="shared" ca="1" si="129"/>
        <v>0</v>
      </c>
      <c r="U146" s="606">
        <f t="shared" ca="1" si="129"/>
        <v>0</v>
      </c>
      <c r="V146" s="606">
        <f t="shared" ca="1" si="129"/>
        <v>0</v>
      </c>
      <c r="W146" s="608">
        <f>+V136</f>
        <v>7529.5359999999964</v>
      </c>
    </row>
    <row r="147" spans="2:24">
      <c r="B147" s="593" t="s">
        <v>413</v>
      </c>
      <c r="C147" s="593"/>
      <c r="D147" s="593"/>
      <c r="E147" s="593"/>
      <c r="F147" s="593" t="s">
        <v>307</v>
      </c>
      <c r="G147" s="607">
        <f t="shared" ref="G147:L147" ca="1" si="130">+(G148/$N148)*$N147</f>
        <v>0</v>
      </c>
      <c r="H147" s="607">
        <f t="shared" ca="1" si="130"/>
        <v>0</v>
      </c>
      <c r="I147" s="607">
        <f t="shared" ca="1" si="130"/>
        <v>0</v>
      </c>
      <c r="J147" s="607">
        <f t="shared" ca="1" si="130"/>
        <v>0</v>
      </c>
      <c r="K147" s="607">
        <f t="shared" ca="1" si="130"/>
        <v>0</v>
      </c>
      <c r="L147" s="607">
        <f t="shared" ca="1" si="130"/>
        <v>0</v>
      </c>
      <c r="M147" s="607">
        <f ca="1">+(M148/$N148)*$N147</f>
        <v>0</v>
      </c>
      <c r="N147" s="564">
        <v>0.1</v>
      </c>
      <c r="P147" s="607">
        <f t="shared" ref="P147:U147" ca="1" si="131">+(P148/$N148)*$N147</f>
        <v>0</v>
      </c>
      <c r="Q147" s="607">
        <f t="shared" ca="1" si="131"/>
        <v>0</v>
      </c>
      <c r="R147" s="607">
        <f t="shared" ca="1" si="131"/>
        <v>0</v>
      </c>
      <c r="S147" s="607">
        <f t="shared" ca="1" si="131"/>
        <v>0</v>
      </c>
      <c r="T147" s="607">
        <f t="shared" ca="1" si="131"/>
        <v>0</v>
      </c>
      <c r="U147" s="607">
        <f t="shared" ca="1" si="131"/>
        <v>0</v>
      </c>
      <c r="V147" s="607">
        <f ca="1">+(V148/$N148)*$N147</f>
        <v>0</v>
      </c>
      <c r="W147" s="564">
        <v>0.1</v>
      </c>
    </row>
    <row r="148" spans="2:24" ht="29" thickBot="1">
      <c r="B148" s="605" t="s">
        <v>414</v>
      </c>
      <c r="C148" s="605"/>
      <c r="D148" s="605"/>
      <c r="E148" s="605"/>
      <c r="F148" s="605"/>
      <c r="G148" s="606">
        <f t="shared" ref="G148:M148" ca="1" si="132">+G13</f>
        <v>0</v>
      </c>
      <c r="H148" s="606">
        <f t="shared" ca="1" si="132"/>
        <v>0</v>
      </c>
      <c r="I148" s="606">
        <f t="shared" ca="1" si="132"/>
        <v>0</v>
      </c>
      <c r="J148" s="606">
        <f t="shared" ca="1" si="132"/>
        <v>0</v>
      </c>
      <c r="K148" s="606">
        <f t="shared" ca="1" si="132"/>
        <v>0</v>
      </c>
      <c r="L148" s="606">
        <f t="shared" ca="1" si="132"/>
        <v>0</v>
      </c>
      <c r="M148" s="606">
        <f t="shared" ca="1" si="132"/>
        <v>0</v>
      </c>
      <c r="N148" s="608">
        <f>+M138</f>
        <v>52254.719999999994</v>
      </c>
      <c r="P148" s="606">
        <f t="shared" ref="P148:V148" ca="1" si="133">+P13</f>
        <v>0</v>
      </c>
      <c r="Q148" s="606">
        <f t="shared" ca="1" si="133"/>
        <v>0</v>
      </c>
      <c r="R148" s="606">
        <f t="shared" ca="1" si="133"/>
        <v>0</v>
      </c>
      <c r="S148" s="606">
        <f t="shared" ca="1" si="133"/>
        <v>0</v>
      </c>
      <c r="T148" s="606">
        <f t="shared" ca="1" si="133"/>
        <v>0</v>
      </c>
      <c r="U148" s="606">
        <f t="shared" ca="1" si="133"/>
        <v>0</v>
      </c>
      <c r="V148" s="606">
        <f t="shared" ca="1" si="133"/>
        <v>0</v>
      </c>
      <c r="W148" s="608">
        <f>+V138</f>
        <v>52254.719999999994</v>
      </c>
    </row>
    <row r="150" spans="2:24" ht="52.9" customHeight="1" thickBot="1">
      <c r="B150" s="527"/>
      <c r="C150" s="527"/>
      <c r="D150" s="527"/>
      <c r="E150" s="527"/>
      <c r="F150" s="528" t="s">
        <v>229</v>
      </c>
      <c r="G150" s="529" t="s">
        <v>104</v>
      </c>
      <c r="H150" s="529" t="s">
        <v>105</v>
      </c>
      <c r="I150" s="529" t="s">
        <v>106</v>
      </c>
      <c r="J150" s="529" t="s">
        <v>107</v>
      </c>
      <c r="K150" s="529" t="s">
        <v>108</v>
      </c>
      <c r="L150" s="529" t="s">
        <v>109</v>
      </c>
      <c r="M150" s="529" t="s">
        <v>110</v>
      </c>
      <c r="P150" s="529" t="s">
        <v>104</v>
      </c>
      <c r="Q150" s="529" t="s">
        <v>105</v>
      </c>
      <c r="R150" s="529" t="s">
        <v>106</v>
      </c>
      <c r="S150" s="529" t="s">
        <v>107</v>
      </c>
      <c r="T150" s="529" t="s">
        <v>108</v>
      </c>
      <c r="U150" s="529" t="s">
        <v>109</v>
      </c>
      <c r="V150" s="529" t="s">
        <v>110</v>
      </c>
    </row>
    <row r="151" spans="2:24" ht="9.65" customHeight="1" thickTop="1">
      <c r="D151" s="531"/>
      <c r="E151" s="531"/>
      <c r="F151" s="531"/>
      <c r="G151" s="532"/>
      <c r="H151" s="532"/>
      <c r="I151" s="532"/>
      <c r="J151" s="532"/>
      <c r="K151" s="532"/>
      <c r="L151" s="532"/>
      <c r="M151" s="532"/>
      <c r="P151" s="532"/>
      <c r="Q151" s="532"/>
      <c r="R151" s="532"/>
      <c r="S151" s="532"/>
      <c r="T151" s="532"/>
      <c r="U151" s="532"/>
      <c r="V151" s="532"/>
    </row>
    <row r="152" spans="2:24" ht="31.9" customHeight="1" thickBot="1">
      <c r="B152" s="539"/>
      <c r="C152" s="539"/>
      <c r="D152" s="539"/>
      <c r="E152" s="539"/>
      <c r="F152" s="539" t="s">
        <v>362</v>
      </c>
      <c r="G152" s="540">
        <f t="shared" ref="G152:M155" si="134">+G32*$N152</f>
        <v>26751.648000000005</v>
      </c>
      <c r="H152" s="540">
        <f t="shared" si="134"/>
        <v>40127.472000000002</v>
      </c>
      <c r="I152" s="540">
        <f t="shared" si="134"/>
        <v>53503.296000000009</v>
      </c>
      <c r="J152" s="540">
        <f t="shared" si="134"/>
        <v>66879.12</v>
      </c>
      <c r="K152" s="540">
        <f t="shared" si="134"/>
        <v>80254.944000000003</v>
      </c>
      <c r="L152" s="540">
        <f t="shared" si="134"/>
        <v>93630.767999999996</v>
      </c>
      <c r="M152" s="540">
        <f t="shared" si="134"/>
        <v>107006.59200000002</v>
      </c>
      <c r="N152" s="584">
        <v>2E-3</v>
      </c>
      <c r="P152" s="540">
        <f t="shared" ref="P152:V155" si="135">+P32*$N152</f>
        <v>7643.3280000000004</v>
      </c>
      <c r="Q152" s="540">
        <f t="shared" si="135"/>
        <v>11464.992000000002</v>
      </c>
      <c r="R152" s="540">
        <f t="shared" si="135"/>
        <v>15286.656000000001</v>
      </c>
      <c r="S152" s="540">
        <f t="shared" si="135"/>
        <v>19108.32</v>
      </c>
      <c r="T152" s="540">
        <f t="shared" si="135"/>
        <v>22929.984000000004</v>
      </c>
      <c r="U152" s="540">
        <f t="shared" si="135"/>
        <v>26751.648000000005</v>
      </c>
      <c r="V152" s="540">
        <f t="shared" si="135"/>
        <v>30573.312000000002</v>
      </c>
      <c r="W152" s="584">
        <v>2E-3</v>
      </c>
    </row>
    <row r="153" spans="2:24" ht="31.9" customHeight="1" thickTop="1" thickBot="1">
      <c r="B153" s="539"/>
      <c r="C153" s="539"/>
      <c r="D153" s="539"/>
      <c r="E153" s="539"/>
      <c r="F153" s="539" t="s">
        <v>103</v>
      </c>
      <c r="G153" s="540">
        <f t="shared" ca="1" si="134"/>
        <v>0</v>
      </c>
      <c r="H153" s="540">
        <f t="shared" ca="1" si="134"/>
        <v>0</v>
      </c>
      <c r="I153" s="540">
        <f t="shared" ca="1" si="134"/>
        <v>284.97920000002199</v>
      </c>
      <c r="J153" s="540">
        <f t="shared" ca="1" si="134"/>
        <v>0</v>
      </c>
      <c r="K153" s="540">
        <f t="shared" ca="1" si="134"/>
        <v>427.46879999999948</v>
      </c>
      <c r="L153" s="540">
        <f t="shared" ca="1" si="134"/>
        <v>0</v>
      </c>
      <c r="M153" s="540">
        <f t="shared" ca="1" si="134"/>
        <v>569.95840000004398</v>
      </c>
      <c r="N153" s="584">
        <v>2E-3</v>
      </c>
      <c r="P153" s="540">
        <f t="shared" ca="1" si="135"/>
        <v>0</v>
      </c>
      <c r="Q153" s="540">
        <f t="shared" ca="1" si="135"/>
        <v>0</v>
      </c>
      <c r="R153" s="540">
        <f t="shared" ca="1" si="135"/>
        <v>0</v>
      </c>
      <c r="S153" s="540">
        <f t="shared" ca="1" si="135"/>
        <v>0</v>
      </c>
      <c r="T153" s="540">
        <f t="shared" ca="1" si="135"/>
        <v>0</v>
      </c>
      <c r="U153" s="540">
        <f t="shared" ca="1" si="135"/>
        <v>0</v>
      </c>
      <c r="V153" s="540">
        <f t="shared" ca="1" si="135"/>
        <v>0</v>
      </c>
      <c r="W153" s="584">
        <v>2E-3</v>
      </c>
    </row>
    <row r="154" spans="2:24" ht="31.9" customHeight="1" thickTop="1" thickBot="1">
      <c r="B154" s="539"/>
      <c r="C154" s="539"/>
      <c r="D154" s="539"/>
      <c r="E154" s="539"/>
      <c r="F154" s="539" t="s">
        <v>431</v>
      </c>
      <c r="G154" s="540">
        <f t="shared" si="134"/>
        <v>12080.64</v>
      </c>
      <c r="H154" s="540">
        <f t="shared" si="134"/>
        <v>18120.96</v>
      </c>
      <c r="I154" s="540">
        <f t="shared" si="134"/>
        <v>24161.279999999999</v>
      </c>
      <c r="J154" s="540">
        <f t="shared" si="134"/>
        <v>30201.600000000002</v>
      </c>
      <c r="K154" s="540">
        <f t="shared" si="134"/>
        <v>36241.919999999998</v>
      </c>
      <c r="L154" s="540">
        <f t="shared" si="134"/>
        <v>42282.239999999998</v>
      </c>
      <c r="M154" s="540">
        <f t="shared" si="134"/>
        <v>48322.559999999998</v>
      </c>
      <c r="N154" s="584">
        <v>2E-3</v>
      </c>
      <c r="P154" s="540">
        <f t="shared" si="135"/>
        <v>3545.5420000000004</v>
      </c>
      <c r="Q154" s="540">
        <f t="shared" si="135"/>
        <v>5318.3130000000001</v>
      </c>
      <c r="R154" s="540">
        <f t="shared" si="135"/>
        <v>7091.0840000000007</v>
      </c>
      <c r="S154" s="540">
        <f t="shared" si="135"/>
        <v>8863.8549999999996</v>
      </c>
      <c r="T154" s="540">
        <f t="shared" si="135"/>
        <v>10636.626</v>
      </c>
      <c r="U154" s="540">
        <f t="shared" si="135"/>
        <v>12409.397000000003</v>
      </c>
      <c r="V154" s="540">
        <f t="shared" si="135"/>
        <v>14182.168000000001</v>
      </c>
      <c r="W154" s="584">
        <v>2E-3</v>
      </c>
    </row>
    <row r="155" spans="2:24" ht="31.9" customHeight="1" thickTop="1" thickBot="1">
      <c r="B155" s="539"/>
      <c r="C155" s="539"/>
      <c r="D155" s="539"/>
      <c r="E155" s="539"/>
      <c r="F155" s="539" t="s">
        <v>307</v>
      </c>
      <c r="G155" s="540">
        <f t="shared" ca="1" si="134"/>
        <v>0</v>
      </c>
      <c r="H155" s="540">
        <f t="shared" ca="1" si="134"/>
        <v>0</v>
      </c>
      <c r="I155" s="540">
        <f t="shared" ca="1" si="134"/>
        <v>0</v>
      </c>
      <c r="J155" s="540">
        <f t="shared" ca="1" si="134"/>
        <v>0</v>
      </c>
      <c r="K155" s="540">
        <f t="shared" ca="1" si="134"/>
        <v>0</v>
      </c>
      <c r="L155" s="540">
        <f t="shared" ca="1" si="134"/>
        <v>0</v>
      </c>
      <c r="M155" s="540">
        <f t="shared" ca="1" si="134"/>
        <v>0</v>
      </c>
      <c r="N155" s="584">
        <v>2E-3</v>
      </c>
      <c r="P155" s="540">
        <f t="shared" ca="1" si="135"/>
        <v>0</v>
      </c>
      <c r="Q155" s="540">
        <f t="shared" ca="1" si="135"/>
        <v>0</v>
      </c>
      <c r="R155" s="540">
        <f t="shared" ca="1" si="135"/>
        <v>0</v>
      </c>
      <c r="S155" s="540">
        <f t="shared" ca="1" si="135"/>
        <v>0</v>
      </c>
      <c r="T155" s="540">
        <f t="shared" ca="1" si="135"/>
        <v>0</v>
      </c>
      <c r="U155" s="540">
        <f t="shared" ca="1" si="135"/>
        <v>0</v>
      </c>
      <c r="V155" s="540">
        <f t="shared" ca="1" si="135"/>
        <v>0</v>
      </c>
      <c r="W155" s="584">
        <v>2E-3</v>
      </c>
    </row>
    <row r="156" spans="2:24" ht="31.9" customHeight="1" thickTop="1" thickBot="1">
      <c r="B156" s="539"/>
      <c r="C156" s="539"/>
      <c r="D156" s="539"/>
      <c r="E156" s="539"/>
      <c r="F156" s="539" t="s">
        <v>112</v>
      </c>
      <c r="G156" s="540">
        <f t="shared" ref="G156:M156" ca="1" si="136">+G$59*G171</f>
        <v>0</v>
      </c>
      <c r="H156" s="540">
        <f t="shared" ca="1" si="136"/>
        <v>0</v>
      </c>
      <c r="I156" s="540">
        <f t="shared" ca="1" si="136"/>
        <v>0</v>
      </c>
      <c r="J156" s="540">
        <f t="shared" ca="1" si="136"/>
        <v>0</v>
      </c>
      <c r="K156" s="540">
        <f t="shared" ca="1" si="136"/>
        <v>0</v>
      </c>
      <c r="L156" s="540">
        <f t="shared" ca="1" si="136"/>
        <v>0</v>
      </c>
      <c r="M156" s="540">
        <f t="shared" ca="1" si="136"/>
        <v>0</v>
      </c>
      <c r="N156" s="564">
        <v>2E-3</v>
      </c>
      <c r="P156" s="540">
        <f t="shared" ref="P156:V156" ca="1" si="137">+P$59*P171</f>
        <v>0</v>
      </c>
      <c r="Q156" s="540">
        <f t="shared" ca="1" si="137"/>
        <v>0</v>
      </c>
      <c r="R156" s="540">
        <f t="shared" ca="1" si="137"/>
        <v>0</v>
      </c>
      <c r="S156" s="540">
        <f t="shared" ca="1" si="137"/>
        <v>0</v>
      </c>
      <c r="T156" s="540">
        <f t="shared" ca="1" si="137"/>
        <v>0</v>
      </c>
      <c r="U156" s="540">
        <f t="shared" ca="1" si="137"/>
        <v>0</v>
      </c>
      <c r="V156" s="540">
        <f t="shared" ca="1" si="137"/>
        <v>0</v>
      </c>
      <c r="W156" s="564">
        <v>2E-3</v>
      </c>
    </row>
    <row r="157" spans="2:24" ht="9.65" customHeight="1" thickTop="1"/>
    <row r="158" spans="2:24" s="420" customFormat="1" ht="43.15" customHeight="1" thickBot="1">
      <c r="B158" s="535"/>
      <c r="C158" s="535"/>
      <c r="D158" s="535"/>
      <c r="E158" s="535"/>
      <c r="F158" s="535" t="s">
        <v>456</v>
      </c>
      <c r="G158" s="580">
        <f ca="1">SUM(G152:G156)</f>
        <v>43442.771200000003</v>
      </c>
      <c r="H158" s="580">
        <f t="shared" ref="H158:M158" ca="1" si="138">SUM(H152:H156)</f>
        <v>65164.156799999997</v>
      </c>
      <c r="I158" s="580">
        <f t="shared" ca="1" si="138"/>
        <v>87092.121600000028</v>
      </c>
      <c r="J158" s="580">
        <f t="shared" ca="1" si="138"/>
        <v>108606.92800000001</v>
      </c>
      <c r="K158" s="580">
        <f t="shared" ca="1" si="138"/>
        <v>130638.18240000001</v>
      </c>
      <c r="L158" s="580">
        <f t="shared" ca="1" si="138"/>
        <v>152049.69920000003</v>
      </c>
      <c r="M158" s="580">
        <f t="shared" ca="1" si="138"/>
        <v>174184.24320000006</v>
      </c>
      <c r="O158" s="418"/>
      <c r="P158" s="580">
        <f ca="1">SUM(P152:P156)</f>
        <v>12527.827200000003</v>
      </c>
      <c r="Q158" s="580">
        <f t="shared" ref="Q158:V158" ca="1" si="139">SUM(Q152:Q156)</f>
        <v>18791.740800000003</v>
      </c>
      <c r="R158" s="580">
        <f t="shared" ca="1" si="139"/>
        <v>25120.529280000013</v>
      </c>
      <c r="S158" s="580">
        <f t="shared" ca="1" si="139"/>
        <v>31319.567999999999</v>
      </c>
      <c r="T158" s="580">
        <f t="shared" ca="1" si="139"/>
        <v>37680.793920000004</v>
      </c>
      <c r="U158" s="580">
        <f t="shared" ca="1" si="139"/>
        <v>43847.395200000006</v>
      </c>
      <c r="V158" s="580">
        <f t="shared" ca="1" si="139"/>
        <v>50241.058560000027</v>
      </c>
    </row>
    <row r="159" spans="2:24" s="420" customFormat="1" ht="29" thickTop="1">
      <c r="B159" s="418"/>
      <c r="C159" s="418"/>
      <c r="D159" s="418"/>
      <c r="E159" s="418"/>
      <c r="F159" s="418"/>
      <c r="O159" s="418"/>
    </row>
    <row r="160" spans="2:24" ht="52.9" customHeight="1" thickBot="1">
      <c r="B160" s="609"/>
      <c r="C160" s="609"/>
      <c r="D160" s="609"/>
      <c r="E160" s="609"/>
      <c r="F160" s="610" t="s">
        <v>457</v>
      </c>
      <c r="G160" s="611" t="s">
        <v>104</v>
      </c>
      <c r="H160" s="611" t="s">
        <v>105</v>
      </c>
      <c r="I160" s="611" t="s">
        <v>106</v>
      </c>
      <c r="J160" s="611" t="s">
        <v>107</v>
      </c>
      <c r="K160" s="611" t="s">
        <v>108</v>
      </c>
      <c r="L160" s="611" t="s">
        <v>109</v>
      </c>
      <c r="M160" s="611" t="s">
        <v>110</v>
      </c>
      <c r="P160" s="611" t="s">
        <v>104</v>
      </c>
      <c r="Q160" s="611" t="s">
        <v>105</v>
      </c>
      <c r="R160" s="611" t="s">
        <v>106</v>
      </c>
      <c r="S160" s="611" t="s">
        <v>107</v>
      </c>
      <c r="T160" s="611" t="s">
        <v>108</v>
      </c>
      <c r="U160" s="611" t="s">
        <v>109</v>
      </c>
      <c r="V160" s="611" t="s">
        <v>110</v>
      </c>
      <c r="W160" s="420" t="s">
        <v>460</v>
      </c>
      <c r="X160" s="420" t="s">
        <v>462</v>
      </c>
    </row>
    <row r="161" spans="2:24" ht="9.65" customHeight="1" thickTop="1">
      <c r="D161" s="531"/>
      <c r="E161" s="531"/>
      <c r="F161" s="531"/>
      <c r="G161" s="532"/>
      <c r="H161" s="532"/>
      <c r="I161" s="532"/>
      <c r="J161" s="532"/>
      <c r="K161" s="532"/>
      <c r="L161" s="532"/>
      <c r="M161" s="532"/>
      <c r="P161" s="532"/>
      <c r="Q161" s="532"/>
      <c r="R161" s="532"/>
      <c r="S161" s="532"/>
      <c r="T161" s="532"/>
      <c r="U161" s="532"/>
      <c r="V161" s="532"/>
      <c r="X161" s="420"/>
    </row>
    <row r="162" spans="2:24" ht="31.9" customHeight="1" thickBot="1">
      <c r="B162" s="539"/>
      <c r="C162" s="539"/>
      <c r="D162" s="539"/>
      <c r="E162" s="539"/>
      <c r="F162" s="539" t="s">
        <v>362</v>
      </c>
      <c r="G162" s="540">
        <f t="shared" ref="G162:M164" si="140">($X162/$W162)*G10</f>
        <v>36396.800000000003</v>
      </c>
      <c r="H162" s="540">
        <f t="shared" si="140"/>
        <v>54595.200000000004</v>
      </c>
      <c r="I162" s="540">
        <f t="shared" si="140"/>
        <v>72793.600000000006</v>
      </c>
      <c r="J162" s="540">
        <f t="shared" si="140"/>
        <v>90992</v>
      </c>
      <c r="K162" s="540">
        <f t="shared" si="140"/>
        <v>109190.40000000001</v>
      </c>
      <c r="L162" s="540">
        <f t="shared" si="140"/>
        <v>127388.8</v>
      </c>
      <c r="M162" s="540">
        <f t="shared" si="140"/>
        <v>145587.20000000001</v>
      </c>
      <c r="P162" s="540">
        <f t="shared" ref="P162:V165" si="141">($X162/$W162)*P10</f>
        <v>9099.2000000000007</v>
      </c>
      <c r="Q162" s="540">
        <f t="shared" si="141"/>
        <v>13648.800000000001</v>
      </c>
      <c r="R162" s="540">
        <f t="shared" si="141"/>
        <v>18198.400000000001</v>
      </c>
      <c r="S162" s="540">
        <f t="shared" si="141"/>
        <v>22748.000000000004</v>
      </c>
      <c r="T162" s="540">
        <f t="shared" si="141"/>
        <v>27297.600000000002</v>
      </c>
      <c r="U162" s="540">
        <f t="shared" si="141"/>
        <v>31847.200000000008</v>
      </c>
      <c r="V162" s="540">
        <f t="shared" si="141"/>
        <v>36396.800000000003</v>
      </c>
      <c r="W162" s="425">
        <v>30</v>
      </c>
      <c r="X162" s="425">
        <v>200</v>
      </c>
    </row>
    <row r="163" spans="2:24" ht="31.9" customHeight="1" thickTop="1" thickBot="1">
      <c r="B163" s="539"/>
      <c r="C163" s="539"/>
      <c r="D163" s="539"/>
      <c r="E163" s="539"/>
      <c r="F163" s="539" t="s">
        <v>103</v>
      </c>
      <c r="G163" s="540">
        <f t="shared" ca="1" si="140"/>
        <v>0</v>
      </c>
      <c r="H163" s="540">
        <f t="shared" ca="1" si="140"/>
        <v>0</v>
      </c>
      <c r="I163" s="540">
        <f t="shared" ca="1" si="140"/>
        <v>413.01333333336515</v>
      </c>
      <c r="J163" s="540">
        <f t="shared" ca="1" si="140"/>
        <v>0</v>
      </c>
      <c r="K163" s="540">
        <f t="shared" ca="1" si="140"/>
        <v>619.5199999999993</v>
      </c>
      <c r="L163" s="540">
        <f t="shared" ca="1" si="140"/>
        <v>0</v>
      </c>
      <c r="M163" s="540">
        <f t="shared" ca="1" si="140"/>
        <v>826.02666666673031</v>
      </c>
      <c r="P163" s="540">
        <f t="shared" ca="1" si="141"/>
        <v>0</v>
      </c>
      <c r="Q163" s="540">
        <f t="shared" ca="1" si="141"/>
        <v>0</v>
      </c>
      <c r="R163" s="540">
        <f t="shared" ca="1" si="141"/>
        <v>0</v>
      </c>
      <c r="S163" s="540">
        <f t="shared" ca="1" si="141"/>
        <v>0</v>
      </c>
      <c r="T163" s="540">
        <f t="shared" ca="1" si="141"/>
        <v>0</v>
      </c>
      <c r="U163" s="540">
        <f t="shared" ca="1" si="141"/>
        <v>0</v>
      </c>
      <c r="V163" s="540">
        <f t="shared" ca="1" si="141"/>
        <v>0</v>
      </c>
      <c r="W163" s="425">
        <v>30</v>
      </c>
      <c r="X163" s="425">
        <v>200</v>
      </c>
    </row>
    <row r="164" spans="2:24" ht="31.9" customHeight="1" thickTop="1" thickBot="1">
      <c r="B164" s="539"/>
      <c r="C164" s="539"/>
      <c r="D164" s="539"/>
      <c r="E164" s="539"/>
      <c r="F164" s="539" t="s">
        <v>431</v>
      </c>
      <c r="G164" s="540">
        <f t="shared" si="140"/>
        <v>16778.666666666668</v>
      </c>
      <c r="H164" s="540">
        <f t="shared" si="140"/>
        <v>25168</v>
      </c>
      <c r="I164" s="540">
        <f t="shared" si="140"/>
        <v>33557.333333333336</v>
      </c>
      <c r="J164" s="540">
        <f t="shared" si="140"/>
        <v>41946.666666666672</v>
      </c>
      <c r="K164" s="540">
        <f t="shared" si="140"/>
        <v>50336</v>
      </c>
      <c r="L164" s="540">
        <f t="shared" si="140"/>
        <v>58725.333333333328</v>
      </c>
      <c r="M164" s="540">
        <f t="shared" si="140"/>
        <v>67114.666666666672</v>
      </c>
      <c r="P164" s="540">
        <f t="shared" si="141"/>
        <v>4194.666666666667</v>
      </c>
      <c r="Q164" s="540">
        <f t="shared" si="141"/>
        <v>6292.0000000000009</v>
      </c>
      <c r="R164" s="540">
        <f t="shared" si="141"/>
        <v>8389.3333333333339</v>
      </c>
      <c r="S164" s="540">
        <f t="shared" si="141"/>
        <v>10486.666666666668</v>
      </c>
      <c r="T164" s="540">
        <f t="shared" si="141"/>
        <v>12584.000000000002</v>
      </c>
      <c r="U164" s="540">
        <f t="shared" si="141"/>
        <v>14681.333333333336</v>
      </c>
      <c r="V164" s="540">
        <f t="shared" si="141"/>
        <v>16778.666666666668</v>
      </c>
      <c r="W164" s="425">
        <v>30</v>
      </c>
      <c r="X164" s="425">
        <v>200</v>
      </c>
    </row>
    <row r="165" spans="2:24" ht="31.9" customHeight="1" thickTop="1" thickBot="1">
      <c r="B165" s="539"/>
      <c r="C165" s="539"/>
      <c r="D165" s="539"/>
      <c r="E165" s="539"/>
      <c r="F165" s="539" t="s">
        <v>307</v>
      </c>
      <c r="G165" s="540"/>
      <c r="H165" s="540"/>
      <c r="I165" s="540"/>
      <c r="J165" s="540"/>
      <c r="K165" s="540"/>
      <c r="L165" s="540"/>
      <c r="M165" s="540"/>
      <c r="P165" s="540">
        <f t="shared" ca="1" si="141"/>
        <v>0</v>
      </c>
      <c r="Q165" s="540">
        <f t="shared" ca="1" si="141"/>
        <v>0</v>
      </c>
      <c r="R165" s="540">
        <f t="shared" ca="1" si="141"/>
        <v>0</v>
      </c>
      <c r="S165" s="540">
        <f t="shared" ca="1" si="141"/>
        <v>0</v>
      </c>
      <c r="T165" s="540">
        <f t="shared" ca="1" si="141"/>
        <v>0</v>
      </c>
      <c r="U165" s="540">
        <f t="shared" ca="1" si="141"/>
        <v>0</v>
      </c>
      <c r="V165" s="540">
        <f t="shared" ca="1" si="141"/>
        <v>0</v>
      </c>
      <c r="W165" s="425">
        <v>30</v>
      </c>
      <c r="X165" s="425">
        <v>200</v>
      </c>
    </row>
    <row r="166" spans="2:24" ht="31.9" customHeight="1" thickTop="1" thickBot="1">
      <c r="B166" s="539"/>
      <c r="C166" s="539"/>
      <c r="D166" s="539"/>
      <c r="E166" s="539"/>
      <c r="F166" s="539" t="s">
        <v>112</v>
      </c>
      <c r="G166" s="540">
        <f t="shared" ref="G166:M166" ca="1" si="142">($X166/$W166)*G14</f>
        <v>41306.373333333337</v>
      </c>
      <c r="H166" s="540">
        <f t="shared" ca="1" si="142"/>
        <v>61959.560000000012</v>
      </c>
      <c r="I166" s="540">
        <f t="shared" ca="1" si="142"/>
        <v>82602.666666666686</v>
      </c>
      <c r="J166" s="540">
        <f t="shared" ca="1" si="142"/>
        <v>103265.93333333335</v>
      </c>
      <c r="K166" s="540">
        <f t="shared" ca="1" si="142"/>
        <v>123904.00000000001</v>
      </c>
      <c r="L166" s="540">
        <f t="shared" ca="1" si="142"/>
        <v>144572.30666666667</v>
      </c>
      <c r="M166" s="540">
        <f t="shared" ca="1" si="142"/>
        <v>165205.33333333337</v>
      </c>
      <c r="P166" s="540"/>
      <c r="Q166" s="540"/>
      <c r="R166" s="540"/>
      <c r="S166" s="540"/>
      <c r="T166" s="540"/>
      <c r="U166" s="540"/>
      <c r="V166" s="540"/>
      <c r="W166" s="425">
        <v>30</v>
      </c>
      <c r="X166" s="425">
        <v>200</v>
      </c>
    </row>
    <row r="167" spans="2:24" ht="9.65" customHeight="1" thickTop="1"/>
    <row r="168" spans="2:24" s="420" customFormat="1" ht="43.15" customHeight="1" thickBot="1">
      <c r="B168" s="535"/>
      <c r="C168" s="535"/>
      <c r="D168" s="535"/>
      <c r="E168" s="535"/>
      <c r="F168" s="535" t="s">
        <v>456</v>
      </c>
      <c r="G168" s="580">
        <f ca="1">SUM(G162:G166)</f>
        <v>100833.62666666668</v>
      </c>
      <c r="H168" s="580">
        <f t="shared" ref="H168:M168" ca="1" si="143">SUM(H162:H166)</f>
        <v>151250.44</v>
      </c>
      <c r="I168" s="580">
        <f t="shared" ca="1" si="143"/>
        <v>201963.52000000005</v>
      </c>
      <c r="J168" s="580">
        <f t="shared" ca="1" si="143"/>
        <v>252084.06666666671</v>
      </c>
      <c r="K168" s="580">
        <f t="shared" ca="1" si="143"/>
        <v>302945.28000000003</v>
      </c>
      <c r="L168" s="580">
        <f t="shared" ca="1" si="143"/>
        <v>352917.69333333336</v>
      </c>
      <c r="M168" s="580">
        <f t="shared" ca="1" si="143"/>
        <v>403927.0400000001</v>
      </c>
      <c r="O168" s="418"/>
      <c r="P168" s="580">
        <f ca="1">SUM(P162:P166)</f>
        <v>13293.866666666669</v>
      </c>
      <c r="Q168" s="580">
        <f t="shared" ref="Q168:V168" ca="1" si="144">SUM(Q162:Q166)</f>
        <v>19940.800000000003</v>
      </c>
      <c r="R168" s="580">
        <f t="shared" ca="1" si="144"/>
        <v>26587.733333333337</v>
      </c>
      <c r="S168" s="580">
        <f t="shared" ca="1" si="144"/>
        <v>33234.666666666672</v>
      </c>
      <c r="T168" s="580">
        <f t="shared" ca="1" si="144"/>
        <v>39881.600000000006</v>
      </c>
      <c r="U168" s="580">
        <f t="shared" ca="1" si="144"/>
        <v>46528.53333333334</v>
      </c>
      <c r="V168" s="580">
        <f t="shared" ca="1" si="144"/>
        <v>53175.466666666674</v>
      </c>
    </row>
    <row r="169" spans="2:24" ht="29" thickTop="1"/>
    <row r="170" spans="2:24" ht="52.9" customHeight="1" thickBot="1">
      <c r="B170" s="609"/>
      <c r="C170" s="609"/>
      <c r="D170" s="609"/>
      <c r="E170" s="609"/>
      <c r="F170" s="610" t="s">
        <v>458</v>
      </c>
      <c r="G170" s="611" t="s">
        <v>104</v>
      </c>
      <c r="H170" s="611" t="s">
        <v>105</v>
      </c>
      <c r="I170" s="611" t="s">
        <v>106</v>
      </c>
      <c r="J170" s="611" t="s">
        <v>107</v>
      </c>
      <c r="K170" s="611" t="s">
        <v>108</v>
      </c>
      <c r="L170" s="611" t="s">
        <v>109</v>
      </c>
      <c r="M170" s="611" t="s">
        <v>110</v>
      </c>
      <c r="P170" s="611" t="s">
        <v>104</v>
      </c>
      <c r="Q170" s="611" t="s">
        <v>105</v>
      </c>
      <c r="R170" s="611" t="s">
        <v>106</v>
      </c>
      <c r="S170" s="611" t="s">
        <v>107</v>
      </c>
      <c r="T170" s="611" t="s">
        <v>108</v>
      </c>
      <c r="U170" s="611" t="s">
        <v>109</v>
      </c>
      <c r="V170" s="611" t="s">
        <v>110</v>
      </c>
      <c r="X170" s="421" t="s">
        <v>461</v>
      </c>
    </row>
    <row r="171" spans="2:24" ht="9.65" customHeight="1" thickTop="1">
      <c r="D171" s="531"/>
      <c r="E171" s="531"/>
      <c r="F171" s="531"/>
      <c r="G171" s="532"/>
      <c r="H171" s="532"/>
      <c r="I171" s="532"/>
      <c r="J171" s="532"/>
      <c r="K171" s="532"/>
      <c r="L171" s="532"/>
      <c r="M171" s="532"/>
      <c r="P171" s="532"/>
      <c r="Q171" s="532"/>
      <c r="R171" s="532"/>
      <c r="S171" s="532"/>
      <c r="T171" s="532"/>
      <c r="U171" s="532"/>
      <c r="V171" s="532"/>
    </row>
    <row r="172" spans="2:24" ht="31.9" customHeight="1" thickBot="1">
      <c r="B172" s="539"/>
      <c r="C172" s="539"/>
      <c r="D172" s="539"/>
      <c r="E172" s="539"/>
      <c r="F172" s="539" t="s">
        <v>362</v>
      </c>
      <c r="G172" s="540">
        <f t="shared" ref="G172:M175" si="145">+G52*$N172</f>
        <v>0</v>
      </c>
      <c r="H172" s="540">
        <f t="shared" si="145"/>
        <v>0</v>
      </c>
      <c r="I172" s="540">
        <f t="shared" si="145"/>
        <v>0</v>
      </c>
      <c r="J172" s="540">
        <f t="shared" si="145"/>
        <v>0</v>
      </c>
      <c r="K172" s="540">
        <f t="shared" si="145"/>
        <v>0</v>
      </c>
      <c r="L172" s="540">
        <f t="shared" si="145"/>
        <v>0</v>
      </c>
      <c r="M172" s="540">
        <f t="shared" si="145"/>
        <v>0</v>
      </c>
      <c r="N172" s="584"/>
      <c r="P172" s="540">
        <f t="shared" ref="P172:V175" si="146">+P10*$X172</f>
        <v>243128.03398058252</v>
      </c>
      <c r="Q172" s="540">
        <f t="shared" si="146"/>
        <v>364692.0509708738</v>
      </c>
      <c r="R172" s="540">
        <f t="shared" si="146"/>
        <v>486256.06796116504</v>
      </c>
      <c r="S172" s="540">
        <f t="shared" si="146"/>
        <v>607820.08495145629</v>
      </c>
      <c r="T172" s="540">
        <f t="shared" si="146"/>
        <v>729384.10194174759</v>
      </c>
      <c r="U172" s="540">
        <f t="shared" si="146"/>
        <v>850948.11893203889</v>
      </c>
      <c r="V172" s="540">
        <f t="shared" si="146"/>
        <v>972512.13592233008</v>
      </c>
      <c r="W172" s="684">
        <f>+'[3]Coût Logistique'!$C$20+'[3]Coût Logistique'!$C$19</f>
        <v>50.894695918967756</v>
      </c>
      <c r="X172" s="685">
        <f>+W172*[3]Assumptions!$F$5</f>
        <v>178.13143571638716</v>
      </c>
    </row>
    <row r="173" spans="2:24" ht="31.9" customHeight="1" thickTop="1" thickBot="1">
      <c r="B173" s="539"/>
      <c r="C173" s="539"/>
      <c r="D173" s="539"/>
      <c r="E173" s="539"/>
      <c r="F173" s="539" t="s">
        <v>103</v>
      </c>
      <c r="G173" s="540">
        <f t="shared" ca="1" si="145"/>
        <v>0</v>
      </c>
      <c r="H173" s="540">
        <f t="shared" ca="1" si="145"/>
        <v>0</v>
      </c>
      <c r="I173" s="540">
        <f t="shared" ca="1" si="145"/>
        <v>0</v>
      </c>
      <c r="J173" s="540">
        <f t="shared" ca="1" si="145"/>
        <v>0</v>
      </c>
      <c r="K173" s="540">
        <f t="shared" ca="1" si="145"/>
        <v>0</v>
      </c>
      <c r="L173" s="540">
        <f t="shared" ca="1" si="145"/>
        <v>0</v>
      </c>
      <c r="M173" s="540">
        <f t="shared" ca="1" si="145"/>
        <v>0</v>
      </c>
      <c r="N173" s="584"/>
      <c r="P173" s="540">
        <f t="shared" ca="1" si="146"/>
        <v>0</v>
      </c>
      <c r="Q173" s="540">
        <f t="shared" ca="1" si="146"/>
        <v>0</v>
      </c>
      <c r="R173" s="540">
        <f t="shared" ca="1" si="146"/>
        <v>0</v>
      </c>
      <c r="S173" s="540">
        <f t="shared" ca="1" si="146"/>
        <v>0</v>
      </c>
      <c r="T173" s="540">
        <f t="shared" ca="1" si="146"/>
        <v>0</v>
      </c>
      <c r="U173" s="540">
        <f t="shared" ca="1" si="146"/>
        <v>0</v>
      </c>
      <c r="V173" s="540">
        <f t="shared" ca="1" si="146"/>
        <v>0</v>
      </c>
      <c r="W173" s="686">
        <f>+'[3]Coût Logistique'!$C$19+'[3]Coût Logistique'!$C$20</f>
        <v>50.894695918967756</v>
      </c>
      <c r="X173" s="685">
        <f>+W173*[3]Assumptions!$F$5</f>
        <v>178.13143571638716</v>
      </c>
    </row>
    <row r="174" spans="2:24" ht="31.9" customHeight="1" thickTop="1" thickBot="1">
      <c r="B174" s="539"/>
      <c r="C174" s="539"/>
      <c r="D174" s="539"/>
      <c r="E174" s="539"/>
      <c r="F174" s="539" t="s">
        <v>431</v>
      </c>
      <c r="G174" s="540">
        <f t="shared" ca="1" si="145"/>
        <v>0</v>
      </c>
      <c r="H174" s="540">
        <f t="shared" ca="1" si="145"/>
        <v>0</v>
      </c>
      <c r="I174" s="540">
        <f t="shared" ca="1" si="145"/>
        <v>0</v>
      </c>
      <c r="J174" s="540">
        <f t="shared" ca="1" si="145"/>
        <v>0</v>
      </c>
      <c r="K174" s="540">
        <f t="shared" ca="1" si="145"/>
        <v>0</v>
      </c>
      <c r="L174" s="540">
        <f t="shared" ca="1" si="145"/>
        <v>0</v>
      </c>
      <c r="M174" s="540">
        <f t="shared" ca="1" si="145"/>
        <v>0</v>
      </c>
      <c r="N174" s="584"/>
      <c r="P174" s="540">
        <f t="shared" si="146"/>
        <v>81271.666666666672</v>
      </c>
      <c r="Q174" s="540">
        <f t="shared" si="146"/>
        <v>121907.5</v>
      </c>
      <c r="R174" s="540">
        <f t="shared" si="146"/>
        <v>162543.33333333334</v>
      </c>
      <c r="S174" s="540">
        <f t="shared" si="146"/>
        <v>203179.16666666666</v>
      </c>
      <c r="T174" s="540">
        <f t="shared" si="146"/>
        <v>243815</v>
      </c>
      <c r="U174" s="540">
        <f t="shared" si="146"/>
        <v>284450.83333333337</v>
      </c>
      <c r="V174" s="540">
        <f t="shared" si="146"/>
        <v>325086.66666666669</v>
      </c>
      <c r="W174" s="686">
        <f>+'[3]Coût Logistique'!$C$33+'[3]Coût Logistique'!$C$34</f>
        <v>36.904761904761905</v>
      </c>
      <c r="X174" s="685">
        <f>+W174*[3]Assumptions!$F$5</f>
        <v>129.16666666666666</v>
      </c>
    </row>
    <row r="175" spans="2:24" ht="31.9" customHeight="1" thickTop="1" thickBot="1">
      <c r="B175" s="539"/>
      <c r="C175" s="539"/>
      <c r="D175" s="539"/>
      <c r="E175" s="539"/>
      <c r="F175" s="539" t="s">
        <v>307</v>
      </c>
      <c r="G175" s="540">
        <f t="shared" ca="1" si="145"/>
        <v>0</v>
      </c>
      <c r="H175" s="540">
        <f t="shared" ca="1" si="145"/>
        <v>0</v>
      </c>
      <c r="I175" s="540">
        <f t="shared" ca="1" si="145"/>
        <v>0</v>
      </c>
      <c r="J175" s="540">
        <f t="shared" ca="1" si="145"/>
        <v>0</v>
      </c>
      <c r="K175" s="540">
        <f t="shared" ca="1" si="145"/>
        <v>0</v>
      </c>
      <c r="L175" s="540">
        <f t="shared" ca="1" si="145"/>
        <v>0</v>
      </c>
      <c r="M175" s="540">
        <f t="shared" ca="1" si="145"/>
        <v>0</v>
      </c>
      <c r="N175" s="584"/>
      <c r="P175" s="540">
        <f t="shared" ca="1" si="146"/>
        <v>0</v>
      </c>
      <c r="Q175" s="540">
        <f t="shared" ca="1" si="146"/>
        <v>0</v>
      </c>
      <c r="R175" s="540">
        <f t="shared" ca="1" si="146"/>
        <v>0</v>
      </c>
      <c r="S175" s="540">
        <f t="shared" ca="1" si="146"/>
        <v>0</v>
      </c>
      <c r="T175" s="540">
        <f t="shared" ca="1" si="146"/>
        <v>0</v>
      </c>
      <c r="U175" s="540">
        <f t="shared" ca="1" si="146"/>
        <v>0</v>
      </c>
      <c r="V175" s="540">
        <f t="shared" ca="1" si="146"/>
        <v>0</v>
      </c>
      <c r="W175" s="686">
        <f>+W174</f>
        <v>36.904761904761905</v>
      </c>
      <c r="X175" s="685">
        <f>+W175*[3]Assumptions!$F$5</f>
        <v>129.16666666666666</v>
      </c>
    </row>
    <row r="176" spans="2:24" ht="31.9" customHeight="1" thickTop="1" thickBot="1">
      <c r="B176" s="539"/>
      <c r="C176" s="539"/>
      <c r="D176" s="539"/>
      <c r="E176" s="539"/>
      <c r="F176" s="539" t="s">
        <v>112</v>
      </c>
      <c r="G176" s="540">
        <f t="shared" ref="G176:M176" ca="1" si="147">+G$59*G191</f>
        <v>0</v>
      </c>
      <c r="H176" s="540">
        <f t="shared" ca="1" si="147"/>
        <v>0</v>
      </c>
      <c r="I176" s="540">
        <f t="shared" ca="1" si="147"/>
        <v>0</v>
      </c>
      <c r="J176" s="540">
        <f t="shared" ca="1" si="147"/>
        <v>0</v>
      </c>
      <c r="K176" s="540">
        <f t="shared" ca="1" si="147"/>
        <v>0</v>
      </c>
      <c r="L176" s="540">
        <f t="shared" ca="1" si="147"/>
        <v>0</v>
      </c>
      <c r="M176" s="540">
        <f t="shared" ca="1" si="147"/>
        <v>0</v>
      </c>
      <c r="N176" s="564"/>
      <c r="P176" s="540"/>
      <c r="Q176" s="540"/>
      <c r="R176" s="540"/>
      <c r="S176" s="540"/>
      <c r="T176" s="540"/>
      <c r="U176" s="540"/>
      <c r="V176" s="540"/>
      <c r="W176" s="564"/>
      <c r="X176" s="418">
        <v>65</v>
      </c>
    </row>
    <row r="177" spans="2:24" ht="9.65" customHeight="1" thickTop="1"/>
    <row r="178" spans="2:24" s="420" customFormat="1" ht="43.15" customHeight="1" thickBot="1">
      <c r="B178" s="535"/>
      <c r="C178" s="535"/>
      <c r="D178" s="535"/>
      <c r="E178" s="535"/>
      <c r="F178" s="535" t="s">
        <v>456</v>
      </c>
      <c r="G178" s="580">
        <f ca="1">SUM(G172:G176)</f>
        <v>0</v>
      </c>
      <c r="H178" s="580">
        <f t="shared" ref="H178:M178" ca="1" si="148">SUM(H172:H176)</f>
        <v>0</v>
      </c>
      <c r="I178" s="580">
        <f t="shared" ca="1" si="148"/>
        <v>0</v>
      </c>
      <c r="J178" s="580">
        <f t="shared" ca="1" si="148"/>
        <v>0</v>
      </c>
      <c r="K178" s="580">
        <f t="shared" ca="1" si="148"/>
        <v>0</v>
      </c>
      <c r="L178" s="580">
        <f t="shared" ca="1" si="148"/>
        <v>0</v>
      </c>
      <c r="M178" s="580">
        <f t="shared" ca="1" si="148"/>
        <v>0</v>
      </c>
      <c r="O178" s="418"/>
      <c r="P178" s="580">
        <f ca="1">SUM(P172:P176)</f>
        <v>324399.70064724918</v>
      </c>
      <c r="Q178" s="580">
        <f t="shared" ref="Q178:V178" ca="1" si="149">SUM(Q172:Q176)</f>
        <v>486599.5509708738</v>
      </c>
      <c r="R178" s="580">
        <f t="shared" ca="1" si="149"/>
        <v>648799.40129449836</v>
      </c>
      <c r="S178" s="580">
        <f t="shared" ca="1" si="149"/>
        <v>810999.25161812291</v>
      </c>
      <c r="T178" s="580">
        <f t="shared" ca="1" si="149"/>
        <v>973199.10194174759</v>
      </c>
      <c r="U178" s="580">
        <f t="shared" ca="1" si="149"/>
        <v>1135398.9522653723</v>
      </c>
      <c r="V178" s="580">
        <f t="shared" ca="1" si="149"/>
        <v>1297598.8025889967</v>
      </c>
    </row>
    <row r="179" spans="2:24" ht="29" thickTop="1"/>
    <row r="180" spans="2:24" ht="52.9" customHeight="1" thickBot="1">
      <c r="B180" s="609"/>
      <c r="C180" s="609"/>
      <c r="D180" s="609"/>
      <c r="E180" s="609"/>
      <c r="F180" s="610" t="s">
        <v>459</v>
      </c>
      <c r="G180" s="611" t="s">
        <v>104</v>
      </c>
      <c r="H180" s="611" t="s">
        <v>105</v>
      </c>
      <c r="I180" s="611" t="s">
        <v>106</v>
      </c>
      <c r="J180" s="611" t="s">
        <v>107</v>
      </c>
      <c r="K180" s="611" t="s">
        <v>108</v>
      </c>
      <c r="L180" s="611" t="s">
        <v>109</v>
      </c>
      <c r="M180" s="611" t="s">
        <v>110</v>
      </c>
      <c r="P180" s="611" t="s">
        <v>104</v>
      </c>
      <c r="Q180" s="611" t="s">
        <v>105</v>
      </c>
      <c r="R180" s="611" t="s">
        <v>106</v>
      </c>
      <c r="S180" s="611" t="s">
        <v>107</v>
      </c>
      <c r="T180" s="611" t="s">
        <v>108</v>
      </c>
      <c r="U180" s="611" t="s">
        <v>109</v>
      </c>
      <c r="V180" s="611" t="s">
        <v>110</v>
      </c>
      <c r="X180" s="418" t="s">
        <v>461</v>
      </c>
    </row>
    <row r="181" spans="2:24" ht="9.65" customHeight="1" thickTop="1">
      <c r="D181" s="531"/>
      <c r="E181" s="531"/>
      <c r="F181" s="531"/>
      <c r="G181" s="532"/>
      <c r="H181" s="532"/>
      <c r="I181" s="532"/>
      <c r="J181" s="532"/>
      <c r="K181" s="532"/>
      <c r="L181" s="532"/>
      <c r="M181" s="532"/>
      <c r="P181" s="532"/>
      <c r="Q181" s="532"/>
      <c r="R181" s="532"/>
      <c r="S181" s="532"/>
      <c r="T181" s="532"/>
      <c r="U181" s="532"/>
      <c r="V181" s="532"/>
    </row>
    <row r="182" spans="2:24" ht="31.9" customHeight="1" thickBot="1">
      <c r="B182" s="539"/>
      <c r="C182" s="539"/>
      <c r="D182" s="539"/>
      <c r="E182" s="539"/>
      <c r="F182" s="539" t="s">
        <v>362</v>
      </c>
      <c r="G182" s="540">
        <f t="shared" ref="G182:M185" si="150">+G62*$N182</f>
        <v>0</v>
      </c>
      <c r="H182" s="540">
        <f t="shared" si="150"/>
        <v>0</v>
      </c>
      <c r="I182" s="540">
        <f t="shared" si="150"/>
        <v>0</v>
      </c>
      <c r="J182" s="540">
        <f t="shared" si="150"/>
        <v>0</v>
      </c>
      <c r="K182" s="540">
        <f t="shared" si="150"/>
        <v>0</v>
      </c>
      <c r="L182" s="540">
        <f t="shared" si="150"/>
        <v>0</v>
      </c>
      <c r="M182" s="540">
        <f t="shared" si="150"/>
        <v>0</v>
      </c>
      <c r="N182" s="584">
        <v>2E-3</v>
      </c>
      <c r="P182" s="540">
        <f t="shared" ref="P182:V185" si="151">+P62*$N182</f>
        <v>0</v>
      </c>
      <c r="Q182" s="540">
        <f t="shared" si="151"/>
        <v>0</v>
      </c>
      <c r="R182" s="540">
        <f t="shared" si="151"/>
        <v>0</v>
      </c>
      <c r="S182" s="540">
        <f t="shared" si="151"/>
        <v>0</v>
      </c>
      <c r="T182" s="540">
        <f t="shared" si="151"/>
        <v>0</v>
      </c>
      <c r="U182" s="540">
        <f t="shared" si="151"/>
        <v>0</v>
      </c>
      <c r="V182" s="540">
        <f t="shared" si="151"/>
        <v>0</v>
      </c>
      <c r="W182" s="684">
        <f>+'[3]Coût Logistique'!$C$21</f>
        <v>14.417153942335979</v>
      </c>
      <c r="X182" s="687">
        <f>+W182*[3]Assumptions!$F$5</f>
        <v>50.46003879817593</v>
      </c>
    </row>
    <row r="183" spans="2:24" ht="31.9" customHeight="1" thickTop="1" thickBot="1">
      <c r="B183" s="539"/>
      <c r="C183" s="539"/>
      <c r="D183" s="539"/>
      <c r="E183" s="539"/>
      <c r="F183" s="539" t="s">
        <v>103</v>
      </c>
      <c r="G183" s="540" t="e">
        <f t="shared" si="150"/>
        <v>#REF!</v>
      </c>
      <c r="H183" s="540" t="e">
        <f t="shared" si="150"/>
        <v>#REF!</v>
      </c>
      <c r="I183" s="540" t="e">
        <f t="shared" si="150"/>
        <v>#REF!</v>
      </c>
      <c r="J183" s="540" t="e">
        <f t="shared" si="150"/>
        <v>#REF!</v>
      </c>
      <c r="K183" s="540" t="e">
        <f t="shared" si="150"/>
        <v>#REF!</v>
      </c>
      <c r="L183" s="540" t="e">
        <f t="shared" si="150"/>
        <v>#REF!</v>
      </c>
      <c r="M183" s="540" t="e">
        <f t="shared" si="150"/>
        <v>#REF!</v>
      </c>
      <c r="N183" s="584">
        <v>2E-3</v>
      </c>
      <c r="P183" s="540" t="e">
        <f t="shared" si="151"/>
        <v>#REF!</v>
      </c>
      <c r="Q183" s="540" t="e">
        <f t="shared" si="151"/>
        <v>#REF!</v>
      </c>
      <c r="R183" s="540" t="e">
        <f t="shared" si="151"/>
        <v>#REF!</v>
      </c>
      <c r="S183" s="540" t="e">
        <f t="shared" si="151"/>
        <v>#REF!</v>
      </c>
      <c r="T183" s="540" t="e">
        <f t="shared" si="151"/>
        <v>#REF!</v>
      </c>
      <c r="U183" s="540" t="e">
        <f t="shared" si="151"/>
        <v>#REF!</v>
      </c>
      <c r="V183" s="540" t="e">
        <f t="shared" si="151"/>
        <v>#REF!</v>
      </c>
      <c r="W183" s="684">
        <f>+'[3]Coût Logistique'!$C$21</f>
        <v>14.417153942335979</v>
      </c>
      <c r="X183" s="687">
        <f>+W183*[3]Assumptions!$F$5</f>
        <v>50.46003879817593</v>
      </c>
    </row>
    <row r="184" spans="2:24" ht="31.9" customHeight="1" thickTop="1" thickBot="1">
      <c r="B184" s="539"/>
      <c r="C184" s="539"/>
      <c r="D184" s="539"/>
      <c r="E184" s="539"/>
      <c r="F184" s="539" t="s">
        <v>431</v>
      </c>
      <c r="G184" s="540">
        <f t="shared" ca="1" si="150"/>
        <v>0</v>
      </c>
      <c r="H184" s="540">
        <f t="shared" ca="1" si="150"/>
        <v>0</v>
      </c>
      <c r="I184" s="540">
        <f t="shared" ca="1" si="150"/>
        <v>911.88605341246307</v>
      </c>
      <c r="J184" s="540">
        <f t="shared" ca="1" si="150"/>
        <v>0</v>
      </c>
      <c r="K184" s="540">
        <f t="shared" ca="1" si="150"/>
        <v>911.88605341246307</v>
      </c>
      <c r="L184" s="540">
        <f t="shared" ca="1" si="150"/>
        <v>0</v>
      </c>
      <c r="M184" s="540">
        <f t="shared" ca="1" si="150"/>
        <v>911.88605341246307</v>
      </c>
      <c r="N184" s="584">
        <v>2E-3</v>
      </c>
      <c r="P184" s="540">
        <f t="shared" ca="1" si="151"/>
        <v>0</v>
      </c>
      <c r="Q184" s="540">
        <f t="shared" ca="1" si="151"/>
        <v>0</v>
      </c>
      <c r="R184" s="540">
        <f t="shared" ca="1" si="151"/>
        <v>227.97151335311577</v>
      </c>
      <c r="S184" s="540">
        <f t="shared" ca="1" si="151"/>
        <v>0</v>
      </c>
      <c r="T184" s="540">
        <f t="shared" ca="1" si="151"/>
        <v>227.97151335311577</v>
      </c>
      <c r="U184" s="540">
        <f t="shared" ca="1" si="151"/>
        <v>0</v>
      </c>
      <c r="V184" s="540">
        <f t="shared" ca="1" si="151"/>
        <v>227.97151335311577</v>
      </c>
      <c r="W184" s="684">
        <f>+'[3]Coût Logistique'!$C$35</f>
        <v>10.454166666666667</v>
      </c>
      <c r="X184" s="687">
        <f>+W184*[3]Assumptions!$F$5</f>
        <v>36.589583333333337</v>
      </c>
    </row>
    <row r="185" spans="2:24" ht="31.9" customHeight="1" thickTop="1" thickBot="1">
      <c r="B185" s="539"/>
      <c r="C185" s="539"/>
      <c r="D185" s="539"/>
      <c r="E185" s="539"/>
      <c r="F185" s="539" t="s">
        <v>307</v>
      </c>
      <c r="G185" s="540" t="e">
        <f t="shared" si="150"/>
        <v>#REF!</v>
      </c>
      <c r="H185" s="540" t="e">
        <f t="shared" si="150"/>
        <v>#REF!</v>
      </c>
      <c r="I185" s="540" t="e">
        <f t="shared" si="150"/>
        <v>#REF!</v>
      </c>
      <c r="J185" s="540" t="e">
        <f t="shared" si="150"/>
        <v>#REF!</v>
      </c>
      <c r="K185" s="540" t="e">
        <f t="shared" si="150"/>
        <v>#REF!</v>
      </c>
      <c r="L185" s="540" t="e">
        <f t="shared" si="150"/>
        <v>#REF!</v>
      </c>
      <c r="M185" s="540" t="e">
        <f t="shared" si="150"/>
        <v>#REF!</v>
      </c>
      <c r="N185" s="584">
        <v>2E-3</v>
      </c>
      <c r="P185" s="540" t="e">
        <f t="shared" si="151"/>
        <v>#REF!</v>
      </c>
      <c r="Q185" s="540" t="e">
        <f t="shared" si="151"/>
        <v>#REF!</v>
      </c>
      <c r="R185" s="540" t="e">
        <f t="shared" si="151"/>
        <v>#REF!</v>
      </c>
      <c r="S185" s="540" t="e">
        <f t="shared" si="151"/>
        <v>#REF!</v>
      </c>
      <c r="T185" s="540" t="e">
        <f t="shared" si="151"/>
        <v>#REF!</v>
      </c>
      <c r="U185" s="540" t="e">
        <f t="shared" si="151"/>
        <v>#REF!</v>
      </c>
      <c r="V185" s="540" t="e">
        <f t="shared" si="151"/>
        <v>#REF!</v>
      </c>
      <c r="W185" s="684">
        <f>+'[3]Coût Logistique'!$C$35</f>
        <v>10.454166666666667</v>
      </c>
      <c r="X185" s="687">
        <f>+W185*[3]Assumptions!$F$5</f>
        <v>36.589583333333337</v>
      </c>
    </row>
    <row r="186" spans="2:24" ht="31.9" customHeight="1" thickTop="1" thickBot="1">
      <c r="B186" s="539"/>
      <c r="C186" s="539"/>
      <c r="D186" s="539"/>
      <c r="E186" s="539"/>
      <c r="F186" s="539" t="s">
        <v>112</v>
      </c>
      <c r="G186" s="540">
        <f t="shared" ref="G186:M186" ca="1" si="152">+G$59*G201</f>
        <v>0</v>
      </c>
      <c r="H186" s="540">
        <f t="shared" ca="1" si="152"/>
        <v>0</v>
      </c>
      <c r="I186" s="540">
        <f t="shared" ca="1" si="152"/>
        <v>0</v>
      </c>
      <c r="J186" s="540">
        <f t="shared" ca="1" si="152"/>
        <v>0</v>
      </c>
      <c r="K186" s="540">
        <f t="shared" ca="1" si="152"/>
        <v>0</v>
      </c>
      <c r="L186" s="540">
        <f t="shared" ca="1" si="152"/>
        <v>0</v>
      </c>
      <c r="M186" s="540">
        <f t="shared" ca="1" si="152"/>
        <v>0</v>
      </c>
      <c r="N186" s="564">
        <v>2E-3</v>
      </c>
      <c r="P186" s="540">
        <f t="shared" ref="P186:V186" ca="1" si="153">+P$59*P201</f>
        <v>0</v>
      </c>
      <c r="Q186" s="540">
        <f t="shared" ca="1" si="153"/>
        <v>0</v>
      </c>
      <c r="R186" s="540">
        <f t="shared" ca="1" si="153"/>
        <v>0</v>
      </c>
      <c r="S186" s="540">
        <f t="shared" ca="1" si="153"/>
        <v>0</v>
      </c>
      <c r="T186" s="540">
        <f t="shared" ca="1" si="153"/>
        <v>0</v>
      </c>
      <c r="U186" s="540">
        <f t="shared" ca="1" si="153"/>
        <v>0</v>
      </c>
      <c r="V186" s="540">
        <f t="shared" ca="1" si="153"/>
        <v>0</v>
      </c>
      <c r="W186" s="564"/>
    </row>
    <row r="187" spans="2:24" ht="9.65" customHeight="1" thickTop="1"/>
    <row r="188" spans="2:24" s="420" customFormat="1" ht="43.15" customHeight="1" thickBot="1">
      <c r="B188" s="535"/>
      <c r="C188" s="535"/>
      <c r="D188" s="535"/>
      <c r="E188" s="535"/>
      <c r="F188" s="535" t="s">
        <v>456</v>
      </c>
      <c r="G188" s="580" t="e">
        <f>SUM(G182:G186)</f>
        <v>#REF!</v>
      </c>
      <c r="H188" s="580" t="e">
        <f t="shared" ref="H188:M188" si="154">SUM(H182:H186)</f>
        <v>#REF!</v>
      </c>
      <c r="I188" s="580" t="e">
        <f t="shared" si="154"/>
        <v>#REF!</v>
      </c>
      <c r="J188" s="580" t="e">
        <f t="shared" si="154"/>
        <v>#REF!</v>
      </c>
      <c r="K188" s="580" t="e">
        <f t="shared" si="154"/>
        <v>#REF!</v>
      </c>
      <c r="L188" s="580" t="e">
        <f t="shared" si="154"/>
        <v>#REF!</v>
      </c>
      <c r="M188" s="580" t="e">
        <f t="shared" si="154"/>
        <v>#REF!</v>
      </c>
      <c r="O188" s="418"/>
      <c r="P188" s="580" t="e">
        <f>SUM(P182:P186)</f>
        <v>#REF!</v>
      </c>
      <c r="Q188" s="580" t="e">
        <f t="shared" ref="Q188:V188" si="155">SUM(Q182:Q186)</f>
        <v>#REF!</v>
      </c>
      <c r="R188" s="580" t="e">
        <f t="shared" si="155"/>
        <v>#REF!</v>
      </c>
      <c r="S188" s="580" t="e">
        <f t="shared" si="155"/>
        <v>#REF!</v>
      </c>
      <c r="T188" s="580" t="e">
        <f t="shared" si="155"/>
        <v>#REF!</v>
      </c>
      <c r="U188" s="580" t="e">
        <f t="shared" si="155"/>
        <v>#REF!</v>
      </c>
      <c r="V188" s="580" t="e">
        <f t="shared" si="155"/>
        <v>#REF!</v>
      </c>
    </row>
    <row r="189" spans="2:24" ht="29" thickTop="1"/>
  </sheetData>
  <mergeCells count="4">
    <mergeCell ref="G1:M1"/>
    <mergeCell ref="P1:V1"/>
    <mergeCell ref="G6:N6"/>
    <mergeCell ref="P6:W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B89"/>
  <sheetViews>
    <sheetView topLeftCell="I27" zoomScale="80" zoomScaleNormal="80" workbookViewId="0">
      <selection activeCell="N35" sqref="N35"/>
    </sheetView>
  </sheetViews>
  <sheetFormatPr baseColWidth="10" defaultColWidth="8.1796875" defaultRowHeight="31"/>
  <cols>
    <col min="1" max="2" width="11.54296875" style="428" customWidth="1"/>
    <col min="3" max="3" width="45" style="428" customWidth="1"/>
    <col min="4" max="4" width="25.453125" style="434" customWidth="1"/>
    <col min="5" max="5" width="33" style="430" bestFit="1" customWidth="1"/>
    <col min="6" max="6" width="26.7265625" style="431" bestFit="1" customWidth="1"/>
    <col min="7" max="7" width="35.1796875" style="432" customWidth="1"/>
    <col min="8" max="8" width="27.26953125" style="433" customWidth="1"/>
    <col min="9" max="9" width="27.54296875" style="428" bestFit="1" customWidth="1"/>
    <col min="10" max="11" width="19.1796875" style="428" bestFit="1" customWidth="1"/>
    <col min="12" max="13" width="9" style="428" bestFit="1" customWidth="1"/>
    <col min="14" max="14" width="23.54296875" style="428" bestFit="1" customWidth="1"/>
    <col min="15" max="15" width="24.1796875" style="428" bestFit="1" customWidth="1"/>
    <col min="16" max="16" width="21.7265625" style="428" bestFit="1" customWidth="1"/>
    <col min="17" max="17" width="24.7265625" style="428" bestFit="1" customWidth="1"/>
    <col min="18" max="18" width="24.1796875" style="428" bestFit="1" customWidth="1"/>
    <col min="19" max="19" width="24.54296875" style="428" bestFit="1" customWidth="1"/>
    <col min="20" max="20" width="24.7265625" style="428" bestFit="1" customWidth="1"/>
    <col min="21" max="21" width="20.26953125" style="428" bestFit="1" customWidth="1"/>
    <col min="22" max="22" width="20.54296875" style="428" bestFit="1" customWidth="1"/>
    <col min="23" max="23" width="12.453125" style="428" customWidth="1"/>
    <col min="24" max="30" width="15.26953125" style="428" customWidth="1"/>
    <col min="31" max="16384" width="8.1796875" style="428"/>
  </cols>
  <sheetData>
    <row r="4" spans="1:17">
      <c r="A4" s="427"/>
      <c r="B4" s="427"/>
      <c r="D4" s="429"/>
      <c r="I4" s="436"/>
    </row>
    <row r="5" spans="1:17">
      <c r="E5" s="430" t="s">
        <v>463</v>
      </c>
      <c r="F5" s="435">
        <v>3.5</v>
      </c>
      <c r="I5" s="436"/>
      <c r="J5" s="436"/>
      <c r="K5" s="436"/>
      <c r="L5" s="436"/>
      <c r="M5" s="436"/>
      <c r="N5" s="436"/>
      <c r="O5" s="436"/>
      <c r="P5" s="436"/>
      <c r="Q5" s="436"/>
    </row>
    <row r="6" spans="1:17" s="443" customFormat="1" ht="31.5" thickBot="1">
      <c r="A6" s="437"/>
      <c r="B6" s="437"/>
      <c r="C6" s="438" t="s">
        <v>429</v>
      </c>
      <c r="D6" s="437"/>
      <c r="E6" s="439" t="s">
        <v>432</v>
      </c>
      <c r="F6" s="440" t="s">
        <v>433</v>
      </c>
      <c r="G6" s="441" t="s">
        <v>434</v>
      </c>
      <c r="H6" s="442" t="s">
        <v>435</v>
      </c>
      <c r="I6" s="436"/>
      <c r="J6" s="436"/>
      <c r="K6" s="436"/>
      <c r="L6" s="436"/>
      <c r="M6" s="436"/>
      <c r="N6" s="436"/>
      <c r="O6" s="436"/>
      <c r="P6" s="436"/>
      <c r="Q6" s="436"/>
    </row>
    <row r="7" spans="1:17" s="434" customFormat="1" ht="24.65" customHeight="1">
      <c r="A7" s="444" t="s">
        <v>299</v>
      </c>
      <c r="B7" s="444"/>
      <c r="C7" s="444" t="s">
        <v>300</v>
      </c>
      <c r="D7" s="444" t="s">
        <v>301</v>
      </c>
      <c r="E7" s="445"/>
      <c r="F7" s="446"/>
      <c r="G7" s="447"/>
      <c r="H7" s="447"/>
      <c r="I7" s="436"/>
      <c r="J7" s="436"/>
      <c r="K7" s="436"/>
      <c r="L7" s="436"/>
      <c r="M7" s="436"/>
      <c r="N7" s="436"/>
      <c r="O7" s="436"/>
      <c r="P7" s="436"/>
      <c r="Q7" s="436"/>
    </row>
    <row r="8" spans="1:17" s="453" customFormat="1" ht="26.5" customHeight="1">
      <c r="A8" s="448"/>
      <c r="B8" s="448"/>
      <c r="C8" s="448" t="s">
        <v>305</v>
      </c>
      <c r="D8" s="449"/>
      <c r="E8" s="450">
        <f>SUM(E9:E10)</f>
        <v>771428.57142857148</v>
      </c>
      <c r="F8" s="451">
        <f t="shared" ref="F8" si="0">SUM(F9:F10)</f>
        <v>2700000</v>
      </c>
      <c r="G8" s="452"/>
      <c r="H8" s="452"/>
      <c r="I8" s="436"/>
      <c r="J8" s="436"/>
      <c r="K8" s="436"/>
      <c r="L8" s="436"/>
      <c r="M8" s="436"/>
      <c r="N8" s="436"/>
      <c r="O8" s="436"/>
      <c r="P8" s="436"/>
      <c r="Q8" s="436"/>
    </row>
    <row r="9" spans="1:17" s="436" customFormat="1" ht="35.5" customHeight="1">
      <c r="A9" s="454" t="str">
        <f>$D9&amp;"-"&amp;$B9</f>
        <v>Communs-R021</v>
      </c>
      <c r="B9" s="454" t="s">
        <v>227</v>
      </c>
      <c r="C9" s="454" t="s">
        <v>369</v>
      </c>
      <c r="D9" s="444" t="s">
        <v>430</v>
      </c>
      <c r="E9" s="455">
        <f>+F9/$F$5</f>
        <v>285714.28571428574</v>
      </c>
      <c r="F9" s="456">
        <v>1000000</v>
      </c>
      <c r="G9" s="444">
        <v>7</v>
      </c>
      <c r="H9" s="457">
        <v>0.15</v>
      </c>
    </row>
    <row r="10" spans="1:17" s="436" customFormat="1" ht="35.5" customHeight="1">
      <c r="A10" s="454" t="str">
        <f t="shared" ref="A10:A15" si="1">$D10&amp;"-"&amp;$B10</f>
        <v>Communs-R021</v>
      </c>
      <c r="B10" s="454" t="s">
        <v>227</v>
      </c>
      <c r="C10" s="458" t="s">
        <v>370</v>
      </c>
      <c r="D10" s="444" t="s">
        <v>430</v>
      </c>
      <c r="E10" s="455">
        <f t="shared" ref="E10" si="2">+F10/$F$5</f>
        <v>485714.28571428574</v>
      </c>
      <c r="F10" s="456">
        <v>1700000</v>
      </c>
      <c r="G10" s="444">
        <v>10</v>
      </c>
      <c r="H10" s="457">
        <f>1/G10</f>
        <v>0.1</v>
      </c>
    </row>
    <row r="11" spans="1:17" s="453" customFormat="1" ht="35.5" customHeight="1">
      <c r="A11" s="459" t="str">
        <f t="shared" si="1"/>
        <v>-R021</v>
      </c>
      <c r="B11" s="459" t="s">
        <v>227</v>
      </c>
      <c r="C11" s="459" t="s">
        <v>371</v>
      </c>
      <c r="D11" s="460"/>
      <c r="E11" s="461">
        <f>SUM(E12:E15)</f>
        <v>2870000</v>
      </c>
      <c r="F11" s="462">
        <f>SUM(F12:F15)</f>
        <v>10045000</v>
      </c>
      <c r="G11" s="463"/>
      <c r="H11" s="463"/>
      <c r="I11" s="463"/>
      <c r="J11" s="436"/>
      <c r="K11" s="436"/>
      <c r="L11" s="436"/>
      <c r="M11" s="436"/>
      <c r="N11" s="436"/>
      <c r="O11" s="436"/>
      <c r="P11" s="436"/>
      <c r="Q11" s="436"/>
    </row>
    <row r="12" spans="1:17" s="469" customFormat="1" ht="35.5" customHeight="1">
      <c r="A12" s="464" t="str">
        <f t="shared" si="1"/>
        <v>-R021</v>
      </c>
      <c r="B12" s="464" t="s">
        <v>227</v>
      </c>
      <c r="C12" s="465" t="s">
        <v>101</v>
      </c>
      <c r="D12" s="466"/>
      <c r="E12" s="467">
        <v>500000</v>
      </c>
      <c r="F12" s="468">
        <f t="shared" ref="F12:F15" si="3">+E12*$F$5</f>
        <v>1750000</v>
      </c>
      <c r="G12" s="669">
        <v>10</v>
      </c>
      <c r="H12" s="457">
        <f t="shared" ref="H12:H15" si="4">1/G12</f>
        <v>0.1</v>
      </c>
      <c r="I12" s="457"/>
      <c r="J12" s="436"/>
      <c r="K12" s="436"/>
      <c r="L12" s="436"/>
      <c r="M12" s="436"/>
      <c r="N12" s="436"/>
      <c r="O12" s="436"/>
      <c r="P12" s="436"/>
      <c r="Q12" s="436"/>
    </row>
    <row r="13" spans="1:17" s="469" customFormat="1" ht="35.5" customHeight="1">
      <c r="A13" s="464" t="str">
        <f t="shared" si="1"/>
        <v>-R021</v>
      </c>
      <c r="B13" s="464" t="s">
        <v>227</v>
      </c>
      <c r="C13" s="465" t="s">
        <v>102</v>
      </c>
      <c r="D13" s="466"/>
      <c r="E13" s="688">
        <v>1200000</v>
      </c>
      <c r="F13" s="468">
        <f t="shared" si="3"/>
        <v>4200000</v>
      </c>
      <c r="G13" s="669">
        <v>10</v>
      </c>
      <c r="H13" s="457">
        <f t="shared" si="4"/>
        <v>0.1</v>
      </c>
      <c r="I13" s="457"/>
      <c r="J13" s="436"/>
      <c r="K13" s="436"/>
      <c r="L13" s="436"/>
      <c r="M13" s="436"/>
      <c r="N13" s="436"/>
      <c r="O13" s="436"/>
      <c r="P13" s="436"/>
    </row>
    <row r="14" spans="1:17" s="469" customFormat="1" ht="35.5" customHeight="1">
      <c r="A14" s="464" t="str">
        <f t="shared" si="1"/>
        <v>-R021</v>
      </c>
      <c r="B14" s="464" t="s">
        <v>227</v>
      </c>
      <c r="C14" s="465" t="s">
        <v>103</v>
      </c>
      <c r="D14" s="466"/>
      <c r="E14" s="467">
        <v>700000</v>
      </c>
      <c r="F14" s="468">
        <f t="shared" si="3"/>
        <v>2450000</v>
      </c>
      <c r="G14" s="669">
        <v>10</v>
      </c>
      <c r="H14" s="457">
        <f t="shared" si="4"/>
        <v>0.1</v>
      </c>
      <c r="I14" s="457"/>
      <c r="J14" s="436"/>
      <c r="K14" s="436"/>
      <c r="L14" s="436"/>
      <c r="M14" s="436"/>
      <c r="N14" s="436"/>
      <c r="O14" s="436"/>
      <c r="P14" s="436"/>
    </row>
    <row r="15" spans="1:17" s="469" customFormat="1" ht="35.5" customHeight="1">
      <c r="A15" s="464" t="str">
        <f t="shared" si="1"/>
        <v>-R021</v>
      </c>
      <c r="B15" s="464" t="s">
        <v>227</v>
      </c>
      <c r="C15" s="465" t="s">
        <v>431</v>
      </c>
      <c r="D15" s="466"/>
      <c r="E15" s="467">
        <v>470000</v>
      </c>
      <c r="F15" s="468">
        <f t="shared" si="3"/>
        <v>1645000</v>
      </c>
      <c r="G15" s="669">
        <v>10</v>
      </c>
      <c r="H15" s="457">
        <f t="shared" si="4"/>
        <v>0.1</v>
      </c>
      <c r="I15" s="457"/>
      <c r="J15" s="436"/>
      <c r="K15" s="436"/>
      <c r="L15" s="436"/>
      <c r="M15" s="436"/>
      <c r="N15" s="436"/>
      <c r="O15" s="436"/>
      <c r="P15" s="436"/>
    </row>
    <row r="16" spans="1:17" s="469" customFormat="1" ht="35.5" customHeight="1">
      <c r="A16" s="464"/>
      <c r="B16" s="464"/>
      <c r="C16" s="459" t="s">
        <v>436</v>
      </c>
      <c r="D16" s="466"/>
      <c r="E16" s="470">
        <f>SUM(E17:E22)</f>
        <v>134285.71428571432</v>
      </c>
      <c r="F16" s="462">
        <f t="shared" ref="F16" si="5">SUM(F17:F22)</f>
        <v>470000</v>
      </c>
      <c r="G16" s="466"/>
      <c r="H16" s="471"/>
      <c r="I16" s="471"/>
      <c r="J16" s="436"/>
      <c r="K16" s="436"/>
      <c r="L16" s="436"/>
      <c r="M16" s="436"/>
      <c r="N16" s="436"/>
      <c r="O16" s="436"/>
      <c r="P16" s="436"/>
    </row>
    <row r="17" spans="1:21" s="469" customFormat="1" ht="35.5" customHeight="1">
      <c r="A17" s="464"/>
      <c r="B17" s="464"/>
      <c r="C17" s="465" t="s">
        <v>373</v>
      </c>
      <c r="D17" s="466"/>
      <c r="E17" s="467">
        <v>60000</v>
      </c>
      <c r="F17" s="468">
        <f>+E17*$F$5</f>
        <v>210000</v>
      </c>
      <c r="G17" s="466">
        <v>10</v>
      </c>
      <c r="H17" s="457">
        <f t="shared" ref="H17:H21" si="6">1/G17</f>
        <v>0.1</v>
      </c>
      <c r="I17" s="457"/>
      <c r="J17" s="436"/>
      <c r="K17" s="436"/>
      <c r="L17" s="436"/>
      <c r="M17" s="436"/>
      <c r="N17" s="436"/>
      <c r="O17" s="436"/>
      <c r="P17" s="436"/>
    </row>
    <row r="18" spans="1:21" s="469" customFormat="1" ht="35.5" customHeight="1">
      <c r="A18" s="464"/>
      <c r="B18" s="464"/>
      <c r="C18" s="465" t="s">
        <v>488</v>
      </c>
      <c r="D18" s="466"/>
      <c r="E18" s="467">
        <f>+F18/F5</f>
        <v>28571.428571428572</v>
      </c>
      <c r="F18" s="468">
        <v>100000</v>
      </c>
      <c r="G18" s="466">
        <v>10</v>
      </c>
      <c r="H18" s="457">
        <f t="shared" si="6"/>
        <v>0.1</v>
      </c>
      <c r="I18" s="457"/>
      <c r="J18" s="436"/>
      <c r="K18" s="436"/>
      <c r="L18" s="436"/>
      <c r="M18" s="436"/>
      <c r="N18" s="436"/>
      <c r="O18" s="436"/>
      <c r="P18" s="436"/>
    </row>
    <row r="19" spans="1:21" s="469" customFormat="1" ht="35.5" customHeight="1">
      <c r="A19" s="464"/>
      <c r="B19" s="464"/>
      <c r="C19" s="465" t="s">
        <v>372</v>
      </c>
      <c r="D19" s="466"/>
      <c r="E19" s="470">
        <f t="shared" ref="E19:E22" si="7">+F19/$F$5</f>
        <v>22857.142857142859</v>
      </c>
      <c r="F19" s="472">
        <f>1*80000</f>
        <v>80000</v>
      </c>
      <c r="G19" s="466">
        <v>5</v>
      </c>
      <c r="H19" s="457">
        <f t="shared" si="6"/>
        <v>0.2</v>
      </c>
      <c r="I19" s="457"/>
      <c r="J19" s="436"/>
      <c r="K19" s="436"/>
      <c r="L19" s="436"/>
      <c r="M19" s="436"/>
      <c r="N19" s="436"/>
      <c r="O19" s="436"/>
      <c r="P19" s="436"/>
    </row>
    <row r="20" spans="1:21" s="469" customFormat="1" ht="35.5" customHeight="1">
      <c r="A20" s="464"/>
      <c r="B20" s="464"/>
      <c r="C20" s="465" t="s">
        <v>302</v>
      </c>
      <c r="D20" s="466"/>
      <c r="E20" s="470">
        <f t="shared" si="7"/>
        <v>17142.857142857141</v>
      </c>
      <c r="F20" s="472">
        <v>60000</v>
      </c>
      <c r="G20" s="466">
        <v>5</v>
      </c>
      <c r="H20" s="457">
        <f t="shared" si="6"/>
        <v>0.2</v>
      </c>
      <c r="I20" s="457"/>
      <c r="J20" s="436"/>
      <c r="K20" s="436"/>
      <c r="L20" s="436"/>
      <c r="M20" s="436"/>
      <c r="N20" s="436"/>
      <c r="O20" s="436"/>
      <c r="P20" s="436"/>
    </row>
    <row r="21" spans="1:21" s="469" customFormat="1" ht="35.5" customHeight="1">
      <c r="A21" s="464"/>
      <c r="B21" s="464"/>
      <c r="C21" s="465" t="s">
        <v>303</v>
      </c>
      <c r="D21" s="466"/>
      <c r="E21" s="470">
        <f t="shared" si="7"/>
        <v>2857.1428571428573</v>
      </c>
      <c r="F21" s="472">
        <v>10000</v>
      </c>
      <c r="G21" s="466">
        <v>10</v>
      </c>
      <c r="H21" s="457">
        <f t="shared" si="6"/>
        <v>0.1</v>
      </c>
      <c r="I21" s="457"/>
      <c r="J21" s="436"/>
      <c r="K21" s="436"/>
      <c r="L21" s="436"/>
      <c r="M21" s="436"/>
      <c r="N21" s="436"/>
      <c r="O21" s="436"/>
      <c r="P21" s="436"/>
    </row>
    <row r="22" spans="1:21" s="469" customFormat="1" ht="35.5" customHeight="1">
      <c r="A22" s="464"/>
      <c r="B22" s="464"/>
      <c r="C22" s="465" t="s">
        <v>304</v>
      </c>
      <c r="D22" s="466"/>
      <c r="E22" s="470">
        <f t="shared" si="7"/>
        <v>2857.1428571428573</v>
      </c>
      <c r="F22" s="472">
        <v>10000</v>
      </c>
      <c r="G22" s="466">
        <v>7</v>
      </c>
      <c r="H22" s="457">
        <v>0.15</v>
      </c>
      <c r="I22" s="457"/>
      <c r="J22" s="436"/>
      <c r="K22" s="436"/>
      <c r="L22" s="436"/>
      <c r="M22" s="436"/>
      <c r="N22" s="436"/>
      <c r="O22" s="436"/>
      <c r="P22" s="436"/>
    </row>
    <row r="23" spans="1:21" s="453" customFormat="1" ht="37.9" customHeight="1" thickBot="1">
      <c r="A23" s="473"/>
      <c r="B23" s="473"/>
      <c r="C23" s="473" t="s">
        <v>306</v>
      </c>
      <c r="D23" s="474"/>
      <c r="E23" s="475">
        <f>SUM(E11,E16,E8)</f>
        <v>3775714.2857142859</v>
      </c>
      <c r="F23" s="476">
        <f>SUM(F11,F16,F8)</f>
        <v>13215000</v>
      </c>
      <c r="G23" s="477"/>
      <c r="H23" s="477"/>
      <c r="I23" s="477"/>
      <c r="J23" s="436"/>
      <c r="K23" s="436"/>
      <c r="L23" s="436"/>
      <c r="M23" s="436"/>
      <c r="N23" s="436"/>
      <c r="O23" s="436"/>
      <c r="P23" s="436"/>
    </row>
    <row r="24" spans="1:21">
      <c r="F24" s="478"/>
      <c r="J24" s="436"/>
      <c r="K24" s="436"/>
      <c r="L24" s="436"/>
      <c r="M24" s="436"/>
      <c r="N24" s="436"/>
      <c r="O24" s="436"/>
      <c r="P24" s="436"/>
    </row>
    <row r="25" spans="1:21" ht="62.5" thickBot="1">
      <c r="A25" s="437"/>
      <c r="B25" s="437"/>
      <c r="C25" s="438" t="s">
        <v>467</v>
      </c>
      <c r="D25" s="437"/>
      <c r="E25" s="439" t="s">
        <v>437</v>
      </c>
      <c r="F25" s="440" t="s">
        <v>433</v>
      </c>
      <c r="G25" s="428"/>
      <c r="H25" s="428"/>
      <c r="J25" s="409" t="s">
        <v>501</v>
      </c>
      <c r="K25" s="409"/>
      <c r="L25" s="409"/>
      <c r="M25" s="409"/>
      <c r="N25" s="680">
        <f>+Volume!X16</f>
        <v>18674.030833333334</v>
      </c>
      <c r="O25" s="680">
        <f>+Volume!Y16</f>
        <v>37348.061666666668</v>
      </c>
      <c r="P25" s="680">
        <f>+Volume!Z16</f>
        <v>56022.092499999999</v>
      </c>
      <c r="Q25" s="680">
        <f>+Volume!AA16</f>
        <v>74696.123333333337</v>
      </c>
      <c r="R25" s="680">
        <f>+Volume!AB16</f>
        <v>0</v>
      </c>
      <c r="S25" s="680">
        <f>+Volume!AC16</f>
        <v>0</v>
      </c>
      <c r="T25" s="680">
        <f>+Volume!AD16</f>
        <v>0</v>
      </c>
    </row>
    <row r="26" spans="1:21">
      <c r="A26" s="459"/>
      <c r="B26" s="459"/>
      <c r="C26" s="459"/>
      <c r="D26" s="460"/>
      <c r="E26" s="479"/>
      <c r="F26" s="480"/>
      <c r="G26" s="428"/>
      <c r="H26" s="428"/>
      <c r="J26" s="298"/>
      <c r="K26" s="298"/>
      <c r="L26" s="298"/>
      <c r="M26" s="682"/>
      <c r="N26" s="683"/>
      <c r="O26" s="683"/>
      <c r="P26" s="683"/>
      <c r="Q26" s="683"/>
      <c r="R26" s="683"/>
      <c r="S26" s="683"/>
      <c r="T26" s="683"/>
      <c r="U26" s="413"/>
    </row>
    <row r="27" spans="1:21" s="436" customFormat="1">
      <c r="A27" s="464"/>
      <c r="B27" s="464"/>
      <c r="C27" s="465" t="s">
        <v>492</v>
      </c>
      <c r="D27" s="466"/>
      <c r="E27" s="481" t="e">
        <f>+F27/$F$5</f>
        <v>#REF!</v>
      </c>
      <c r="F27" s="482" t="e">
        <f>+#REF!</f>
        <v>#REF!</v>
      </c>
      <c r="G27" s="428"/>
      <c r="H27" s="428"/>
      <c r="J27" s="298" t="s">
        <v>499</v>
      </c>
      <c r="K27" s="298"/>
      <c r="L27" s="298"/>
      <c r="M27" s="298"/>
      <c r="N27" s="663">
        <f>+N34*$U$27</f>
        <v>6824.4000000000005</v>
      </c>
      <c r="O27" s="663">
        <f t="shared" ref="O27:T27" si="8">+O34*$U$27</f>
        <v>10236.6</v>
      </c>
      <c r="P27" s="663">
        <f t="shared" si="8"/>
        <v>13648.800000000001</v>
      </c>
      <c r="Q27" s="663">
        <f t="shared" si="8"/>
        <v>17061</v>
      </c>
      <c r="R27" s="663">
        <f t="shared" si="8"/>
        <v>20473.2</v>
      </c>
      <c r="S27" s="663">
        <f t="shared" si="8"/>
        <v>23885.4</v>
      </c>
      <c r="T27" s="663">
        <f t="shared" si="8"/>
        <v>27297.600000000002</v>
      </c>
      <c r="U27" s="417">
        <v>1</v>
      </c>
    </row>
    <row r="28" spans="1:21" s="436" customFormat="1">
      <c r="A28" s="464"/>
      <c r="B28" s="464"/>
      <c r="C28" s="465" t="s">
        <v>486</v>
      </c>
      <c r="D28" s="466"/>
      <c r="E28" s="481" t="s">
        <v>487</v>
      </c>
      <c r="F28" s="482" t="e">
        <f>+'Volume Local_Export'!G24</f>
        <v>#REF!</v>
      </c>
      <c r="G28" s="428"/>
      <c r="H28" s="428"/>
      <c r="J28" s="298" t="s">
        <v>498</v>
      </c>
      <c r="K28" s="298"/>
      <c r="L28" s="298"/>
      <c r="M28" s="682"/>
      <c r="N28" s="663">
        <f ca="1">+N35*$U$28</f>
        <v>0</v>
      </c>
      <c r="O28" s="663">
        <f t="shared" ref="O28:T28" ca="1" si="9">+O35*$U$28</f>
        <v>0</v>
      </c>
      <c r="P28" s="663">
        <f t="shared" ca="1" si="9"/>
        <v>15.488000000001193</v>
      </c>
      <c r="Q28" s="663">
        <f t="shared" ca="1" si="9"/>
        <v>0</v>
      </c>
      <c r="R28" s="663">
        <f t="shared" ca="1" si="9"/>
        <v>23.231999999999971</v>
      </c>
      <c r="S28" s="663">
        <f t="shared" ca="1" si="9"/>
        <v>0</v>
      </c>
      <c r="T28" s="663">
        <f t="shared" ca="1" si="9"/>
        <v>30.976000000002387</v>
      </c>
      <c r="U28" s="417">
        <v>0.25</v>
      </c>
    </row>
    <row r="29" spans="1:21">
      <c r="A29" s="483"/>
      <c r="B29" s="483"/>
      <c r="C29" s="484" t="s">
        <v>493</v>
      </c>
      <c r="D29" s="466"/>
      <c r="E29" s="481" t="e">
        <f t="shared" ref="E29" si="10">+F29/$F$5</f>
        <v>#REF!</v>
      </c>
      <c r="F29" s="485" t="e">
        <f>+#REF!</f>
        <v>#REF!</v>
      </c>
      <c r="G29" s="511" t="e">
        <f>+F28-F29</f>
        <v>#REF!</v>
      </c>
      <c r="H29" s="512" t="e">
        <f>+G29/3.5</f>
        <v>#REF!</v>
      </c>
      <c r="J29" s="413" t="s">
        <v>500</v>
      </c>
      <c r="N29" s="612">
        <f>+Volume!$X$14</f>
        <v>6814.72</v>
      </c>
      <c r="O29" s="612">
        <f>+N29*1.5</f>
        <v>10222.08</v>
      </c>
      <c r="P29" s="612">
        <f>+N29*2</f>
        <v>13629.44</v>
      </c>
      <c r="Q29" s="612">
        <f>+N29*2.5</f>
        <v>17036.8</v>
      </c>
      <c r="R29" s="612">
        <f>+N29*3</f>
        <v>20444.16</v>
      </c>
      <c r="S29" s="612">
        <f>+N29*3.5</f>
        <v>23851.52</v>
      </c>
      <c r="T29" s="612">
        <f>+N29*4</f>
        <v>27258.880000000001</v>
      </c>
    </row>
    <row r="30" spans="1:21" ht="36" customHeight="1" thickBot="1">
      <c r="A30" s="473"/>
      <c r="B30" s="473"/>
      <c r="C30" s="473"/>
      <c r="D30" s="474"/>
      <c r="E30" s="475"/>
      <c r="F30" s="475"/>
      <c r="G30" s="428"/>
      <c r="H30" s="428"/>
      <c r="N30" s="705" t="s">
        <v>464</v>
      </c>
      <c r="O30" s="705"/>
      <c r="P30" s="705"/>
      <c r="Q30" s="705"/>
      <c r="R30" s="705"/>
      <c r="S30" s="705"/>
      <c r="T30" s="705"/>
    </row>
    <row r="31" spans="1:21" ht="50.5" customHeight="1" thickBot="1">
      <c r="A31" s="437"/>
      <c r="B31" s="437"/>
      <c r="C31" s="438" t="s">
        <v>468</v>
      </c>
      <c r="D31" s="437"/>
      <c r="E31" s="439" t="s">
        <v>104</v>
      </c>
      <c r="F31" s="439" t="s">
        <v>105</v>
      </c>
      <c r="G31" s="439" t="s">
        <v>106</v>
      </c>
      <c r="H31" s="439" t="s">
        <v>107</v>
      </c>
      <c r="I31" s="439" t="s">
        <v>108</v>
      </c>
      <c r="J31" s="439" t="s">
        <v>109</v>
      </c>
      <c r="K31" s="439" t="s">
        <v>110</v>
      </c>
      <c r="N31" s="689" t="s">
        <v>104</v>
      </c>
      <c r="O31" s="689" t="s">
        <v>105</v>
      </c>
      <c r="P31" s="689" t="s">
        <v>106</v>
      </c>
      <c r="Q31" s="689" t="s">
        <v>107</v>
      </c>
      <c r="R31" s="689" t="s">
        <v>108</v>
      </c>
      <c r="S31" s="689" t="s">
        <v>109</v>
      </c>
      <c r="T31" s="689" t="s">
        <v>110</v>
      </c>
    </row>
    <row r="32" spans="1:21">
      <c r="A32" s="459"/>
      <c r="B32" s="459"/>
      <c r="C32" s="459" t="s">
        <v>440</v>
      </c>
      <c r="D32" s="460"/>
      <c r="E32" s="480">
        <f t="shared" ref="E32:K32" si="11">AVERAGE(E33:E36)</f>
        <v>2287.5</v>
      </c>
      <c r="F32" s="480">
        <f t="shared" si="11"/>
        <v>2287.5</v>
      </c>
      <c r="G32" s="480">
        <f t="shared" si="11"/>
        <v>2287.5</v>
      </c>
      <c r="H32" s="480">
        <f t="shared" si="11"/>
        <v>2287.5</v>
      </c>
      <c r="I32" s="480">
        <f t="shared" si="11"/>
        <v>2287.5</v>
      </c>
      <c r="J32" s="480">
        <f t="shared" si="11"/>
        <v>2287.5</v>
      </c>
      <c r="K32" s="480">
        <f t="shared" si="11"/>
        <v>2287.5</v>
      </c>
      <c r="N32" s="690">
        <f ca="1">SUM(N33:N36)</f>
        <v>11161.36</v>
      </c>
      <c r="O32" s="690">
        <f t="shared" ref="O32:T32" ca="1" si="12">SUM(O33:O36)</f>
        <v>16742.04</v>
      </c>
      <c r="P32" s="690">
        <f t="shared" ca="1" si="12"/>
        <v>22380.160000000007</v>
      </c>
      <c r="Q32" s="690">
        <f t="shared" ca="1" si="12"/>
        <v>27903.4</v>
      </c>
      <c r="R32" s="690">
        <f t="shared" ca="1" si="12"/>
        <v>33570.240000000005</v>
      </c>
      <c r="S32" s="690">
        <f t="shared" ca="1" si="12"/>
        <v>39064.76</v>
      </c>
      <c r="T32" s="690">
        <f t="shared" ca="1" si="12"/>
        <v>44760.320000000014</v>
      </c>
    </row>
    <row r="33" spans="1:25" s="436" customFormat="1" ht="31.15" customHeight="1">
      <c r="A33" s="464"/>
      <c r="B33" s="464"/>
      <c r="C33" s="465" t="s">
        <v>101</v>
      </c>
      <c r="D33" s="466"/>
      <c r="E33" s="486">
        <v>2000</v>
      </c>
      <c r="F33" s="486">
        <v>2000</v>
      </c>
      <c r="G33" s="486">
        <v>2000</v>
      </c>
      <c r="H33" s="486">
        <v>2000</v>
      </c>
      <c r="I33" s="486">
        <v>2000</v>
      </c>
      <c r="J33" s="486">
        <v>2000</v>
      </c>
      <c r="K33" s="486">
        <v>2000</v>
      </c>
      <c r="N33" s="691">
        <f ca="1">IF((N29-(N27+N28))&gt;=0,N29-(N27+N28),0)</f>
        <v>0</v>
      </c>
      <c r="O33" s="691">
        <f t="shared" ref="O33:T33" ca="1" si="13">IF((O29-(O27+O28))&gt;=0,O29-(O27+O28),0)</f>
        <v>0</v>
      </c>
      <c r="P33" s="691">
        <f t="shared" ca="1" si="13"/>
        <v>0</v>
      </c>
      <c r="Q33" s="691">
        <f t="shared" ca="1" si="13"/>
        <v>0</v>
      </c>
      <c r="R33" s="691">
        <f t="shared" ca="1" si="13"/>
        <v>0</v>
      </c>
      <c r="S33" s="691">
        <f t="shared" ca="1" si="13"/>
        <v>0</v>
      </c>
      <c r="T33" s="691">
        <f t="shared" ca="1" si="13"/>
        <v>0</v>
      </c>
      <c r="U33" s="513"/>
    </row>
    <row r="34" spans="1:25" s="436" customFormat="1" ht="31.15" customHeight="1">
      <c r="A34" s="464"/>
      <c r="B34" s="464"/>
      <c r="C34" s="465" t="s">
        <v>102</v>
      </c>
      <c r="D34" s="466"/>
      <c r="E34" s="486">
        <v>2450</v>
      </c>
      <c r="F34" s="486">
        <v>2450</v>
      </c>
      <c r="G34" s="486">
        <v>2450</v>
      </c>
      <c r="H34" s="486">
        <v>2450</v>
      </c>
      <c r="I34" s="486">
        <v>2450</v>
      </c>
      <c r="J34" s="486">
        <v>2450</v>
      </c>
      <c r="K34" s="486">
        <v>2450</v>
      </c>
      <c r="N34" s="691">
        <f>+Volume!X10</f>
        <v>6824.4000000000005</v>
      </c>
      <c r="O34" s="691">
        <f t="shared" ref="O34:O36" si="14">+N34*1.5</f>
        <v>10236.6</v>
      </c>
      <c r="P34" s="691">
        <f>+Volume!$Y$10</f>
        <v>13648.800000000001</v>
      </c>
      <c r="Q34" s="691">
        <f t="shared" ref="Q34:Q36" si="15">+N34*2.5</f>
        <v>17061</v>
      </c>
      <c r="R34" s="691">
        <f>+Volume!$Z$10</f>
        <v>20473.2</v>
      </c>
      <c r="S34" s="691">
        <f t="shared" ref="S34:S36" si="16">+N34*3.5</f>
        <v>23885.4</v>
      </c>
      <c r="T34" s="691">
        <f>+Volume!$AA$10</f>
        <v>27297.600000000002</v>
      </c>
    </row>
    <row r="35" spans="1:25" s="436" customFormat="1" ht="31.15" customHeight="1">
      <c r="A35" s="464"/>
      <c r="B35" s="464"/>
      <c r="C35" s="465" t="s">
        <v>103</v>
      </c>
      <c r="D35" s="466"/>
      <c r="E35" s="486">
        <v>2300</v>
      </c>
      <c r="F35" s="486">
        <v>2300</v>
      </c>
      <c r="G35" s="486">
        <v>2300</v>
      </c>
      <c r="H35" s="486">
        <v>2300</v>
      </c>
      <c r="I35" s="486">
        <v>2300</v>
      </c>
      <c r="J35" s="486">
        <v>2300</v>
      </c>
      <c r="K35" s="486">
        <v>2300</v>
      </c>
      <c r="N35" s="692">
        <f ca="1">IF(N35&lt;$Y$35,0,IF(N27&gt;=N29,0,IF(((N29-N27)/$U$28)&gt;=Volume!$X$11,Volume!$X$11,(N29-N27)/$U$28)))</f>
        <v>0</v>
      </c>
      <c r="O35" s="692">
        <f ca="1">IF(O35&lt;$Y$35,0,IF(O27&gt;=O29,0,IF(((O29-O27)/$U$28)&gt;=Volume!$X$11*1.5,Volume!$X$11*1.5,(O29-O27)/$U$28)))</f>
        <v>0</v>
      </c>
      <c r="P35" s="692">
        <f ca="1">IF(P35&lt;$Y$35,0,IF(P27&gt;=P29,0,IF(((P29-P27)/$U$28)&gt;=Volume!$X$11*2,Volume!$X$11*2,(P29-P27)/$U$28)))</f>
        <v>0</v>
      </c>
      <c r="Q35" s="692">
        <f ca="1">IF(Q35&lt;$Y$35,0,IF(Q27&gt;=Q29,0,IF(((Q29-Q27)/$U$28)&gt;=Volume!$X$11*2.5,Volume!$X$11*2.5,(Q29-Q27)/$U$28)))</f>
        <v>0</v>
      </c>
      <c r="R35" s="692">
        <f ca="1">IF(R35&lt;$Y$35,0,IF(R27&gt;=R29,0,IF(((R29-R27)/$U$28)&gt;=Volume!$X$11*3,Volume!$X$11*3,(R29-R27)/$U$28)))</f>
        <v>0</v>
      </c>
      <c r="S35" s="692">
        <f ca="1">IF(S35&lt;$Y$35,0,IF(S27&gt;=S29,0,IF(((S29-S27)/$U$28)&gt;=Volume!$X$11*3.5,Volume!$X$11*3.5,(S29-S27)/$U$28)))</f>
        <v>0</v>
      </c>
      <c r="T35" s="692">
        <f ca="1">IF(T35&lt;$Y$35,0,IF(T27&gt;=T29,0,IF(((T29-T27)/$U$28)&gt;=Volume!$X$11*4,Volume!$X$11*4,(T29-T27)/$U$28)))</f>
        <v>0</v>
      </c>
      <c r="W35" s="436" t="s">
        <v>502</v>
      </c>
      <c r="Y35" s="436">
        <v>700</v>
      </c>
    </row>
    <row r="36" spans="1:25" s="436" customFormat="1" ht="31.15" customHeight="1">
      <c r="A36" s="464"/>
      <c r="B36" s="464"/>
      <c r="C36" s="465" t="s">
        <v>478</v>
      </c>
      <c r="D36" s="466"/>
      <c r="E36" s="486">
        <v>2400</v>
      </c>
      <c r="F36" s="486">
        <v>2400</v>
      </c>
      <c r="G36" s="486">
        <v>2400</v>
      </c>
      <c r="H36" s="486">
        <v>2400</v>
      </c>
      <c r="I36" s="486">
        <v>2400</v>
      </c>
      <c r="J36" s="486">
        <v>2400</v>
      </c>
      <c r="K36" s="486">
        <v>2400</v>
      </c>
      <c r="N36" s="691">
        <f>+Volume!$X$12</f>
        <v>3146</v>
      </c>
      <c r="O36" s="691">
        <f t="shared" si="14"/>
        <v>4719</v>
      </c>
      <c r="P36" s="691">
        <f>+Volume!$Y$12</f>
        <v>6292</v>
      </c>
      <c r="Q36" s="691">
        <f t="shared" si="15"/>
        <v>7865</v>
      </c>
      <c r="R36" s="691">
        <f>+Volume!$Z$12</f>
        <v>9438</v>
      </c>
      <c r="S36" s="691">
        <f t="shared" si="16"/>
        <v>11011</v>
      </c>
      <c r="T36" s="691">
        <f>+Volume!$AA$12</f>
        <v>12584</v>
      </c>
    </row>
    <row r="37" spans="1:25" ht="18" customHeight="1" thickBot="1">
      <c r="A37" s="473"/>
      <c r="B37" s="473"/>
      <c r="C37" s="473"/>
      <c r="D37" s="474"/>
      <c r="E37" s="475"/>
      <c r="F37" s="475"/>
      <c r="G37" s="475"/>
      <c r="H37" s="475"/>
      <c r="I37" s="475"/>
      <c r="J37" s="475"/>
      <c r="K37" s="475"/>
      <c r="N37" s="693"/>
      <c r="O37" s="693"/>
      <c r="P37" s="693"/>
      <c r="Q37" s="693"/>
      <c r="R37" s="693"/>
      <c r="S37" s="693"/>
      <c r="T37" s="693"/>
    </row>
    <row r="38" spans="1:25" ht="31.5" thickBot="1">
      <c r="A38" s="473"/>
      <c r="B38" s="473"/>
      <c r="C38" s="473" t="s">
        <v>112</v>
      </c>
      <c r="D38" s="474"/>
      <c r="E38" s="475"/>
      <c r="F38" s="475"/>
      <c r="G38" s="475"/>
      <c r="H38" s="475"/>
      <c r="I38" s="475"/>
      <c r="J38" s="475"/>
      <c r="K38" s="475"/>
      <c r="N38" s="694">
        <f ca="1">+'Volume Local_Export'!G14</f>
        <v>0</v>
      </c>
      <c r="O38" s="694">
        <f ca="1">+'Volume Local_Export'!H14</f>
        <v>0</v>
      </c>
      <c r="P38" s="694">
        <f ca="1">+'Volume Local_Export'!I14</f>
        <v>0</v>
      </c>
      <c r="Q38" s="694">
        <f ca="1">+'Volume Local_Export'!J14</f>
        <v>0</v>
      </c>
      <c r="R38" s="694">
        <f ca="1">+'Volume Local_Export'!K14</f>
        <v>0</v>
      </c>
      <c r="S38" s="694">
        <f ca="1">+'Volume Local_Export'!L14</f>
        <v>21685.846000000001</v>
      </c>
      <c r="T38" s="694">
        <f ca="1">+'Volume Local_Export'!M14</f>
        <v>24780.800000000003</v>
      </c>
    </row>
    <row r="39" spans="1:25" ht="31.5" thickBot="1">
      <c r="A39" s="473"/>
      <c r="B39" s="473"/>
      <c r="C39" s="473" t="s">
        <v>466</v>
      </c>
      <c r="D39" s="474"/>
      <c r="E39" s="475"/>
      <c r="F39" s="475"/>
      <c r="G39" s="475"/>
      <c r="H39" s="475"/>
      <c r="I39" s="475"/>
      <c r="J39" s="475"/>
      <c r="K39" s="475"/>
      <c r="N39" s="476">
        <f ca="1">+N38+SUM(N33:N36)</f>
        <v>17357.315999999999</v>
      </c>
      <c r="O39" s="476">
        <f t="shared" ref="O39:T39" ca="1" si="17">+O38+SUM(O33:O36)</f>
        <v>26035.974000000002</v>
      </c>
      <c r="P39" s="476">
        <f t="shared" ca="1" si="17"/>
        <v>34770.560000000012</v>
      </c>
      <c r="Q39" s="476">
        <f t="shared" ca="1" si="17"/>
        <v>43393.29</v>
      </c>
      <c r="R39" s="476">
        <f t="shared" ca="1" si="17"/>
        <v>52155.840000000011</v>
      </c>
      <c r="S39" s="476">
        <f t="shared" ca="1" si="17"/>
        <v>60750.606</v>
      </c>
      <c r="T39" s="476">
        <f t="shared" ca="1" si="17"/>
        <v>69541.120000000024</v>
      </c>
    </row>
    <row r="40" spans="1:25" ht="31.5" thickBot="1">
      <c r="A40" s="473"/>
      <c r="B40" s="473"/>
      <c r="C40" s="473"/>
      <c r="D40" s="474"/>
      <c r="E40" s="475"/>
      <c r="F40" s="475"/>
      <c r="G40" s="475"/>
      <c r="H40" s="475"/>
      <c r="I40" s="475"/>
      <c r="J40" s="475"/>
      <c r="K40" s="475"/>
      <c r="N40" s="706" t="s">
        <v>465</v>
      </c>
      <c r="O40" s="706"/>
      <c r="P40" s="706"/>
      <c r="Q40" s="706"/>
      <c r="R40" s="706"/>
      <c r="S40" s="706"/>
      <c r="T40" s="706"/>
    </row>
    <row r="41" spans="1:25" ht="31.5" thickBot="1">
      <c r="A41" s="437"/>
      <c r="B41" s="437"/>
      <c r="C41" s="438" t="s">
        <v>469</v>
      </c>
      <c r="D41" s="437"/>
      <c r="E41" s="439" t="s">
        <v>104</v>
      </c>
      <c r="F41" s="439" t="s">
        <v>105</v>
      </c>
      <c r="G41" s="439" t="s">
        <v>106</v>
      </c>
      <c r="H41" s="439" t="s">
        <v>107</v>
      </c>
      <c r="I41" s="439" t="s">
        <v>108</v>
      </c>
      <c r="J41" s="439" t="s">
        <v>109</v>
      </c>
      <c r="K41" s="439" t="s">
        <v>110</v>
      </c>
      <c r="N41" s="439" t="s">
        <v>104</v>
      </c>
      <c r="O41" s="439" t="s">
        <v>105</v>
      </c>
      <c r="P41" s="439" t="s">
        <v>106</v>
      </c>
      <c r="Q41" s="439" t="s">
        <v>107</v>
      </c>
      <c r="R41" s="439" t="s">
        <v>108</v>
      </c>
      <c r="S41" s="439" t="s">
        <v>109</v>
      </c>
      <c r="T41" s="439" t="s">
        <v>110</v>
      </c>
    </row>
    <row r="42" spans="1:25">
      <c r="A42" s="459"/>
      <c r="B42" s="459"/>
      <c r="C42" s="459" t="s">
        <v>440</v>
      </c>
      <c r="D42" s="460"/>
      <c r="E42" s="480">
        <f t="shared" ref="E42:K42" si="18">AVERAGE(E43:E46)</f>
        <v>2287.5</v>
      </c>
      <c r="F42" s="480">
        <f t="shared" si="18"/>
        <v>2287.5</v>
      </c>
      <c r="G42" s="480">
        <f t="shared" si="18"/>
        <v>2287.5</v>
      </c>
      <c r="H42" s="480">
        <f t="shared" si="18"/>
        <v>2287.5</v>
      </c>
      <c r="I42" s="480">
        <f t="shared" si="18"/>
        <v>2287.5</v>
      </c>
      <c r="J42" s="480">
        <f t="shared" si="18"/>
        <v>2287.5</v>
      </c>
      <c r="K42" s="480">
        <f t="shared" si="18"/>
        <v>2287.5</v>
      </c>
      <c r="N42" s="480">
        <f>SUM(N43:N46)</f>
        <v>0</v>
      </c>
      <c r="O42" s="480">
        <f t="shared" ref="O42:T42" si="19">SUM(O43:O46)</f>
        <v>0</v>
      </c>
      <c r="P42" s="480">
        <f t="shared" si="19"/>
        <v>0</v>
      </c>
      <c r="Q42" s="480">
        <f t="shared" si="19"/>
        <v>0</v>
      </c>
      <c r="R42" s="480">
        <f t="shared" si="19"/>
        <v>0</v>
      </c>
      <c r="S42" s="480">
        <f t="shared" si="19"/>
        <v>0</v>
      </c>
      <c r="T42" s="480">
        <f t="shared" si="19"/>
        <v>0</v>
      </c>
    </row>
    <row r="43" spans="1:25">
      <c r="A43" s="464"/>
      <c r="B43" s="464"/>
      <c r="C43" s="465" t="s">
        <v>101</v>
      </c>
      <c r="D43" s="466"/>
      <c r="E43" s="486">
        <v>2000</v>
      </c>
      <c r="F43" s="486">
        <v>2000</v>
      </c>
      <c r="G43" s="486">
        <v>2000</v>
      </c>
      <c r="H43" s="486">
        <v>2000</v>
      </c>
      <c r="I43" s="486">
        <v>2000</v>
      </c>
      <c r="J43" s="486">
        <v>2000</v>
      </c>
      <c r="K43" s="486">
        <v>2000</v>
      </c>
      <c r="N43" s="487"/>
      <c r="O43" s="487"/>
      <c r="P43" s="487"/>
      <c r="Q43" s="487"/>
      <c r="R43" s="487"/>
      <c r="S43" s="487"/>
      <c r="T43" s="487"/>
    </row>
    <row r="44" spans="1:25">
      <c r="A44" s="464"/>
      <c r="B44" s="464"/>
      <c r="C44" s="465" t="s">
        <v>102</v>
      </c>
      <c r="D44" s="466"/>
      <c r="E44" s="486">
        <v>2450</v>
      </c>
      <c r="F44" s="486">
        <v>2450</v>
      </c>
      <c r="G44" s="486">
        <v>2450</v>
      </c>
      <c r="H44" s="486">
        <v>2450</v>
      </c>
      <c r="I44" s="486">
        <v>2450</v>
      </c>
      <c r="J44" s="486">
        <v>2450</v>
      </c>
      <c r="K44" s="486">
        <v>2450</v>
      </c>
      <c r="N44" s="487"/>
      <c r="O44" s="487"/>
      <c r="P44" s="487"/>
      <c r="Q44" s="487"/>
      <c r="R44" s="487"/>
      <c r="S44" s="487"/>
      <c r="T44" s="487"/>
    </row>
    <row r="45" spans="1:25">
      <c r="A45" s="464"/>
      <c r="B45" s="464"/>
      <c r="C45" s="465" t="s">
        <v>103</v>
      </c>
      <c r="D45" s="466"/>
      <c r="E45" s="486">
        <v>2300</v>
      </c>
      <c r="F45" s="486">
        <v>2300</v>
      </c>
      <c r="G45" s="486">
        <v>2300</v>
      </c>
      <c r="H45" s="486">
        <v>2300</v>
      </c>
      <c r="I45" s="486">
        <v>2300</v>
      </c>
      <c r="J45" s="486">
        <v>2300</v>
      </c>
      <c r="K45" s="486">
        <v>2300</v>
      </c>
      <c r="N45" s="487"/>
      <c r="O45" s="487"/>
      <c r="P45" s="487"/>
      <c r="Q45" s="487"/>
      <c r="R45" s="487"/>
      <c r="S45" s="487"/>
      <c r="T45" s="487"/>
    </row>
    <row r="46" spans="1:25">
      <c r="A46" s="464"/>
      <c r="B46" s="464"/>
      <c r="C46" s="465" t="s">
        <v>478</v>
      </c>
      <c r="D46" s="466"/>
      <c r="E46" s="486">
        <v>2400</v>
      </c>
      <c r="F46" s="486">
        <v>2400</v>
      </c>
      <c r="G46" s="486">
        <v>2400</v>
      </c>
      <c r="H46" s="486">
        <v>2400</v>
      </c>
      <c r="I46" s="486">
        <v>2400</v>
      </c>
      <c r="J46" s="486">
        <v>2400</v>
      </c>
      <c r="K46" s="486">
        <v>2400</v>
      </c>
      <c r="N46" s="487"/>
      <c r="O46" s="487"/>
      <c r="P46" s="487"/>
      <c r="Q46" s="487"/>
      <c r="R46" s="487"/>
      <c r="S46" s="487"/>
      <c r="T46" s="487"/>
    </row>
    <row r="47" spans="1:25" ht="31.5" thickBot="1">
      <c r="A47" s="473"/>
      <c r="B47" s="473"/>
      <c r="C47" s="473"/>
      <c r="D47" s="474"/>
      <c r="E47" s="475"/>
      <c r="F47" s="475"/>
      <c r="G47" s="475"/>
      <c r="H47" s="475"/>
      <c r="I47" s="475"/>
      <c r="J47" s="475"/>
      <c r="K47" s="475"/>
      <c r="N47" s="475"/>
      <c r="O47" s="475"/>
      <c r="P47" s="475"/>
      <c r="Q47" s="475"/>
      <c r="R47" s="475"/>
      <c r="S47" s="475"/>
      <c r="T47" s="475"/>
    </row>
    <row r="48" spans="1:25" ht="31.5" thickBot="1">
      <c r="A48" s="473"/>
      <c r="B48" s="473"/>
      <c r="C48" s="473" t="s">
        <v>112</v>
      </c>
      <c r="D48" s="474"/>
      <c r="E48" s="475"/>
      <c r="F48" s="475"/>
      <c r="G48" s="475"/>
      <c r="H48" s="475"/>
      <c r="I48" s="475"/>
      <c r="J48" s="475"/>
      <c r="K48" s="475"/>
      <c r="N48" s="476">
        <f ca="1">+'Volume Local_Export'!P14</f>
        <v>0</v>
      </c>
      <c r="O48" s="476">
        <f ca="1">+'Volume Local_Export'!Q14</f>
        <v>0</v>
      </c>
      <c r="P48" s="476">
        <f ca="1">+'Volume Local_Export'!R14</f>
        <v>0</v>
      </c>
      <c r="Q48" s="476">
        <f ca="1">+'Volume Local_Export'!S14</f>
        <v>0</v>
      </c>
      <c r="R48" s="476">
        <f ca="1">+'Volume Local_Export'!T14</f>
        <v>0</v>
      </c>
      <c r="S48" s="476">
        <f ca="1">+'Volume Local_Export'!U14</f>
        <v>0</v>
      </c>
      <c r="T48" s="476">
        <f ca="1">+'Volume Local_Export'!V14</f>
        <v>0</v>
      </c>
    </row>
    <row r="49" spans="1:20" ht="31.5" thickBot="1">
      <c r="A49" s="473"/>
      <c r="B49" s="473"/>
      <c r="C49" s="473" t="s">
        <v>466</v>
      </c>
      <c r="D49" s="474"/>
      <c r="E49" s="475"/>
      <c r="F49" s="475"/>
      <c r="G49" s="475"/>
      <c r="H49" s="475"/>
      <c r="I49" s="475"/>
      <c r="J49" s="475"/>
      <c r="K49" s="475"/>
      <c r="N49" s="476">
        <f ca="1">+N48+SUM(N44:N46)</f>
        <v>0</v>
      </c>
      <c r="O49" s="476">
        <f t="shared" ref="O49" ca="1" si="20">+O48+SUM(O44:O46)</f>
        <v>0</v>
      </c>
      <c r="P49" s="476">
        <f t="shared" ref="P49" ca="1" si="21">+P48+SUM(P44:P46)</f>
        <v>0</v>
      </c>
      <c r="Q49" s="476">
        <f t="shared" ref="Q49" ca="1" si="22">+Q48+SUM(Q44:Q46)</f>
        <v>0</v>
      </c>
      <c r="R49" s="476">
        <f t="shared" ref="R49" ca="1" si="23">+R48+SUM(R44:R46)</f>
        <v>0</v>
      </c>
      <c r="S49" s="476">
        <f t="shared" ref="S49" ca="1" si="24">+S48+SUM(S44:S46)</f>
        <v>0</v>
      </c>
      <c r="T49" s="476">
        <f t="shared" ref="T49" ca="1" si="25">+T48+SUM(T44:T46)</f>
        <v>0</v>
      </c>
    </row>
    <row r="50" spans="1:20" ht="31.5" thickBot="1">
      <c r="A50" s="473"/>
      <c r="B50" s="473"/>
      <c r="C50" s="473"/>
      <c r="D50" s="474"/>
      <c r="E50" s="475"/>
      <c r="F50" s="475"/>
      <c r="G50" s="475"/>
      <c r="H50" s="475"/>
      <c r="I50" s="475"/>
      <c r="J50" s="475"/>
      <c r="K50" s="475"/>
      <c r="N50" s="462"/>
      <c r="O50" s="462"/>
      <c r="P50" s="462"/>
      <c r="Q50" s="462"/>
      <c r="R50" s="462"/>
      <c r="S50" s="462"/>
      <c r="T50" s="462"/>
    </row>
    <row r="51" spans="1:20" ht="31.5" thickBot="1">
      <c r="A51" s="473"/>
      <c r="B51" s="473"/>
      <c r="C51" s="473"/>
      <c r="D51" s="474"/>
      <c r="E51" s="475"/>
      <c r="F51" s="475"/>
      <c r="G51" s="475"/>
      <c r="H51" s="475"/>
      <c r="I51" s="475"/>
      <c r="J51" s="475"/>
      <c r="K51" s="475"/>
      <c r="N51" s="462"/>
      <c r="O51" s="462"/>
      <c r="P51" s="462"/>
      <c r="Q51" s="462"/>
      <c r="R51" s="462"/>
      <c r="S51" s="462"/>
      <c r="T51" s="462"/>
    </row>
    <row r="52" spans="1:20" ht="31.5" thickBot="1">
      <c r="A52" s="473"/>
      <c r="B52" s="473"/>
      <c r="C52" s="473"/>
      <c r="D52" s="474"/>
      <c r="E52" s="475"/>
      <c r="F52" s="475"/>
      <c r="G52" s="475"/>
      <c r="H52" s="475"/>
      <c r="I52" s="475"/>
      <c r="J52" s="475"/>
      <c r="K52" s="475"/>
      <c r="N52" s="462"/>
      <c r="O52" s="462"/>
      <c r="P52" s="462"/>
      <c r="Q52" s="462"/>
      <c r="R52" s="462"/>
      <c r="S52" s="462"/>
      <c r="T52" s="462"/>
    </row>
    <row r="53" spans="1:20" ht="31.5" thickBot="1">
      <c r="A53" s="473"/>
      <c r="B53" s="473"/>
      <c r="C53" s="473"/>
      <c r="D53" s="474"/>
      <c r="E53" s="475"/>
      <c r="F53" s="475"/>
      <c r="G53" s="475"/>
      <c r="H53" s="475"/>
      <c r="I53" s="475"/>
      <c r="J53" s="475"/>
      <c r="K53" s="475"/>
      <c r="N53" s="462"/>
      <c r="O53" s="462"/>
      <c r="P53" s="462"/>
      <c r="Q53" s="462"/>
      <c r="R53" s="462"/>
      <c r="S53" s="462"/>
      <c r="T53" s="462"/>
    </row>
    <row r="55" spans="1:20" ht="31.5" thickBot="1">
      <c r="A55" s="437"/>
      <c r="B55" s="437"/>
      <c r="C55" s="438" t="s">
        <v>441</v>
      </c>
      <c r="D55" s="437" t="s">
        <v>442</v>
      </c>
      <c r="E55" s="439" t="s">
        <v>104</v>
      </c>
      <c r="F55" s="439" t="s">
        <v>105</v>
      </c>
      <c r="G55" s="439" t="s">
        <v>106</v>
      </c>
      <c r="H55" s="439" t="s">
        <v>107</v>
      </c>
      <c r="I55" s="439" t="s">
        <v>108</v>
      </c>
      <c r="J55" s="439" t="s">
        <v>109</v>
      </c>
      <c r="K55" s="439" t="s">
        <v>110</v>
      </c>
    </row>
    <row r="56" spans="1:20">
      <c r="A56" s="459"/>
      <c r="B56" s="459"/>
      <c r="C56" s="459" t="s">
        <v>440</v>
      </c>
      <c r="D56" s="460" t="s">
        <v>190</v>
      </c>
      <c r="E56" s="488">
        <f ca="1">AVERAGE(E57:E61)</f>
        <v>7.7498156041108735E-3</v>
      </c>
      <c r="F56" s="488">
        <f t="shared" ref="F56" ca="1" si="26">AVERAGE(F57:F61)</f>
        <v>1.1624723406166311E-2</v>
      </c>
      <c r="G56" s="488">
        <f t="shared" ref="G56" ca="1" si="27">AVERAGE(G57:G61)</f>
        <v>1.5649781682961342E-2</v>
      </c>
      <c r="H56" s="488">
        <f t="shared" ref="H56" ca="1" si="28">AVERAGE(H57:H61)</f>
        <v>1.9374539010277185E-2</v>
      </c>
      <c r="I56" s="488">
        <f t="shared" ref="I56" ca="1" si="29">AVERAGE(I57:I61)</f>
        <v>2.3474672524441992E-2</v>
      </c>
      <c r="J56" s="488">
        <f t="shared" ref="J56" ca="1" si="30">AVERAGE(J57:J61)</f>
        <v>2.7124354614388058E-2</v>
      </c>
      <c r="K56" s="488">
        <f t="shared" ref="K56" ca="1" si="31">AVERAGE(K57:K61)</f>
        <v>3.1299563365922684E-2</v>
      </c>
    </row>
    <row r="57" spans="1:20">
      <c r="A57" s="464"/>
      <c r="B57" s="464"/>
      <c r="C57" s="484" t="s">
        <v>101</v>
      </c>
      <c r="D57" s="466" t="s">
        <v>190</v>
      </c>
      <c r="E57" s="489">
        <f ca="1">+Volume!G123</f>
        <v>0</v>
      </c>
      <c r="F57" s="489">
        <f ca="1">+Volume!H123</f>
        <v>0</v>
      </c>
      <c r="G57" s="489">
        <f ca="1">+Volume!I123</f>
        <v>0</v>
      </c>
      <c r="H57" s="489">
        <f ca="1">+Volume!J123</f>
        <v>0</v>
      </c>
      <c r="I57" s="489">
        <f ca="1">+Volume!K123</f>
        <v>0</v>
      </c>
      <c r="J57" s="489">
        <f ca="1">+Volume!L123</f>
        <v>0</v>
      </c>
      <c r="K57" s="489">
        <f ca="1">+Volume!M123</f>
        <v>0</v>
      </c>
    </row>
    <row r="58" spans="1:20">
      <c r="A58" s="464"/>
      <c r="B58" s="464"/>
      <c r="C58" s="484" t="s">
        <v>102</v>
      </c>
      <c r="D58" s="466" t="s">
        <v>190</v>
      </c>
      <c r="E58" s="489">
        <f>+Volume!G120</f>
        <v>2.1766454781501084E-2</v>
      </c>
      <c r="F58" s="489">
        <f>+Volume!H120</f>
        <v>3.2649682172251622E-2</v>
      </c>
      <c r="G58" s="489">
        <f>+Volume!I120</f>
        <v>4.3532909563002167E-2</v>
      </c>
      <c r="H58" s="489">
        <f>+Volume!J120</f>
        <v>5.4416136953752706E-2</v>
      </c>
      <c r="I58" s="489">
        <f>+Volume!K120</f>
        <v>6.5299364344503244E-2</v>
      </c>
      <c r="J58" s="489">
        <f>+Volume!L120</f>
        <v>7.6182591735253796E-2</v>
      </c>
      <c r="K58" s="489">
        <f>+Volume!M120</f>
        <v>8.7065819126004335E-2</v>
      </c>
    </row>
    <row r="59" spans="1:20">
      <c r="A59" s="464"/>
      <c r="B59" s="464"/>
      <c r="C59" s="484" t="s">
        <v>103</v>
      </c>
      <c r="D59" s="466" t="s">
        <v>190</v>
      </c>
      <c r="E59" s="489">
        <f ca="1">+Volume!G121</f>
        <v>0</v>
      </c>
      <c r="F59" s="489">
        <f ca="1">+Volume!H121</f>
        <v>0</v>
      </c>
      <c r="G59" s="489">
        <f ca="1">+Volume!I121</f>
        <v>5.1424151501504214E-4</v>
      </c>
      <c r="H59" s="489">
        <f ca="1">+Volume!J121</f>
        <v>0</v>
      </c>
      <c r="I59" s="489">
        <f ca="1">+Volume!K121</f>
        <v>7.7136227252250277E-4</v>
      </c>
      <c r="J59" s="489">
        <f ca="1">+Volume!L121</f>
        <v>0</v>
      </c>
      <c r="K59" s="489">
        <f ca="1">+Volume!M121</f>
        <v>1.0284830300300843E-3</v>
      </c>
    </row>
    <row r="60" spans="1:20">
      <c r="A60" s="464"/>
      <c r="B60" s="464"/>
      <c r="C60" s="465" t="s">
        <v>478</v>
      </c>
      <c r="D60" s="466" t="s">
        <v>190</v>
      </c>
      <c r="E60" s="489"/>
      <c r="F60" s="489"/>
      <c r="G60" s="489"/>
      <c r="H60" s="489"/>
      <c r="I60" s="489"/>
      <c r="J60" s="489"/>
      <c r="K60" s="489"/>
    </row>
    <row r="61" spans="1:20">
      <c r="A61" s="483"/>
      <c r="B61" s="483"/>
      <c r="C61" s="484"/>
      <c r="D61" s="466"/>
      <c r="E61" s="490"/>
      <c r="F61" s="490"/>
      <c r="G61" s="490"/>
      <c r="H61" s="490"/>
      <c r="I61" s="490"/>
      <c r="J61" s="490"/>
      <c r="K61" s="490"/>
    </row>
    <row r="62" spans="1:20" ht="31.5" thickBot="1">
      <c r="A62" s="473"/>
      <c r="B62" s="473"/>
      <c r="C62" s="473" t="s">
        <v>112</v>
      </c>
      <c r="D62" s="474"/>
      <c r="E62" s="491"/>
      <c r="F62" s="491"/>
      <c r="G62" s="491"/>
      <c r="H62" s="491"/>
      <c r="I62" s="491"/>
      <c r="J62" s="491"/>
      <c r="K62" s="491"/>
    </row>
    <row r="63" spans="1:20" ht="31.5" thickBot="1">
      <c r="C63" s="473" t="s">
        <v>466</v>
      </c>
    </row>
    <row r="65" spans="1:20">
      <c r="D65" s="704" t="s">
        <v>446</v>
      </c>
      <c r="E65" s="704"/>
      <c r="F65" s="704"/>
      <c r="G65" s="704"/>
    </row>
    <row r="66" spans="1:20" s="497" customFormat="1" ht="31.5" thickBot="1">
      <c r="A66" s="492"/>
      <c r="B66" s="492"/>
      <c r="C66" s="493" t="s">
        <v>438</v>
      </c>
      <c r="D66" s="492"/>
      <c r="E66" s="494" t="s">
        <v>443</v>
      </c>
      <c r="F66" s="495" t="s">
        <v>444</v>
      </c>
      <c r="G66" s="432" t="s">
        <v>445</v>
      </c>
      <c r="H66" s="496" t="s">
        <v>439</v>
      </c>
      <c r="I66" s="432" t="s">
        <v>448</v>
      </c>
      <c r="N66" s="498"/>
      <c r="O66" s="498"/>
      <c r="P66" s="498"/>
      <c r="Q66" s="498"/>
      <c r="R66" s="498"/>
      <c r="S66" s="498"/>
      <c r="T66" s="498"/>
    </row>
    <row r="67" spans="1:20" ht="25.9" customHeight="1">
      <c r="A67" s="459"/>
      <c r="B67" s="459"/>
      <c r="C67" s="459" t="s">
        <v>438</v>
      </c>
      <c r="D67" s="460" t="s">
        <v>449</v>
      </c>
      <c r="E67" s="479"/>
      <c r="F67" s="480"/>
      <c r="I67" s="499">
        <v>120000</v>
      </c>
    </row>
    <row r="68" spans="1:20" s="436" customFormat="1" ht="43.15" customHeight="1">
      <c r="A68" s="464"/>
      <c r="B68" s="464"/>
      <c r="C68" s="465" t="s">
        <v>101</v>
      </c>
      <c r="D68" s="466" t="s">
        <v>450</v>
      </c>
      <c r="E68" s="500">
        <v>71</v>
      </c>
      <c r="F68" s="501">
        <v>0.3</v>
      </c>
      <c r="G68" s="502">
        <v>25</v>
      </c>
      <c r="H68" s="503">
        <v>0.21199999999999999</v>
      </c>
    </row>
    <row r="69" spans="1:20" s="436" customFormat="1" ht="43.15" customHeight="1">
      <c r="A69" s="464"/>
      <c r="B69" s="464"/>
      <c r="C69" s="465" t="s">
        <v>102</v>
      </c>
      <c r="D69" s="466" t="s">
        <v>450</v>
      </c>
      <c r="E69" s="500">
        <v>30</v>
      </c>
      <c r="F69" s="501">
        <v>4</v>
      </c>
      <c r="G69" s="502">
        <v>20</v>
      </c>
      <c r="H69" s="503">
        <v>0.21199999999999999</v>
      </c>
    </row>
    <row r="70" spans="1:20" s="436" customFormat="1" ht="43.15" customHeight="1">
      <c r="A70" s="464"/>
      <c r="B70" s="464"/>
      <c r="C70" s="465" t="s">
        <v>103</v>
      </c>
      <c r="D70" s="466" t="s">
        <v>450</v>
      </c>
      <c r="E70" s="500">
        <v>100</v>
      </c>
      <c r="F70" s="501">
        <v>2.78</v>
      </c>
      <c r="G70" s="502">
        <v>5.1100000000000003</v>
      </c>
      <c r="H70" s="503">
        <v>0.21199999999999999</v>
      </c>
    </row>
    <row r="71" spans="1:20" s="436" customFormat="1" ht="43.15" customHeight="1">
      <c r="A71" s="464"/>
      <c r="B71" s="464"/>
      <c r="C71" s="465" t="s">
        <v>478</v>
      </c>
      <c r="D71" s="466" t="s">
        <v>450</v>
      </c>
      <c r="E71" s="500">
        <v>50</v>
      </c>
      <c r="F71" s="501">
        <v>1.71</v>
      </c>
      <c r="G71" s="502">
        <v>5.14</v>
      </c>
      <c r="H71" s="503">
        <v>0.21199999999999999</v>
      </c>
    </row>
    <row r="72" spans="1:20" s="436" customFormat="1" ht="43.15" customHeight="1">
      <c r="A72" s="464"/>
      <c r="B72" s="464"/>
      <c r="C72" s="465"/>
      <c r="D72" s="466"/>
      <c r="E72" s="500"/>
      <c r="F72" s="501"/>
      <c r="G72" s="502"/>
      <c r="H72" s="503"/>
    </row>
    <row r="73" spans="1:20" s="436" customFormat="1" ht="43.15" customHeight="1">
      <c r="A73" s="464"/>
      <c r="B73" s="464"/>
      <c r="C73" s="465"/>
      <c r="D73" s="466"/>
      <c r="E73" s="500"/>
      <c r="F73" s="501"/>
      <c r="G73" s="502"/>
      <c r="H73" s="503"/>
    </row>
    <row r="74" spans="1:20" s="436" customFormat="1" ht="43.15" customHeight="1">
      <c r="A74" s="464"/>
      <c r="B74" s="464"/>
      <c r="C74" s="465"/>
      <c r="D74" s="466"/>
      <c r="E74" s="500"/>
      <c r="F74" s="501"/>
      <c r="G74" s="502"/>
      <c r="H74" s="503"/>
    </row>
    <row r="75" spans="1:20" s="505" customFormat="1" ht="25.9" customHeight="1" thickBot="1">
      <c r="A75" s="504"/>
      <c r="B75" s="504"/>
      <c r="C75" s="493" t="s">
        <v>483</v>
      </c>
      <c r="D75" s="492" t="s">
        <v>190</v>
      </c>
      <c r="E75" s="707" t="s">
        <v>447</v>
      </c>
      <c r="F75" s="707"/>
      <c r="G75" s="707" t="s">
        <v>484</v>
      </c>
      <c r="H75" s="707"/>
    </row>
    <row r="76" spans="1:20" s="436" customFormat="1" ht="34.9" customHeight="1">
      <c r="A76" s="464"/>
      <c r="B76" s="464"/>
      <c r="C76" s="465" t="s">
        <v>101</v>
      </c>
      <c r="D76" s="466" t="s">
        <v>479</v>
      </c>
      <c r="E76" s="481">
        <v>600</v>
      </c>
      <c r="F76" s="482" t="s">
        <v>481</v>
      </c>
      <c r="G76" s="506">
        <v>0.05</v>
      </c>
      <c r="H76" s="507" t="s">
        <v>485</v>
      </c>
    </row>
    <row r="77" spans="1:20" s="436" customFormat="1" ht="34.9" customHeight="1">
      <c r="A77" s="464"/>
      <c r="B77" s="464"/>
      <c r="C77" s="702" t="s">
        <v>102</v>
      </c>
      <c r="D77" s="670" t="s">
        <v>203</v>
      </c>
      <c r="E77" s="671" t="s">
        <v>495</v>
      </c>
      <c r="F77" s="672">
        <v>0.3</v>
      </c>
      <c r="G77" s="673">
        <v>1</v>
      </c>
      <c r="H77" s="674" t="s">
        <v>496</v>
      </c>
    </row>
    <row r="78" spans="1:20" s="436" customFormat="1" ht="34.9" customHeight="1">
      <c r="A78" s="464"/>
      <c r="B78" s="464"/>
      <c r="C78" s="703"/>
      <c r="D78" s="675" t="s">
        <v>203</v>
      </c>
      <c r="E78" s="676" t="s">
        <v>388</v>
      </c>
      <c r="F78" s="677">
        <v>2.5</v>
      </c>
      <c r="G78" s="678"/>
      <c r="H78" s="679"/>
    </row>
    <row r="79" spans="1:20" s="436" customFormat="1" ht="34.9" customHeight="1">
      <c r="A79" s="464"/>
      <c r="B79" s="464"/>
      <c r="C79" s="465" t="s">
        <v>103</v>
      </c>
      <c r="D79" s="466" t="s">
        <v>479</v>
      </c>
      <c r="E79" s="481">
        <v>600</v>
      </c>
      <c r="F79" s="482" t="s">
        <v>482</v>
      </c>
      <c r="G79" s="508">
        <v>0.05</v>
      </c>
      <c r="H79" s="507" t="s">
        <v>485</v>
      </c>
    </row>
    <row r="80" spans="1:20" s="436" customFormat="1" ht="34.9" customHeight="1">
      <c r="A80" s="464"/>
      <c r="B80" s="464"/>
      <c r="C80" s="465" t="s">
        <v>478</v>
      </c>
      <c r="D80" s="466" t="s">
        <v>479</v>
      </c>
      <c r="E80" s="481">
        <v>600</v>
      </c>
      <c r="F80" s="482" t="s">
        <v>480</v>
      </c>
      <c r="G80" s="508">
        <v>0.05</v>
      </c>
      <c r="H80" s="507" t="s">
        <v>485</v>
      </c>
    </row>
    <row r="82" spans="1:28" ht="27" customHeight="1">
      <c r="D82" s="704" t="s">
        <v>446</v>
      </c>
      <c r="E82" s="704"/>
      <c r="F82" s="704"/>
      <c r="G82" s="704"/>
    </row>
    <row r="83" spans="1:28" ht="33.65" customHeight="1">
      <c r="D83" s="443"/>
      <c r="E83" s="443" t="s">
        <v>427</v>
      </c>
      <c r="F83" s="443" t="s">
        <v>428</v>
      </c>
      <c r="G83" s="704" t="s">
        <v>472</v>
      </c>
      <c r="H83" s="443" t="s">
        <v>427</v>
      </c>
      <c r="I83" s="443" t="s">
        <v>428</v>
      </c>
      <c r="N83" s="704" t="s">
        <v>490</v>
      </c>
      <c r="O83" s="704"/>
      <c r="P83" s="704"/>
      <c r="Q83" s="704"/>
      <c r="R83" s="453"/>
      <c r="S83" s="704" t="s">
        <v>491</v>
      </c>
      <c r="T83" s="704"/>
      <c r="U83" s="704"/>
      <c r="V83" s="704"/>
      <c r="AB83" s="505"/>
    </row>
    <row r="84" spans="1:28" ht="35.5" customHeight="1" thickBot="1">
      <c r="A84" s="492"/>
      <c r="B84" s="492"/>
      <c r="C84" s="493" t="s">
        <v>470</v>
      </c>
      <c r="D84" s="492"/>
      <c r="E84" s="494" t="s">
        <v>471</v>
      </c>
      <c r="F84" s="494" t="s">
        <v>471</v>
      </c>
      <c r="G84" s="704"/>
      <c r="H84" s="494" t="s">
        <v>473</v>
      </c>
      <c r="I84" s="494" t="s">
        <v>473</v>
      </c>
      <c r="N84" s="434" t="s">
        <v>474</v>
      </c>
      <c r="O84" s="434" t="s">
        <v>475</v>
      </c>
      <c r="P84" s="434" t="s">
        <v>476</v>
      </c>
      <c r="Q84" s="434" t="s">
        <v>477</v>
      </c>
      <c r="S84" s="434" t="s">
        <v>474</v>
      </c>
      <c r="T84" s="434" t="s">
        <v>475</v>
      </c>
      <c r="U84" s="434" t="s">
        <v>476</v>
      </c>
      <c r="V84" s="434" t="s">
        <v>477</v>
      </c>
    </row>
    <row r="85" spans="1:28">
      <c r="A85" s="459"/>
      <c r="B85" s="459"/>
      <c r="C85" s="459"/>
      <c r="D85" s="460"/>
      <c r="E85" s="479"/>
      <c r="F85" s="480"/>
      <c r="H85" s="479"/>
      <c r="I85" s="480"/>
      <c r="N85" s="434">
        <v>30</v>
      </c>
      <c r="O85" s="434">
        <v>50</v>
      </c>
      <c r="P85" s="434">
        <v>70</v>
      </c>
      <c r="Q85" s="434">
        <v>100</v>
      </c>
      <c r="S85" s="434">
        <v>30</v>
      </c>
      <c r="T85" s="434">
        <v>50</v>
      </c>
      <c r="U85" s="434">
        <v>70</v>
      </c>
      <c r="V85" s="434">
        <v>100</v>
      </c>
    </row>
    <row r="86" spans="1:28" ht="30.65" customHeight="1">
      <c r="A86" s="464"/>
      <c r="B86" s="464"/>
      <c r="C86" s="465" t="s">
        <v>101</v>
      </c>
      <c r="D86" s="466"/>
      <c r="E86" s="500">
        <v>25</v>
      </c>
      <c r="F86" s="501">
        <v>50</v>
      </c>
      <c r="G86" s="509">
        <v>1.6</v>
      </c>
      <c r="H86" s="500">
        <v>25</v>
      </c>
      <c r="I86" s="501">
        <v>50</v>
      </c>
      <c r="N86" s="510">
        <f>+($G86*N$85)/$E86</f>
        <v>1.92</v>
      </c>
      <c r="O86" s="510">
        <f t="shared" ref="O86:Q86" si="32">+($G86*O$85)/$E86</f>
        <v>3.2</v>
      </c>
      <c r="P86" s="510">
        <f t="shared" si="32"/>
        <v>4.4800000000000004</v>
      </c>
      <c r="Q86" s="510">
        <f t="shared" si="32"/>
        <v>6.4</v>
      </c>
      <c r="S86" s="510">
        <f>+($G86*S$85)/$F86</f>
        <v>0.96</v>
      </c>
      <c r="T86" s="510">
        <f t="shared" ref="T86:V86" si="33">+($G86*T$85)/$F86</f>
        <v>1.6</v>
      </c>
      <c r="U86" s="510">
        <f t="shared" si="33"/>
        <v>2.2400000000000002</v>
      </c>
      <c r="V86" s="510">
        <f t="shared" si="33"/>
        <v>3.2</v>
      </c>
    </row>
    <row r="87" spans="1:28" ht="30.65" customHeight="1">
      <c r="A87" s="464"/>
      <c r="B87" s="464"/>
      <c r="C87" s="465" t="s">
        <v>102</v>
      </c>
      <c r="D87" s="466"/>
      <c r="E87" s="500">
        <v>20</v>
      </c>
      <c r="F87" s="501">
        <v>45</v>
      </c>
      <c r="G87" s="509">
        <v>1.6</v>
      </c>
      <c r="H87" s="500">
        <v>25</v>
      </c>
      <c r="I87" s="501">
        <v>45</v>
      </c>
      <c r="N87" s="510">
        <f t="shared" ref="N87:Q89" si="34">+($G87*N$85)/$E87</f>
        <v>2.4</v>
      </c>
      <c r="O87" s="510">
        <f t="shared" si="34"/>
        <v>4</v>
      </c>
      <c r="P87" s="510">
        <f t="shared" si="34"/>
        <v>5.6</v>
      </c>
      <c r="Q87" s="510">
        <f t="shared" si="34"/>
        <v>8</v>
      </c>
      <c r="S87" s="510">
        <f t="shared" ref="S87:V89" si="35">+($G87*S$85)/$F87</f>
        <v>1.0666666666666667</v>
      </c>
      <c r="T87" s="510">
        <f t="shared" si="35"/>
        <v>1.7777777777777777</v>
      </c>
      <c r="U87" s="510">
        <f t="shared" si="35"/>
        <v>2.4888888888888889</v>
      </c>
      <c r="V87" s="510">
        <f t="shared" si="35"/>
        <v>3.5555555555555554</v>
      </c>
    </row>
    <row r="88" spans="1:28" ht="30.65" customHeight="1">
      <c r="A88" s="464"/>
      <c r="B88" s="464"/>
      <c r="C88" s="465" t="s">
        <v>103</v>
      </c>
      <c r="D88" s="466"/>
      <c r="E88" s="500">
        <v>25</v>
      </c>
      <c r="F88" s="501">
        <v>40</v>
      </c>
      <c r="G88" s="509">
        <v>1.6</v>
      </c>
      <c r="H88" s="500">
        <v>20</v>
      </c>
      <c r="I88" s="501">
        <v>40</v>
      </c>
      <c r="N88" s="510">
        <f t="shared" si="34"/>
        <v>1.92</v>
      </c>
      <c r="O88" s="510">
        <f t="shared" si="34"/>
        <v>3.2</v>
      </c>
      <c r="P88" s="510">
        <f t="shared" si="34"/>
        <v>4.4800000000000004</v>
      </c>
      <c r="Q88" s="510">
        <f t="shared" si="34"/>
        <v>6.4</v>
      </c>
      <c r="S88" s="510">
        <f t="shared" si="35"/>
        <v>1.2</v>
      </c>
      <c r="T88" s="510">
        <f t="shared" si="35"/>
        <v>2</v>
      </c>
      <c r="U88" s="510">
        <f t="shared" si="35"/>
        <v>2.8</v>
      </c>
      <c r="V88" s="510">
        <f t="shared" si="35"/>
        <v>4</v>
      </c>
    </row>
    <row r="89" spans="1:28" ht="30.65" customHeight="1">
      <c r="A89" s="464"/>
      <c r="B89" s="464"/>
      <c r="C89" s="465" t="s">
        <v>478</v>
      </c>
      <c r="D89" s="466"/>
      <c r="E89" s="500">
        <v>25</v>
      </c>
      <c r="F89" s="501">
        <v>45</v>
      </c>
      <c r="G89" s="509">
        <v>1.6</v>
      </c>
      <c r="H89" s="500">
        <v>25</v>
      </c>
      <c r="I89" s="501">
        <v>45</v>
      </c>
      <c r="N89" s="510">
        <f t="shared" si="34"/>
        <v>1.92</v>
      </c>
      <c r="O89" s="510">
        <f t="shared" si="34"/>
        <v>3.2</v>
      </c>
      <c r="P89" s="510">
        <f t="shared" si="34"/>
        <v>4.4800000000000004</v>
      </c>
      <c r="Q89" s="510">
        <f t="shared" si="34"/>
        <v>6.4</v>
      </c>
      <c r="S89" s="510">
        <f t="shared" si="35"/>
        <v>1.0666666666666667</v>
      </c>
      <c r="T89" s="510">
        <f t="shared" si="35"/>
        <v>1.7777777777777777</v>
      </c>
      <c r="U89" s="510">
        <f t="shared" si="35"/>
        <v>2.4888888888888889</v>
      </c>
      <c r="V89" s="510">
        <f t="shared" si="35"/>
        <v>3.5555555555555554</v>
      </c>
    </row>
  </sheetData>
  <mergeCells count="10">
    <mergeCell ref="G83:G84"/>
    <mergeCell ref="S83:V83"/>
    <mergeCell ref="E75:F75"/>
    <mergeCell ref="G75:H75"/>
    <mergeCell ref="N83:Q83"/>
    <mergeCell ref="C77:C78"/>
    <mergeCell ref="D65:G65"/>
    <mergeCell ref="N30:T30"/>
    <mergeCell ref="N40:T40"/>
    <mergeCell ref="D82:G8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74"/>
  <sheetViews>
    <sheetView showGridLines="0" zoomScale="46" zoomScaleNormal="46" workbookViewId="0">
      <pane xSplit="6" ySplit="9" topLeftCell="K10" activePane="bottomRight" state="frozen"/>
      <selection activeCell="G84" sqref="G84"/>
      <selection pane="topRight" activeCell="G84" sqref="G84"/>
      <selection pane="bottomLeft" activeCell="G84" sqref="G84"/>
      <selection pane="bottomRight" sqref="A1:XFD1048576"/>
    </sheetView>
  </sheetViews>
  <sheetFormatPr baseColWidth="10" defaultColWidth="11.453125" defaultRowHeight="28.5" outlineLevelRow="1" outlineLevelCol="1"/>
  <cols>
    <col min="1" max="1" width="2.81640625" style="418" customWidth="1"/>
    <col min="2" max="2" width="8.54296875" style="418" customWidth="1"/>
    <col min="3" max="3" width="8.7265625" style="418" customWidth="1"/>
    <col min="4" max="4" width="8.54296875" style="418" hidden="1" customWidth="1"/>
    <col min="5" max="5" width="13.81640625" style="418" customWidth="1"/>
    <col min="6" max="6" width="45.81640625" style="418" customWidth="1"/>
    <col min="7" max="12" width="22.54296875" style="420" bestFit="1" customWidth="1" outlineLevel="1"/>
    <col min="13" max="13" width="24.1796875" style="420" bestFit="1" customWidth="1" outlineLevel="1"/>
    <col min="14" max="14" width="20.7265625" style="420" bestFit="1" customWidth="1"/>
    <col min="15" max="15" width="1.7265625" style="418" customWidth="1"/>
    <col min="16" max="16" width="20.26953125" style="418" customWidth="1"/>
    <col min="17" max="17" width="24.26953125" style="418" bestFit="1" customWidth="1"/>
    <col min="18" max="18" width="32.7265625" style="418" customWidth="1"/>
    <col min="19" max="22" width="16.7265625" style="418" customWidth="1"/>
    <col min="23" max="23" width="1.1796875" style="418" customWidth="1"/>
    <col min="24" max="27" width="16.7265625" style="418" customWidth="1"/>
    <col min="28" max="28" width="11.453125" style="418"/>
    <col min="29" max="29" width="19.453125" style="418" bestFit="1" customWidth="1"/>
    <col min="30" max="16384" width="11.453125" style="418"/>
  </cols>
  <sheetData>
    <row r="1" spans="2:30" ht="18.649999999999999" customHeight="1" thickBot="1">
      <c r="B1" s="613"/>
      <c r="C1" s="613"/>
      <c r="D1" s="613" t="s">
        <v>113</v>
      </c>
      <c r="E1" s="613"/>
      <c r="F1" s="614"/>
      <c r="G1" s="615"/>
      <c r="H1" s="615"/>
      <c r="I1" s="615"/>
      <c r="J1" s="615"/>
      <c r="K1" s="615"/>
      <c r="L1" s="615"/>
      <c r="M1" s="615"/>
      <c r="N1" s="615"/>
    </row>
    <row r="2" spans="2:30" ht="18.649999999999999" customHeight="1" thickTop="1">
      <c r="B2" s="517"/>
      <c r="C2" s="517"/>
      <c r="D2" s="517" t="s">
        <v>114</v>
      </c>
      <c r="E2" s="517"/>
      <c r="F2" s="616"/>
      <c r="G2" s="521"/>
      <c r="H2" s="521"/>
      <c r="I2" s="521"/>
      <c r="J2" s="521"/>
      <c r="K2" s="521"/>
      <c r="L2" s="521"/>
      <c r="M2" s="521"/>
      <c r="N2" s="521"/>
    </row>
    <row r="3" spans="2:30" ht="18.649999999999999" customHeight="1">
      <c r="B3" s="517"/>
      <c r="C3" s="517"/>
      <c r="D3" s="708" t="s">
        <v>115</v>
      </c>
      <c r="E3" s="708"/>
      <c r="F3" s="708"/>
      <c r="G3" s="708"/>
      <c r="H3" s="708"/>
      <c r="I3" s="521"/>
      <c r="J3" s="521"/>
      <c r="K3" s="521"/>
      <c r="L3" s="521"/>
      <c r="M3" s="521"/>
      <c r="N3" s="521"/>
    </row>
    <row r="5" spans="2:30" ht="41.5" customHeight="1">
      <c r="G5" s="425"/>
      <c r="H5" s="425"/>
      <c r="I5" s="425"/>
      <c r="J5" s="425"/>
      <c r="K5" s="425"/>
      <c r="L5" s="425"/>
      <c r="M5" s="425"/>
      <c r="P5" s="714" t="s">
        <v>497</v>
      </c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</row>
    <row r="6" spans="2:30" ht="29" thickBot="1">
      <c r="G6" s="578"/>
      <c r="H6" s="578"/>
      <c r="I6" s="578"/>
      <c r="J6" s="578"/>
      <c r="K6" s="578"/>
      <c r="L6" s="578"/>
      <c r="M6" s="578"/>
    </row>
    <row r="7" spans="2:30" s="523" customFormat="1" ht="42" customHeight="1" thickBot="1">
      <c r="B7" s="522"/>
      <c r="C7" s="522"/>
      <c r="D7" s="522"/>
      <c r="E7" s="522"/>
      <c r="G7" s="524"/>
      <c r="H7" s="525">
        <v>0.2</v>
      </c>
      <c r="I7" s="524"/>
      <c r="J7" s="524"/>
      <c r="K7" s="526"/>
      <c r="L7" s="526"/>
      <c r="M7" s="526"/>
      <c r="N7" s="524"/>
      <c r="S7" s="709" t="s">
        <v>384</v>
      </c>
      <c r="T7" s="710"/>
      <c r="U7" s="710"/>
      <c r="V7" s="617"/>
      <c r="X7" s="711" t="s">
        <v>385</v>
      </c>
      <c r="Y7" s="712"/>
      <c r="Z7" s="712"/>
      <c r="AA7" s="713"/>
    </row>
    <row r="8" spans="2:30" s="424" customFormat="1" ht="42.65" customHeight="1" thickBot="1">
      <c r="B8" s="559"/>
      <c r="C8" s="560"/>
      <c r="D8" s="560"/>
      <c r="E8" s="560"/>
      <c r="F8" s="570" t="s">
        <v>364</v>
      </c>
      <c r="G8" s="562" t="s">
        <v>104</v>
      </c>
      <c r="H8" s="562" t="s">
        <v>105</v>
      </c>
      <c r="I8" s="562" t="s">
        <v>106</v>
      </c>
      <c r="J8" s="562" t="s">
        <v>107</v>
      </c>
      <c r="K8" s="562" t="s">
        <v>108</v>
      </c>
      <c r="L8" s="562" t="s">
        <v>109</v>
      </c>
      <c r="M8" s="563" t="s">
        <v>110</v>
      </c>
      <c r="N8" s="618" t="s">
        <v>64</v>
      </c>
      <c r="P8" s="529"/>
      <c r="Q8" s="529" t="s">
        <v>377</v>
      </c>
      <c r="R8" s="529" t="s">
        <v>374</v>
      </c>
      <c r="S8" s="619" t="s">
        <v>378</v>
      </c>
      <c r="T8" s="620" t="s">
        <v>375</v>
      </c>
      <c r="U8" s="620" t="s">
        <v>376</v>
      </c>
      <c r="V8" s="621" t="s">
        <v>415</v>
      </c>
      <c r="X8" s="622" t="s">
        <v>379</v>
      </c>
      <c r="Y8" s="529" t="s">
        <v>375</v>
      </c>
      <c r="Z8" s="529" t="s">
        <v>389</v>
      </c>
      <c r="AA8" s="623" t="s">
        <v>390</v>
      </c>
    </row>
    <row r="9" spans="2:30" ht="6.75" customHeight="1" thickTop="1">
      <c r="B9" s="624"/>
      <c r="C9" s="531"/>
      <c r="D9" s="531"/>
      <c r="E9" s="531"/>
      <c r="F9" s="531"/>
      <c r="G9" s="532"/>
      <c r="H9" s="532"/>
      <c r="I9" s="532"/>
      <c r="J9" s="532"/>
      <c r="K9" s="532"/>
      <c r="L9" s="532"/>
      <c r="M9" s="550"/>
      <c r="N9" s="532"/>
      <c r="P9" s="532"/>
      <c r="Q9" s="532"/>
      <c r="R9" s="532"/>
      <c r="S9" s="625"/>
      <c r="T9" s="532"/>
      <c r="U9" s="532"/>
      <c r="V9" s="626"/>
      <c r="X9" s="627"/>
      <c r="Y9" s="532"/>
      <c r="Z9" s="532"/>
      <c r="AA9" s="628"/>
    </row>
    <row r="10" spans="2:30" s="422" customFormat="1" ht="43.9" customHeight="1" outlineLevel="1" thickBot="1">
      <c r="B10" s="629"/>
      <c r="C10" s="533"/>
      <c r="D10" s="533"/>
      <c r="E10" s="533"/>
      <c r="F10" s="533" t="s">
        <v>362</v>
      </c>
      <c r="G10" s="534">
        <f>+'Volume Local_Export'!G10+'Volume Local_Export'!P10</f>
        <v>6824.4000000000005</v>
      </c>
      <c r="H10" s="534">
        <f>+'Volume Local_Export'!H10+'Volume Local_Export'!Q10</f>
        <v>10236.6</v>
      </c>
      <c r="I10" s="534">
        <f>+'Volume Local_Export'!I10+'Volume Local_Export'!R10</f>
        <v>13648.800000000001</v>
      </c>
      <c r="J10" s="534">
        <f>+'Volume Local_Export'!J10+'Volume Local_Export'!S10</f>
        <v>17061</v>
      </c>
      <c r="K10" s="534">
        <f>+'Volume Local_Export'!K10+'Volume Local_Export'!T10</f>
        <v>20473.2</v>
      </c>
      <c r="L10" s="534">
        <f>+'Volume Local_Export'!L10+'Volume Local_Export'!U10</f>
        <v>23885.4</v>
      </c>
      <c r="M10" s="534">
        <f>+'Volume Local_Export'!M10+'Volume Local_Export'!V10</f>
        <v>27297.600000000002</v>
      </c>
      <c r="N10" s="532"/>
      <c r="P10" s="630"/>
      <c r="Q10" s="664">
        <v>0.75</v>
      </c>
      <c r="R10" s="665">
        <v>4.7</v>
      </c>
      <c r="S10" s="631">
        <f t="shared" ref="S10:V12" si="0">+$P10*$R10*S$18*(S$19*S$20)</f>
        <v>0</v>
      </c>
      <c r="T10" s="632">
        <f t="shared" si="0"/>
        <v>0</v>
      </c>
      <c r="U10" s="632">
        <f t="shared" si="0"/>
        <v>0</v>
      </c>
      <c r="V10" s="633">
        <f t="shared" si="0"/>
        <v>0</v>
      </c>
      <c r="X10" s="634">
        <f t="shared" ref="X10:AA12" si="1">+$Q10*$R10*X$18*(X$19*X$20)</f>
        <v>6824.4000000000005</v>
      </c>
      <c r="Y10" s="632">
        <f t="shared" si="1"/>
        <v>13648.800000000001</v>
      </c>
      <c r="Z10" s="632">
        <f t="shared" si="1"/>
        <v>20473.2</v>
      </c>
      <c r="AA10" s="632">
        <f t="shared" si="1"/>
        <v>27297.600000000002</v>
      </c>
      <c r="AB10" s="635"/>
      <c r="AC10" s="422">
        <f>+AA10*0.85</f>
        <v>23202.960000000003</v>
      </c>
      <c r="AD10" s="635">
        <f>+AA10-AC10</f>
        <v>4094.6399999999994</v>
      </c>
    </row>
    <row r="11" spans="2:30" s="422" customFormat="1" ht="43.9" customHeight="1" outlineLevel="1" thickTop="1" thickBot="1">
      <c r="B11" s="629"/>
      <c r="C11" s="533"/>
      <c r="D11" s="533"/>
      <c r="E11" s="533"/>
      <c r="F11" s="533" t="s">
        <v>103</v>
      </c>
      <c r="G11" s="534">
        <f ca="1">+'Volume Local_Export'!G11+'Volume Local_Export'!P11</f>
        <v>0</v>
      </c>
      <c r="H11" s="534">
        <f ca="1">+'Volume Local_Export'!H11+'Volume Local_Export'!Q11</f>
        <v>0</v>
      </c>
      <c r="I11" s="534">
        <f ca="1">+'Volume Local_Export'!I11+'Volume Local_Export'!R11</f>
        <v>77.440000000005966</v>
      </c>
      <c r="J11" s="534">
        <f ca="1">+'Volume Local_Export'!J11+'Volume Local_Export'!S11</f>
        <v>0</v>
      </c>
      <c r="K11" s="534">
        <f ca="1">+'Volume Local_Export'!K11+'Volume Local_Export'!T11</f>
        <v>116.15999999999985</v>
      </c>
      <c r="L11" s="534">
        <f ca="1">+'Volume Local_Export'!L11+'Volume Local_Export'!U11</f>
        <v>0</v>
      </c>
      <c r="M11" s="534">
        <f ca="1">+'Volume Local_Export'!M11+'Volume Local_Export'!V11</f>
        <v>154.88000000001193</v>
      </c>
      <c r="N11" s="532"/>
      <c r="P11" s="630"/>
      <c r="Q11" s="664">
        <v>0.65</v>
      </c>
      <c r="R11" s="665">
        <v>1.5010416666666668</v>
      </c>
      <c r="S11" s="631">
        <f t="shared" si="0"/>
        <v>0</v>
      </c>
      <c r="T11" s="632">
        <f t="shared" si="0"/>
        <v>0</v>
      </c>
      <c r="U11" s="632">
        <f t="shared" si="0"/>
        <v>0</v>
      </c>
      <c r="V11" s="633">
        <f t="shared" si="0"/>
        <v>0</v>
      </c>
      <c r="X11" s="634">
        <f t="shared" si="1"/>
        <v>1888.9108333333336</v>
      </c>
      <c r="Y11" s="632">
        <f t="shared" si="1"/>
        <v>3777.8216666666672</v>
      </c>
      <c r="Z11" s="632">
        <f t="shared" si="1"/>
        <v>5666.732500000001</v>
      </c>
      <c r="AA11" s="636">
        <f t="shared" si="1"/>
        <v>7555.6433333333343</v>
      </c>
      <c r="AB11" s="635"/>
    </row>
    <row r="12" spans="2:30" s="422" customFormat="1" ht="43.9" customHeight="1" outlineLevel="1" thickTop="1" thickBot="1">
      <c r="B12" s="629"/>
      <c r="C12" s="533"/>
      <c r="D12" s="533"/>
      <c r="E12" s="533"/>
      <c r="F12" s="533" t="s">
        <v>478</v>
      </c>
      <c r="G12" s="534">
        <f>+'Volume Local_Export'!G12+'Volume Local_Export'!P12</f>
        <v>3146</v>
      </c>
      <c r="H12" s="534">
        <f>+'Volume Local_Export'!H12+'Volume Local_Export'!Q12</f>
        <v>4719</v>
      </c>
      <c r="I12" s="534">
        <f>+'Volume Local_Export'!I12+'Volume Local_Export'!R12</f>
        <v>6292</v>
      </c>
      <c r="J12" s="534">
        <f>+'Volume Local_Export'!J12+'Volume Local_Export'!S12</f>
        <v>7865</v>
      </c>
      <c r="K12" s="534">
        <f>+'Volume Local_Export'!K12+'Volume Local_Export'!T12</f>
        <v>9438</v>
      </c>
      <c r="L12" s="534">
        <f>+'Volume Local_Export'!L12+'Volume Local_Export'!U12</f>
        <v>11011</v>
      </c>
      <c r="M12" s="534">
        <f>+'Volume Local_Export'!M12+'Volume Local_Export'!V12</f>
        <v>12584</v>
      </c>
      <c r="N12" s="532"/>
      <c r="P12" s="630"/>
      <c r="Q12" s="664">
        <v>0.65</v>
      </c>
      <c r="R12" s="665">
        <v>2.5</v>
      </c>
      <c r="S12" s="631">
        <f t="shared" si="0"/>
        <v>0</v>
      </c>
      <c r="T12" s="632">
        <f t="shared" si="0"/>
        <v>0</v>
      </c>
      <c r="U12" s="632">
        <f t="shared" si="0"/>
        <v>0</v>
      </c>
      <c r="V12" s="633">
        <f t="shared" si="0"/>
        <v>0</v>
      </c>
      <c r="X12" s="634">
        <f t="shared" si="1"/>
        <v>3146</v>
      </c>
      <c r="Y12" s="632">
        <f t="shared" si="1"/>
        <v>6292</v>
      </c>
      <c r="Z12" s="632">
        <f t="shared" si="1"/>
        <v>9438</v>
      </c>
      <c r="AA12" s="636">
        <f t="shared" si="1"/>
        <v>12584</v>
      </c>
      <c r="AB12" s="635"/>
    </row>
    <row r="13" spans="2:30" s="422" customFormat="1" ht="43.9" customHeight="1" outlineLevel="1" thickTop="1" thickBot="1">
      <c r="B13" s="629"/>
      <c r="C13" s="533"/>
      <c r="D13" s="533"/>
      <c r="E13" s="533"/>
      <c r="F13" s="533" t="s">
        <v>307</v>
      </c>
      <c r="G13" s="534">
        <f ca="1">+'Volume Local_Export'!G13+'Volume Local_Export'!P13</f>
        <v>0</v>
      </c>
      <c r="H13" s="534">
        <f ca="1">+'Volume Local_Export'!H13+'Volume Local_Export'!Q13</f>
        <v>0</v>
      </c>
      <c r="I13" s="534">
        <f ca="1">+'Volume Local_Export'!I13+'Volume Local_Export'!R13</f>
        <v>0</v>
      </c>
      <c r="J13" s="534">
        <f ca="1">+'Volume Local_Export'!J13+'Volume Local_Export'!S13</f>
        <v>0</v>
      </c>
      <c r="K13" s="534">
        <f ca="1">+'Volume Local_Export'!K13+'Volume Local_Export'!T13</f>
        <v>0</v>
      </c>
      <c r="L13" s="534">
        <f ca="1">+'Volume Local_Export'!L13+'Volume Local_Export'!U13</f>
        <v>0</v>
      </c>
      <c r="M13" s="534">
        <f ca="1">+'Volume Local_Export'!M13+'Volume Local_Export'!V13</f>
        <v>0</v>
      </c>
      <c r="N13" s="532"/>
      <c r="P13" s="630"/>
      <c r="Q13" s="664"/>
      <c r="R13" s="665"/>
      <c r="S13" s="631"/>
      <c r="T13" s="632"/>
      <c r="U13" s="632"/>
      <c r="V13" s="633"/>
      <c r="X13" s="634"/>
      <c r="Y13" s="632"/>
      <c r="Z13" s="632"/>
      <c r="AA13" s="636"/>
      <c r="AB13" s="635"/>
    </row>
    <row r="14" spans="2:30" s="422" customFormat="1" ht="43.9" customHeight="1" outlineLevel="1" thickTop="1" thickBot="1">
      <c r="B14" s="629"/>
      <c r="C14" s="533"/>
      <c r="D14" s="533"/>
      <c r="E14" s="533"/>
      <c r="F14" s="533" t="s">
        <v>112</v>
      </c>
      <c r="G14" s="534">
        <f ca="1">+'Volume Local_Export'!G14+'Volume Local_Export'!P14</f>
        <v>6195.9560000000001</v>
      </c>
      <c r="H14" s="534">
        <f ca="1">+'Volume Local_Export'!H14+'Volume Local_Export'!Q14</f>
        <v>9293.9340000000011</v>
      </c>
      <c r="I14" s="534">
        <f ca="1">+'Volume Local_Export'!I14+'Volume Local_Export'!R14</f>
        <v>12390.400000000001</v>
      </c>
      <c r="J14" s="534">
        <f ca="1">+'Volume Local_Export'!J14+'Volume Local_Export'!S14</f>
        <v>15489.890000000001</v>
      </c>
      <c r="K14" s="534">
        <f ca="1">+'Volume Local_Export'!K14+'Volume Local_Export'!T14</f>
        <v>18585.600000000002</v>
      </c>
      <c r="L14" s="534">
        <f ca="1">+'Volume Local_Export'!L14+'Volume Local_Export'!U14</f>
        <v>21685.846000000001</v>
      </c>
      <c r="M14" s="534">
        <f ca="1">+'Volume Local_Export'!M14+'Volume Local_Export'!V14</f>
        <v>24780.800000000003</v>
      </c>
      <c r="N14" s="532"/>
      <c r="P14" s="630"/>
      <c r="Q14" s="664">
        <v>0.88</v>
      </c>
      <c r="R14" s="666">
        <v>4</v>
      </c>
      <c r="S14" s="631">
        <f>+$P14*$R14*S$18*(S$19*S$20)</f>
        <v>0</v>
      </c>
      <c r="T14" s="632">
        <f>+$P14*$R14*T$18*(T$19*T$20)</f>
        <v>0</v>
      </c>
      <c r="U14" s="632">
        <f>+$P14*$R14*U$18*(U$19*U$20)</f>
        <v>0</v>
      </c>
      <c r="V14" s="633">
        <f>+$P14*$R14*V$18*(V$19*V$20)</f>
        <v>0</v>
      </c>
      <c r="X14" s="634">
        <f>+$Q14*$R14*X$18*(X$19*X$20)</f>
        <v>6814.72</v>
      </c>
      <c r="Y14" s="632">
        <f>+$Q14*$R14*Y$18*(Y$19*Y$20)</f>
        <v>13629.44</v>
      </c>
      <c r="Z14" s="632">
        <f>+$Q14*$R14*Z$18*(Z$19*Z$20)</f>
        <v>20444.16</v>
      </c>
      <c r="AA14" s="636">
        <f>+$Q14*$R14*AA$18*(AA$19*AA$20)</f>
        <v>27258.880000000001</v>
      </c>
      <c r="AB14" s="635"/>
    </row>
    <row r="15" spans="2:30" ht="29" outlineLevel="1" thickTop="1">
      <c r="B15" s="624"/>
      <c r="C15" s="531"/>
      <c r="D15" s="531"/>
      <c r="E15" s="531"/>
      <c r="F15" s="531"/>
      <c r="G15" s="532"/>
      <c r="H15" s="532"/>
      <c r="I15" s="532"/>
      <c r="J15" s="532"/>
      <c r="K15" s="532"/>
      <c r="L15" s="532"/>
      <c r="M15" s="550"/>
      <c r="N15" s="532"/>
      <c r="S15" s="637"/>
      <c r="T15" s="548"/>
      <c r="U15" s="548"/>
      <c r="V15" s="638"/>
    </row>
    <row r="16" spans="2:30" s="421" customFormat="1" ht="52.15" customHeight="1" outlineLevel="1" thickBot="1">
      <c r="B16" s="566"/>
      <c r="C16" s="567"/>
      <c r="D16" s="567"/>
      <c r="E16" s="567"/>
      <c r="F16" s="567" t="s">
        <v>175</v>
      </c>
      <c r="G16" s="568">
        <f ca="1">SUM(G10:G12)+G14</f>
        <v>17357.315999999999</v>
      </c>
      <c r="H16" s="568">
        <f t="shared" ref="H16:M16" ca="1" si="2">SUM(H10:H12)+H14</f>
        <v>26035.974000000002</v>
      </c>
      <c r="I16" s="568">
        <f t="shared" ca="1" si="2"/>
        <v>34770.560000000012</v>
      </c>
      <c r="J16" s="568">
        <f t="shared" ca="1" si="2"/>
        <v>43393.29</v>
      </c>
      <c r="K16" s="568">
        <f t="shared" ca="1" si="2"/>
        <v>52155.840000000011</v>
      </c>
      <c r="L16" s="568">
        <f t="shared" ca="1" si="2"/>
        <v>60750.606</v>
      </c>
      <c r="M16" s="568">
        <f t="shared" ca="1" si="2"/>
        <v>69541.120000000024</v>
      </c>
      <c r="N16" s="532"/>
      <c r="P16" s="639"/>
      <c r="Q16" s="639"/>
      <c r="R16" s="640" t="s">
        <v>383</v>
      </c>
      <c r="S16" s="641">
        <f>SUM(S10:S14)</f>
        <v>0</v>
      </c>
      <c r="T16" s="642">
        <f>SUM(T10:T14)</f>
        <v>0</v>
      </c>
      <c r="U16" s="642">
        <f>SUM(U10:U14)</f>
        <v>0</v>
      </c>
      <c r="V16" s="643">
        <f>SUM(V10:V14)</f>
        <v>0</v>
      </c>
      <c r="W16" s="422"/>
      <c r="X16" s="644">
        <f>SUM(X10:X14)</f>
        <v>18674.030833333334</v>
      </c>
      <c r="Y16" s="645">
        <f>SUM(Y10:Y14)</f>
        <v>37348.061666666668</v>
      </c>
      <c r="Z16" s="645">
        <f t="shared" ref="Z16:AA16" si="3">SUM(Z10:Z14)</f>
        <v>56022.092499999999</v>
      </c>
      <c r="AA16" s="646">
        <f t="shared" si="3"/>
        <v>74696.123333333337</v>
      </c>
    </row>
    <row r="17" spans="2:27">
      <c r="B17" s="531"/>
      <c r="C17" s="531"/>
      <c r="D17" s="531"/>
      <c r="E17" s="531"/>
      <c r="F17" s="531"/>
      <c r="G17" s="532"/>
      <c r="H17" s="532"/>
      <c r="I17" s="532"/>
      <c r="J17" s="532"/>
      <c r="K17" s="532"/>
      <c r="L17" s="532"/>
      <c r="M17" s="532"/>
      <c r="N17" s="532"/>
    </row>
    <row r="18" spans="2:27" ht="29" thickBot="1">
      <c r="G18" s="423"/>
      <c r="H18" s="423"/>
      <c r="I18" s="423"/>
      <c r="J18" s="423"/>
      <c r="K18" s="538"/>
      <c r="L18" s="538"/>
      <c r="M18" s="538"/>
      <c r="N18" s="423"/>
      <c r="P18" s="421"/>
      <c r="Q18" s="421"/>
      <c r="R18" s="421" t="s">
        <v>380</v>
      </c>
      <c r="S18" s="421">
        <v>8</v>
      </c>
      <c r="T18" s="421">
        <v>16</v>
      </c>
      <c r="U18" s="421">
        <v>24</v>
      </c>
      <c r="V18" s="421">
        <v>32</v>
      </c>
      <c r="W18" s="421"/>
      <c r="X18" s="421">
        <v>8</v>
      </c>
      <c r="Y18" s="421">
        <v>16</v>
      </c>
      <c r="Z18" s="421">
        <v>24</v>
      </c>
      <c r="AA18" s="421">
        <v>32</v>
      </c>
    </row>
    <row r="19" spans="2:27" s="424" customFormat="1" ht="42.65" customHeight="1" thickBot="1">
      <c r="B19" s="559"/>
      <c r="C19" s="560"/>
      <c r="D19" s="560"/>
      <c r="E19" s="560"/>
      <c r="F19" s="570" t="s">
        <v>365</v>
      </c>
      <c r="G19" s="562" t="s">
        <v>104</v>
      </c>
      <c r="H19" s="562" t="s">
        <v>105</v>
      </c>
      <c r="I19" s="562" t="s">
        <v>106</v>
      </c>
      <c r="J19" s="562" t="s">
        <v>107</v>
      </c>
      <c r="K19" s="562" t="s">
        <v>108</v>
      </c>
      <c r="L19" s="562" t="s">
        <v>109</v>
      </c>
      <c r="M19" s="563" t="s">
        <v>110</v>
      </c>
      <c r="N19" s="618" t="s">
        <v>64</v>
      </c>
      <c r="P19" s="418"/>
      <c r="Q19" s="418"/>
      <c r="R19" s="421" t="s">
        <v>381</v>
      </c>
      <c r="S19" s="421">
        <v>22</v>
      </c>
      <c r="T19" s="421">
        <v>22</v>
      </c>
      <c r="U19" s="421">
        <v>22</v>
      </c>
      <c r="V19" s="421">
        <v>22</v>
      </c>
      <c r="W19" s="421"/>
      <c r="X19" s="421">
        <v>22</v>
      </c>
      <c r="Y19" s="421">
        <v>22</v>
      </c>
      <c r="Z19" s="421">
        <v>22</v>
      </c>
      <c r="AA19" s="421">
        <v>22</v>
      </c>
    </row>
    <row r="20" spans="2:27" ht="29" thickTop="1">
      <c r="B20" s="547"/>
      <c r="C20" s="548"/>
      <c r="D20" s="531"/>
      <c r="E20" s="531"/>
      <c r="F20" s="531"/>
      <c r="G20" s="532"/>
      <c r="H20" s="532"/>
      <c r="I20" s="532"/>
      <c r="J20" s="532"/>
      <c r="K20" s="532"/>
      <c r="L20" s="532"/>
      <c r="M20" s="550"/>
      <c r="N20" s="532"/>
      <c r="R20" s="420" t="s">
        <v>382</v>
      </c>
      <c r="S20" s="420">
        <v>11</v>
      </c>
      <c r="T20" s="420">
        <v>11</v>
      </c>
      <c r="U20" s="420">
        <v>11</v>
      </c>
      <c r="V20" s="420">
        <v>11</v>
      </c>
      <c r="W20" s="420"/>
      <c r="X20" s="420">
        <v>11</v>
      </c>
      <c r="Y20" s="420">
        <v>11</v>
      </c>
      <c r="Z20" s="420">
        <v>11</v>
      </c>
      <c r="AA20" s="420">
        <v>11</v>
      </c>
    </row>
    <row r="21" spans="2:27" s="422" customFormat="1" ht="33" customHeight="1" outlineLevel="1" thickBot="1">
      <c r="B21" s="551"/>
      <c r="C21" s="539"/>
      <c r="D21" s="539"/>
      <c r="E21" s="539"/>
      <c r="F21" s="539" t="s">
        <v>362</v>
      </c>
      <c r="G21" s="540" t="e">
        <f>+#REF!</f>
        <v>#REF!</v>
      </c>
      <c r="H21" s="540" t="e">
        <f>+#REF!</f>
        <v>#REF!</v>
      </c>
      <c r="I21" s="540" t="e">
        <f>+#REF!</f>
        <v>#REF!</v>
      </c>
      <c r="J21" s="540" t="e">
        <f>+#REF!</f>
        <v>#REF!</v>
      </c>
      <c r="K21" s="540" t="e">
        <f>+#REF!</f>
        <v>#REF!</v>
      </c>
      <c r="L21" s="540" t="e">
        <f>+#REF!</f>
        <v>#REF!</v>
      </c>
      <c r="M21" s="572" t="e">
        <f>+#REF!</f>
        <v>#REF!</v>
      </c>
      <c r="N21" s="541"/>
    </row>
    <row r="22" spans="2:27" s="422" customFormat="1" ht="33" customHeight="1" outlineLevel="1" thickTop="1" thickBot="1">
      <c r="B22" s="551"/>
      <c r="C22" s="539"/>
      <c r="D22" s="539"/>
      <c r="E22" s="539"/>
      <c r="F22" s="539" t="s">
        <v>103</v>
      </c>
      <c r="G22" s="540" t="e">
        <f>+#REF!</f>
        <v>#REF!</v>
      </c>
      <c r="H22" s="540" t="e">
        <f>+#REF!</f>
        <v>#REF!</v>
      </c>
      <c r="I22" s="540" t="e">
        <f>+#REF!</f>
        <v>#REF!</v>
      </c>
      <c r="J22" s="540" t="e">
        <f>+#REF!</f>
        <v>#REF!</v>
      </c>
      <c r="K22" s="540" t="e">
        <f>+#REF!</f>
        <v>#REF!</v>
      </c>
      <c r="L22" s="540" t="e">
        <f>+#REF!</f>
        <v>#REF!</v>
      </c>
      <c r="M22" s="572" t="e">
        <f>+#REF!</f>
        <v>#REF!</v>
      </c>
      <c r="N22" s="532"/>
    </row>
    <row r="23" spans="2:27" s="422" customFormat="1" ht="33" customHeight="1" outlineLevel="1" thickTop="1" thickBot="1">
      <c r="B23" s="551"/>
      <c r="C23" s="539"/>
      <c r="D23" s="539"/>
      <c r="E23" s="539"/>
      <c r="F23" s="539" t="s">
        <v>478</v>
      </c>
      <c r="G23" s="540"/>
      <c r="H23" s="540"/>
      <c r="I23" s="540"/>
      <c r="J23" s="540"/>
      <c r="K23" s="540"/>
      <c r="L23" s="540"/>
      <c r="M23" s="572"/>
      <c r="N23" s="532"/>
    </row>
    <row r="24" spans="2:27" s="422" customFormat="1" ht="33" customHeight="1" outlineLevel="1" thickTop="1" thickBot="1">
      <c r="B24" s="551"/>
      <c r="C24" s="539"/>
      <c r="D24" s="539"/>
      <c r="E24" s="539"/>
      <c r="F24" s="539" t="s">
        <v>366</v>
      </c>
      <c r="G24" s="540" t="e">
        <f>+#REF!</f>
        <v>#REF!</v>
      </c>
      <c r="H24" s="540" t="e">
        <f>+#REF!</f>
        <v>#REF!</v>
      </c>
      <c r="I24" s="540" t="e">
        <f>+#REF!</f>
        <v>#REF!</v>
      </c>
      <c r="J24" s="540" t="e">
        <f>+#REF!</f>
        <v>#REF!</v>
      </c>
      <c r="K24" s="540" t="e">
        <f>+#REF!</f>
        <v>#REF!</v>
      </c>
      <c r="L24" s="540" t="e">
        <f>+#REF!</f>
        <v>#REF!</v>
      </c>
      <c r="M24" s="572" t="e">
        <f>+#REF!</f>
        <v>#REF!</v>
      </c>
      <c r="N24" s="532"/>
      <c r="S24" s="663"/>
    </row>
    <row r="25" spans="2:27" s="422" customFormat="1" ht="33" customHeight="1" outlineLevel="1" thickTop="1" thickBot="1">
      <c r="B25" s="551"/>
      <c r="C25" s="539"/>
      <c r="D25" s="539"/>
      <c r="E25" s="539"/>
      <c r="F25" s="539" t="s">
        <v>367</v>
      </c>
      <c r="G25" s="540" t="e">
        <f>+#REF!</f>
        <v>#REF!</v>
      </c>
      <c r="H25" s="540" t="e">
        <f>+#REF!</f>
        <v>#REF!</v>
      </c>
      <c r="I25" s="540" t="e">
        <f>+#REF!</f>
        <v>#REF!</v>
      </c>
      <c r="J25" s="540" t="e">
        <f>+#REF!</f>
        <v>#REF!</v>
      </c>
      <c r="K25" s="540" t="e">
        <f>+#REF!</f>
        <v>#REF!</v>
      </c>
      <c r="L25" s="540" t="e">
        <f>+#REF!</f>
        <v>#REF!</v>
      </c>
      <c r="M25" s="572" t="e">
        <f>+#REF!</f>
        <v>#REF!</v>
      </c>
      <c r="N25" s="532"/>
    </row>
    <row r="26" spans="2:27" ht="29" thickTop="1">
      <c r="B26" s="547"/>
      <c r="C26" s="548"/>
      <c r="D26" s="531"/>
      <c r="E26" s="531"/>
      <c r="F26" s="531"/>
      <c r="G26" s="532"/>
      <c r="H26" s="532"/>
      <c r="I26" s="532"/>
      <c r="J26" s="532"/>
      <c r="K26" s="532"/>
      <c r="L26" s="532"/>
      <c r="M26" s="550"/>
      <c r="N26" s="532"/>
    </row>
    <row r="27" spans="2:27" s="421" customFormat="1" ht="23.5" customHeight="1" outlineLevel="1" thickBot="1">
      <c r="B27" s="566"/>
      <c r="C27" s="567"/>
      <c r="D27" s="567"/>
      <c r="E27" s="567"/>
      <c r="F27" s="567" t="s">
        <v>175</v>
      </c>
      <c r="G27" s="568"/>
      <c r="H27" s="568"/>
      <c r="I27" s="568"/>
      <c r="J27" s="568"/>
      <c r="K27" s="568"/>
      <c r="L27" s="568"/>
      <c r="M27" s="569"/>
      <c r="N27" s="532"/>
    </row>
    <row r="29" spans="2:27" s="545" customFormat="1" ht="29" thickBot="1">
      <c r="D29" s="522"/>
      <c r="E29" s="522"/>
      <c r="F29" s="523"/>
      <c r="G29" s="524"/>
      <c r="H29" s="524"/>
      <c r="I29" s="524"/>
      <c r="J29" s="524"/>
      <c r="K29" s="526"/>
      <c r="L29" s="526"/>
      <c r="M29" s="526"/>
      <c r="N29" s="524"/>
    </row>
    <row r="30" spans="2:27" s="424" customFormat="1" ht="42.65" customHeight="1" thickBot="1">
      <c r="B30" s="559"/>
      <c r="C30" s="560"/>
      <c r="D30" s="560"/>
      <c r="E30" s="560"/>
      <c r="F30" s="570" t="s">
        <v>99</v>
      </c>
      <c r="G30" s="562" t="s">
        <v>104</v>
      </c>
      <c r="H30" s="562" t="s">
        <v>105</v>
      </c>
      <c r="I30" s="562" t="s">
        <v>106</v>
      </c>
      <c r="J30" s="562" t="s">
        <v>107</v>
      </c>
      <c r="K30" s="562" t="s">
        <v>108</v>
      </c>
      <c r="L30" s="562" t="s">
        <v>109</v>
      </c>
      <c r="M30" s="563" t="s">
        <v>110</v>
      </c>
      <c r="N30" s="618" t="s">
        <v>64</v>
      </c>
    </row>
    <row r="31" spans="2:27" ht="29" thickTop="1">
      <c r="B31" s="547"/>
      <c r="C31" s="548"/>
      <c r="D31" s="531"/>
      <c r="E31" s="531"/>
      <c r="F31" s="531"/>
      <c r="G31" s="532"/>
      <c r="H31" s="532"/>
      <c r="I31" s="532"/>
      <c r="J31" s="532"/>
      <c r="K31" s="532"/>
      <c r="L31" s="532"/>
      <c r="M31" s="550"/>
      <c r="N31" s="532"/>
    </row>
    <row r="32" spans="2:27" s="422" customFormat="1" ht="42.65" customHeight="1" outlineLevel="1" thickBot="1">
      <c r="B32" s="647"/>
      <c r="C32" s="539"/>
      <c r="D32" s="539"/>
      <c r="E32" s="539"/>
      <c r="F32" s="539" t="s">
        <v>362</v>
      </c>
      <c r="G32" s="540">
        <f>+'Volume Local_Export'!G32+'Volume Local_Export'!P32</f>
        <v>17197488</v>
      </c>
      <c r="H32" s="540">
        <f>+'Volume Local_Export'!H32+'Volume Local_Export'!Q32</f>
        <v>25796232</v>
      </c>
      <c r="I32" s="540">
        <f>+'Volume Local_Export'!I32+'Volume Local_Export'!R32</f>
        <v>34394976</v>
      </c>
      <c r="J32" s="540">
        <f>+'Volume Local_Export'!J32+'Volume Local_Export'!S32</f>
        <v>42993720</v>
      </c>
      <c r="K32" s="540">
        <f>+'Volume Local_Export'!K32+'Volume Local_Export'!T32</f>
        <v>51592464</v>
      </c>
      <c r="L32" s="540">
        <f>+'Volume Local_Export'!L32+'Volume Local_Export'!U32</f>
        <v>60191208</v>
      </c>
      <c r="M32" s="572">
        <f>+'Volume Local_Export'!M32+'Volume Local_Export'!V32</f>
        <v>68789952</v>
      </c>
      <c r="N32" s="532"/>
    </row>
    <row r="33" spans="2:14" s="422" customFormat="1" ht="42.65" customHeight="1" outlineLevel="1" thickTop="1" thickBot="1">
      <c r="B33" s="647"/>
      <c r="C33" s="539"/>
      <c r="D33" s="539"/>
      <c r="E33" s="539"/>
      <c r="F33" s="539" t="s">
        <v>103</v>
      </c>
      <c r="G33" s="540">
        <f ca="1">+'Volume Local_Export'!G33+'Volume Local_Export'!P33</f>
        <v>0</v>
      </c>
      <c r="H33" s="540">
        <f ca="1">+'Volume Local_Export'!H33+'Volume Local_Export'!Q33</f>
        <v>0</v>
      </c>
      <c r="I33" s="540">
        <f ca="1">+'Volume Local_Export'!I33+'Volume Local_Export'!R33</f>
        <v>186127.04000001436</v>
      </c>
      <c r="J33" s="540">
        <f ca="1">+'Volume Local_Export'!J33+'Volume Local_Export'!S33</f>
        <v>0</v>
      </c>
      <c r="K33" s="540">
        <f ca="1">+'Volume Local_Export'!K33+'Volume Local_Export'!T33</f>
        <v>279190.55999999965</v>
      </c>
      <c r="L33" s="540">
        <f ca="1">+'Volume Local_Export'!L33+'Volume Local_Export'!U33</f>
        <v>0</v>
      </c>
      <c r="M33" s="572">
        <f ca="1">+'Volume Local_Export'!M33+'Volume Local_Export'!V33</f>
        <v>372254.08000002871</v>
      </c>
      <c r="N33" s="532"/>
    </row>
    <row r="34" spans="2:14" s="422" customFormat="1" ht="42.65" customHeight="1" outlineLevel="1" thickTop="1" thickBot="1">
      <c r="B34" s="647"/>
      <c r="C34" s="539"/>
      <c r="D34" s="539"/>
      <c r="E34" s="539"/>
      <c r="F34" s="539" t="s">
        <v>478</v>
      </c>
      <c r="G34" s="540">
        <f>+'Volume Local_Export'!G34+'Volume Local_Export'!P34</f>
        <v>7813091</v>
      </c>
      <c r="H34" s="540">
        <f>+'Volume Local_Export'!H34+'Volume Local_Export'!Q34</f>
        <v>11719636.5</v>
      </c>
      <c r="I34" s="540">
        <f>+'Volume Local_Export'!I34+'Volume Local_Export'!R34</f>
        <v>15626182</v>
      </c>
      <c r="J34" s="540">
        <f>+'Volume Local_Export'!J34+'Volume Local_Export'!S34</f>
        <v>19532727.5</v>
      </c>
      <c r="K34" s="540">
        <f>+'Volume Local_Export'!K34+'Volume Local_Export'!T34</f>
        <v>23439273</v>
      </c>
      <c r="L34" s="540">
        <f>+'Volume Local_Export'!L34+'Volume Local_Export'!U34</f>
        <v>27345818.5</v>
      </c>
      <c r="M34" s="572">
        <f>+'Volume Local_Export'!M34+'Volume Local_Export'!V34</f>
        <v>31252364</v>
      </c>
      <c r="N34" s="532"/>
    </row>
    <row r="35" spans="2:14" s="422" customFormat="1" ht="42.65" customHeight="1" outlineLevel="1" thickTop="1" thickBot="1">
      <c r="B35" s="647"/>
      <c r="C35" s="539"/>
      <c r="D35" s="539"/>
      <c r="E35" s="539"/>
      <c r="F35" s="539" t="s">
        <v>363</v>
      </c>
      <c r="G35" s="540">
        <f ca="1">+'Volume Local_Export'!G35+'Volume Local_Export'!P35</f>
        <v>0</v>
      </c>
      <c r="H35" s="540">
        <f ca="1">+'Volume Local_Export'!H35+'Volume Local_Export'!Q35</f>
        <v>0</v>
      </c>
      <c r="I35" s="540">
        <f ca="1">+'Volume Local_Export'!I35+'Volume Local_Export'!R35</f>
        <v>0</v>
      </c>
      <c r="J35" s="540">
        <f ca="1">+'Volume Local_Export'!J35+'Volume Local_Export'!S35</f>
        <v>0</v>
      </c>
      <c r="K35" s="540">
        <f ca="1">+'Volume Local_Export'!K35+'Volume Local_Export'!T35</f>
        <v>0</v>
      </c>
      <c r="L35" s="540">
        <f ca="1">+'Volume Local_Export'!L35+'Volume Local_Export'!U35</f>
        <v>0</v>
      </c>
      <c r="M35" s="572">
        <f ca="1">+'Volume Local_Export'!M35+'Volume Local_Export'!V35</f>
        <v>0</v>
      </c>
      <c r="N35" s="532"/>
    </row>
    <row r="36" spans="2:14" s="422" customFormat="1" ht="42.65" customHeight="1" outlineLevel="1" thickTop="1" thickBot="1">
      <c r="B36" s="647"/>
      <c r="C36" s="539"/>
      <c r="D36" s="539"/>
      <c r="E36" s="539"/>
      <c r="F36" s="539" t="s">
        <v>112</v>
      </c>
      <c r="G36" s="540">
        <f ca="1">+'Volume Local_Export'!G36+'Volume Local_Export'!P36</f>
        <v>12420731.192213872</v>
      </c>
      <c r="H36" s="540">
        <f ca="1">+'Volume Local_Export'!H36+'Volume Local_Export'!Q36</f>
        <v>18188977.045024008</v>
      </c>
      <c r="I36" s="540">
        <f ca="1">+'Volume Local_Export'!I36+'Volume Local_Export'!R36</f>
        <v>23939013.958699659</v>
      </c>
      <c r="J36" s="540">
        <f ca="1">+'Volume Local_Export'!J36+'Volume Local_Export'!S36</f>
        <v>29808596.562848423</v>
      </c>
      <c r="K36" s="540">
        <f ca="1">+'Volume Local_Export'!K36+'Volume Local_Export'!T36</f>
        <v>35557155.704410605</v>
      </c>
      <c r="L36" s="540">
        <f ca="1">+'Volume Local_Export'!L36+'Volume Local_Export'!U36</f>
        <v>41428216.080672823</v>
      </c>
      <c r="M36" s="572">
        <f ca="1">+'Volume Local_Export'!M36+'Volume Local_Export'!V36</f>
        <v>47175297.450121552</v>
      </c>
      <c r="N36" s="532"/>
    </row>
    <row r="37" spans="2:14" ht="29" thickTop="1">
      <c r="B37" s="547"/>
      <c r="C37" s="548"/>
      <c r="D37" s="531"/>
      <c r="E37" s="531"/>
      <c r="F37" s="531"/>
      <c r="G37" s="532"/>
      <c r="H37" s="532"/>
      <c r="I37" s="532"/>
      <c r="J37" s="532"/>
      <c r="K37" s="532"/>
      <c r="L37" s="532"/>
      <c r="M37" s="550"/>
      <c r="N37" s="532"/>
    </row>
    <row r="38" spans="2:14" s="421" customFormat="1" ht="42.65" customHeight="1" outlineLevel="1" thickBot="1">
      <c r="B38" s="566"/>
      <c r="C38" s="567"/>
      <c r="D38" s="567"/>
      <c r="E38" s="567"/>
      <c r="F38" s="567" t="s">
        <v>396</v>
      </c>
      <c r="G38" s="568">
        <f ca="1">SUM(G32:G35)</f>
        <v>27985299.200000003</v>
      </c>
      <c r="H38" s="568">
        <f t="shared" ref="H38:M38" ca="1" si="4">SUM(H32:H35)</f>
        <v>41977948.799999997</v>
      </c>
      <c r="I38" s="568">
        <f t="shared" ca="1" si="4"/>
        <v>56106325.44000002</v>
      </c>
      <c r="J38" s="568">
        <f t="shared" ca="1" si="4"/>
        <v>69963248</v>
      </c>
      <c r="K38" s="568">
        <f t="shared" ca="1" si="4"/>
        <v>84159488.159999996</v>
      </c>
      <c r="L38" s="568">
        <f t="shared" ca="1" si="4"/>
        <v>97948547.200000018</v>
      </c>
      <c r="M38" s="569">
        <f t="shared" ca="1" si="4"/>
        <v>112212650.88000004</v>
      </c>
      <c r="N38" s="532"/>
    </row>
    <row r="39" spans="2:14" ht="29" thickBot="1">
      <c r="F39" s="681" t="s">
        <v>494</v>
      </c>
      <c r="G39" s="414">
        <f ca="1">+G14*G25</f>
        <v>12391912</v>
      </c>
      <c r="H39" s="414">
        <f t="shared" ref="H39:M39" ca="1" si="5">+H14*H25</f>
        <v>18587868.000000004</v>
      </c>
      <c r="I39" s="414">
        <f t="shared" ca="1" si="5"/>
        <v>24780800.000000004</v>
      </c>
      <c r="J39" s="414">
        <f t="shared" ca="1" si="5"/>
        <v>30979780.000000004</v>
      </c>
      <c r="K39" s="414">
        <f t="shared" ca="1" si="5"/>
        <v>37171200.000000007</v>
      </c>
      <c r="L39" s="414">
        <f t="shared" ca="1" si="5"/>
        <v>43371692</v>
      </c>
      <c r="M39" s="414">
        <f t="shared" ca="1" si="5"/>
        <v>49561600.000000007</v>
      </c>
    </row>
    <row r="40" spans="2:14" ht="29" thickBot="1">
      <c r="B40" s="559"/>
      <c r="C40" s="560"/>
      <c r="D40" s="560"/>
      <c r="E40" s="560"/>
      <c r="F40" s="570" t="s">
        <v>386</v>
      </c>
      <c r="G40" s="562" t="s">
        <v>104</v>
      </c>
      <c r="H40" s="562" t="s">
        <v>105</v>
      </c>
      <c r="I40" s="562" t="s">
        <v>106</v>
      </c>
      <c r="J40" s="562" t="s">
        <v>107</v>
      </c>
      <c r="K40" s="562" t="s">
        <v>108</v>
      </c>
      <c r="L40" s="562" t="s">
        <v>109</v>
      </c>
      <c r="M40" s="563" t="s">
        <v>110</v>
      </c>
    </row>
    <row r="41" spans="2:14" ht="29" thickTop="1">
      <c r="B41" s="547"/>
      <c r="C41" s="548"/>
      <c r="D41" s="531"/>
      <c r="E41" s="531"/>
      <c r="F41" s="531"/>
      <c r="G41" s="532"/>
      <c r="H41" s="532"/>
      <c r="I41" s="532"/>
      <c r="J41" s="532"/>
      <c r="K41" s="532"/>
      <c r="L41" s="532"/>
      <c r="M41" s="550"/>
    </row>
    <row r="42" spans="2:14" ht="22.15" customHeight="1" thickBot="1">
      <c r="B42" s="551"/>
      <c r="C42" s="539"/>
      <c r="D42" s="539"/>
      <c r="E42" s="539"/>
      <c r="F42" s="539" t="s">
        <v>362</v>
      </c>
      <c r="G42" s="552">
        <f ca="1">+G10/G$47</f>
        <v>0.4199589383519895</v>
      </c>
      <c r="H42" s="552">
        <f t="shared" ref="H42:M42" ca="1" si="6">+H10/H$47</f>
        <v>0.41995893835198944</v>
      </c>
      <c r="I42" s="552">
        <f t="shared" ca="1" si="6"/>
        <v>0.41870824053452105</v>
      </c>
      <c r="J42" s="552">
        <f t="shared" ca="1" si="6"/>
        <v>0.41995893835198944</v>
      </c>
      <c r="K42" s="552">
        <f t="shared" ca="1" si="6"/>
        <v>0.4187082405345211</v>
      </c>
      <c r="L42" s="552">
        <f t="shared" ca="1" si="6"/>
        <v>0.4199589383519895</v>
      </c>
      <c r="M42" s="553">
        <f t="shared" ca="1" si="6"/>
        <v>0.41870824053452105</v>
      </c>
    </row>
    <row r="43" spans="2:14" ht="22.15" customHeight="1" thickTop="1" thickBot="1">
      <c r="B43" s="551"/>
      <c r="C43" s="539"/>
      <c r="D43" s="539"/>
      <c r="E43" s="539"/>
      <c r="F43" s="539" t="s">
        <v>103</v>
      </c>
      <c r="G43" s="552">
        <f t="shared" ref="G43:M44" ca="1" si="7">+G11/G$47</f>
        <v>0</v>
      </c>
      <c r="H43" s="552">
        <f t="shared" ca="1" si="7"/>
        <v>0</v>
      </c>
      <c r="I43" s="552">
        <f t="shared" ca="1" si="7"/>
        <v>2.2271714922050705E-3</v>
      </c>
      <c r="J43" s="552">
        <f t="shared" ca="1" si="7"/>
        <v>0</v>
      </c>
      <c r="K43" s="552">
        <f t="shared" ca="1" si="7"/>
        <v>2.2271714922048966E-3</v>
      </c>
      <c r="L43" s="552">
        <f t="shared" ca="1" si="7"/>
        <v>0</v>
      </c>
      <c r="M43" s="553">
        <f t="shared" ca="1" si="7"/>
        <v>2.2271714922050705E-3</v>
      </c>
    </row>
    <row r="44" spans="2:14" ht="22.15" customHeight="1" thickTop="1" thickBot="1">
      <c r="B44" s="551"/>
      <c r="C44" s="539"/>
      <c r="D44" s="539"/>
      <c r="E44" s="539"/>
      <c r="F44" s="539" t="s">
        <v>478</v>
      </c>
      <c r="G44" s="552">
        <f t="shared" ca="1" si="7"/>
        <v>0.22307596404881955</v>
      </c>
      <c r="H44" s="552">
        <f t="shared" ca="1" si="7"/>
        <v>0.22307596404881952</v>
      </c>
      <c r="I44" s="552">
        <f t="shared" ca="1" si="7"/>
        <v>0.22271714922048991</v>
      </c>
      <c r="J44" s="552">
        <f t="shared" ca="1" si="7"/>
        <v>0.22307596404881952</v>
      </c>
      <c r="K44" s="552">
        <f t="shared" ca="1" si="7"/>
        <v>0.22271714922048994</v>
      </c>
      <c r="L44" s="552">
        <f t="shared" ca="1" si="7"/>
        <v>0.22307596404881952</v>
      </c>
      <c r="M44" s="553">
        <f t="shared" ca="1" si="7"/>
        <v>0.22271714922048991</v>
      </c>
    </row>
    <row r="45" spans="2:14" ht="22.15" customHeight="1" thickTop="1" thickBot="1">
      <c r="B45" s="551"/>
      <c r="C45" s="539"/>
      <c r="D45" s="539"/>
      <c r="E45" s="539"/>
      <c r="F45" s="539" t="s">
        <v>112</v>
      </c>
      <c r="G45" s="552">
        <f ca="1">+G14/G$47</f>
        <v>0.35696509759919104</v>
      </c>
      <c r="H45" s="552">
        <f t="shared" ref="H45:M45" ca="1" si="8">+H14/H$47</f>
        <v>0.35696509759919104</v>
      </c>
      <c r="I45" s="552">
        <f t="shared" ca="1" si="8"/>
        <v>0.35634743875278391</v>
      </c>
      <c r="J45" s="552">
        <f t="shared" ca="1" si="8"/>
        <v>0.35696509759919104</v>
      </c>
      <c r="K45" s="552">
        <f t="shared" ca="1" si="8"/>
        <v>0.35634743875278391</v>
      </c>
      <c r="L45" s="552">
        <f t="shared" ca="1" si="8"/>
        <v>0.35696509759919104</v>
      </c>
      <c r="M45" s="553">
        <f t="shared" ca="1" si="8"/>
        <v>0.35634743875278391</v>
      </c>
    </row>
    <row r="46" spans="2:14" ht="29" thickTop="1">
      <c r="B46" s="547"/>
      <c r="C46" s="548"/>
      <c r="D46" s="531"/>
      <c r="E46" s="531"/>
      <c r="F46" s="531"/>
      <c r="G46" s="532"/>
      <c r="H46" s="532"/>
      <c r="I46" s="532"/>
      <c r="J46" s="532"/>
      <c r="K46" s="532"/>
      <c r="L46" s="532"/>
      <c r="M46" s="550"/>
    </row>
    <row r="47" spans="2:14" ht="25.15" customHeight="1" thickBot="1">
      <c r="B47" s="566"/>
      <c r="C47" s="567"/>
      <c r="D47" s="567"/>
      <c r="E47" s="567"/>
      <c r="F47" s="567" t="s">
        <v>175</v>
      </c>
      <c r="G47" s="568">
        <f ca="1">+SUM(G10:G12,G14)</f>
        <v>17357.315999999999</v>
      </c>
      <c r="H47" s="568">
        <f t="shared" ref="H47:M47" ca="1" si="9">+SUM(H10:H12,H14)</f>
        <v>26035.974000000002</v>
      </c>
      <c r="I47" s="568">
        <f t="shared" ca="1" si="9"/>
        <v>34770.560000000012</v>
      </c>
      <c r="J47" s="568">
        <f t="shared" ca="1" si="9"/>
        <v>43393.29</v>
      </c>
      <c r="K47" s="568">
        <f t="shared" ca="1" si="9"/>
        <v>52155.840000000011</v>
      </c>
      <c r="L47" s="568">
        <f t="shared" ca="1" si="9"/>
        <v>60750.606</v>
      </c>
      <c r="M47" s="569">
        <f t="shared" ca="1" si="9"/>
        <v>69541.120000000024</v>
      </c>
    </row>
    <row r="49" spans="2:16" ht="29" thickBot="1"/>
    <row r="50" spans="2:16" ht="29" thickBot="1">
      <c r="B50" s="648"/>
      <c r="C50" s="649"/>
      <c r="D50" s="649"/>
      <c r="E50" s="649"/>
      <c r="F50" s="650" t="s">
        <v>387</v>
      </c>
      <c r="G50" s="651" t="s">
        <v>104</v>
      </c>
      <c r="H50" s="651" t="s">
        <v>105</v>
      </c>
      <c r="I50" s="651" t="s">
        <v>106</v>
      </c>
      <c r="J50" s="651" t="s">
        <v>107</v>
      </c>
      <c r="K50" s="651" t="s">
        <v>108</v>
      </c>
      <c r="L50" s="651" t="s">
        <v>109</v>
      </c>
      <c r="M50" s="652" t="s">
        <v>110</v>
      </c>
    </row>
    <row r="51" spans="2:16" ht="29" thickTop="1">
      <c r="B51" s="547"/>
      <c r="C51" s="548"/>
      <c r="D51" s="531"/>
      <c r="E51" s="531"/>
      <c r="F51" s="531"/>
      <c r="G51" s="532"/>
      <c r="H51" s="532"/>
      <c r="I51" s="532"/>
      <c r="J51" s="532"/>
      <c r="K51" s="532"/>
      <c r="L51" s="532"/>
      <c r="M51" s="550"/>
    </row>
    <row r="52" spans="2:16" ht="33.65" customHeight="1" thickBot="1">
      <c r="B52" s="551"/>
      <c r="C52" s="539"/>
      <c r="D52" s="539"/>
      <c r="E52" s="539"/>
      <c r="F52" s="539" t="s">
        <v>362</v>
      </c>
      <c r="G52" s="577">
        <f t="shared" ref="G52:M52" si="10">IF(G10&gt;$AA$10,5,IF(G10&gt;$Z$10,4,IF(G10&lt;=0,0,IF(G10&lt;=$X10,1,IF(G10&gt;$Y10,3,2)))))</f>
        <v>1</v>
      </c>
      <c r="H52" s="577">
        <f t="shared" si="10"/>
        <v>2</v>
      </c>
      <c r="I52" s="577">
        <f t="shared" si="10"/>
        <v>2</v>
      </c>
      <c r="J52" s="577">
        <f t="shared" si="10"/>
        <v>3</v>
      </c>
      <c r="K52" s="577">
        <f t="shared" si="10"/>
        <v>3</v>
      </c>
      <c r="L52" s="577">
        <f t="shared" si="10"/>
        <v>4</v>
      </c>
      <c r="M52" s="653">
        <f t="shared" si="10"/>
        <v>4</v>
      </c>
    </row>
    <row r="53" spans="2:16" ht="33.65" customHeight="1" thickTop="1" thickBot="1">
      <c r="B53" s="551"/>
      <c r="C53" s="539"/>
      <c r="D53" s="539"/>
      <c r="E53" s="539"/>
      <c r="F53" s="539" t="s">
        <v>103</v>
      </c>
      <c r="G53" s="577">
        <f t="shared" ref="G53:M53" ca="1" si="11">IF(G11&gt;$AA$11,5,IF(G11&gt;$Z$11,4,IF(G11&lt;=0,0,IF(G11&lt;=$X11,1,IF(G11&gt;$Y11,3,2)))))</f>
        <v>0</v>
      </c>
      <c r="H53" s="577">
        <f t="shared" ca="1" si="11"/>
        <v>0</v>
      </c>
      <c r="I53" s="577">
        <f t="shared" ca="1" si="11"/>
        <v>0</v>
      </c>
      <c r="J53" s="577">
        <f t="shared" ca="1" si="11"/>
        <v>0</v>
      </c>
      <c r="K53" s="577">
        <f t="shared" ca="1" si="11"/>
        <v>0</v>
      </c>
      <c r="L53" s="577">
        <f t="shared" ca="1" si="11"/>
        <v>0</v>
      </c>
      <c r="M53" s="577">
        <f t="shared" ca="1" si="11"/>
        <v>0</v>
      </c>
    </row>
    <row r="54" spans="2:16" ht="33.65" customHeight="1" thickTop="1" thickBot="1">
      <c r="B54" s="551"/>
      <c r="C54" s="539"/>
      <c r="D54" s="539"/>
      <c r="E54" s="539"/>
      <c r="F54" s="539" t="s">
        <v>478</v>
      </c>
      <c r="G54" s="577">
        <f t="shared" ref="G54:M54" si="12">IF(G12&gt;$AA$12,5,IF(G12&gt;$Z$12,4,IF(G12&lt;=0,0,IF(G12&lt;=$X12,1,IF(G12&gt;$Y12,3,2)))))</f>
        <v>1</v>
      </c>
      <c r="H54" s="577">
        <f t="shared" si="12"/>
        <v>2</v>
      </c>
      <c r="I54" s="577">
        <f t="shared" si="12"/>
        <v>2</v>
      </c>
      <c r="J54" s="577">
        <f t="shared" si="12"/>
        <v>3</v>
      </c>
      <c r="K54" s="577">
        <f t="shared" si="12"/>
        <v>3</v>
      </c>
      <c r="L54" s="577">
        <f t="shared" si="12"/>
        <v>4</v>
      </c>
      <c r="M54" s="653">
        <f t="shared" si="12"/>
        <v>4</v>
      </c>
    </row>
    <row r="55" spans="2:16" ht="33.65" customHeight="1" thickTop="1" thickBot="1">
      <c r="B55" s="551"/>
      <c r="C55" s="539"/>
      <c r="D55" s="539"/>
      <c r="E55" s="539"/>
      <c r="F55" s="539" t="s">
        <v>112</v>
      </c>
      <c r="G55" s="577">
        <f t="shared" ref="G55:M55" ca="1" si="13">IF(G14&gt;$AA$14,5,IF(G14&gt;$Z$14,4,IF(G14&lt;=$X14,1,IF(G14&gt;$Y14,3,2))))</f>
        <v>2</v>
      </c>
      <c r="H55" s="577">
        <f t="shared" ca="1" si="13"/>
        <v>2</v>
      </c>
      <c r="I55" s="577">
        <f t="shared" ca="1" si="13"/>
        <v>2</v>
      </c>
      <c r="J55" s="577">
        <f t="shared" ca="1" si="13"/>
        <v>3</v>
      </c>
      <c r="K55" s="577">
        <f t="shared" ca="1" si="13"/>
        <v>3</v>
      </c>
      <c r="L55" s="577">
        <f t="shared" ca="1" si="13"/>
        <v>4</v>
      </c>
      <c r="M55" s="653">
        <f t="shared" ca="1" si="13"/>
        <v>4</v>
      </c>
    </row>
    <row r="56" spans="2:16" ht="24" customHeight="1" thickTop="1">
      <c r="B56" s="547"/>
      <c r="C56" s="548"/>
      <c r="D56" s="531"/>
      <c r="E56" s="531"/>
      <c r="F56" s="531"/>
      <c r="G56" s="532"/>
      <c r="H56" s="532"/>
      <c r="I56" s="532"/>
      <c r="J56" s="532"/>
      <c r="K56" s="532"/>
      <c r="L56" s="532"/>
      <c r="M56" s="550"/>
    </row>
    <row r="57" spans="2:16" ht="24" customHeight="1" thickBot="1">
      <c r="B57" s="566"/>
      <c r="C57" s="567"/>
      <c r="D57" s="567"/>
      <c r="E57" s="567"/>
      <c r="F57" s="567" t="s">
        <v>175</v>
      </c>
      <c r="G57" s="568"/>
      <c r="H57" s="568"/>
      <c r="I57" s="568"/>
      <c r="J57" s="568"/>
      <c r="K57" s="568"/>
      <c r="L57" s="568"/>
      <c r="M57" s="569"/>
    </row>
    <row r="58" spans="2:16" ht="29" thickBot="1"/>
    <row r="59" spans="2:16" ht="40.15" customHeight="1" thickBot="1">
      <c r="B59" s="715" t="s">
        <v>489</v>
      </c>
      <c r="C59" s="716"/>
      <c r="D59" s="716"/>
      <c r="E59" s="716"/>
      <c r="F59" s="570" t="s">
        <v>226</v>
      </c>
      <c r="G59" s="562" t="s">
        <v>104</v>
      </c>
      <c r="H59" s="562" t="s">
        <v>105</v>
      </c>
      <c r="I59" s="562" t="s">
        <v>106</v>
      </c>
      <c r="J59" s="562" t="s">
        <v>107</v>
      </c>
      <c r="K59" s="562" t="s">
        <v>108</v>
      </c>
      <c r="L59" s="562" t="s">
        <v>109</v>
      </c>
      <c r="M59" s="563" t="s">
        <v>110</v>
      </c>
      <c r="N59" s="423" t="s">
        <v>391</v>
      </c>
    </row>
    <row r="60" spans="2:16" ht="29" thickTop="1">
      <c r="B60" s="547"/>
      <c r="C60" s="548"/>
      <c r="D60" s="531"/>
      <c r="E60" s="531"/>
      <c r="F60" s="531"/>
      <c r="G60" s="532"/>
      <c r="H60" s="532"/>
      <c r="I60" s="532"/>
      <c r="J60" s="532"/>
      <c r="K60" s="532"/>
      <c r="L60" s="532"/>
      <c r="M60" s="550"/>
    </row>
    <row r="61" spans="2:16" ht="28.9" customHeight="1" thickBot="1">
      <c r="B61" s="551"/>
      <c r="C61" s="539"/>
      <c r="D61" s="539"/>
      <c r="E61" s="539"/>
      <c r="F61" s="539" t="s">
        <v>362</v>
      </c>
      <c r="G61" s="540">
        <f ca="1">+G$67*$G79</f>
        <v>293521.87834403419</v>
      </c>
      <c r="H61" s="540">
        <f t="shared" ref="H61:M61" ca="1" si="14">+H$67*$G79</f>
        <v>293521.87834403419</v>
      </c>
      <c r="I61" s="540">
        <f t="shared" ca="1" si="14"/>
        <v>293521.87834403419</v>
      </c>
      <c r="J61" s="540">
        <f t="shared" ca="1" si="14"/>
        <v>293521.87834403419</v>
      </c>
      <c r="K61" s="540">
        <f t="shared" ca="1" si="14"/>
        <v>293521.87834403419</v>
      </c>
      <c r="L61" s="540">
        <f t="shared" ca="1" si="14"/>
        <v>293521.87834403419</v>
      </c>
      <c r="M61" s="572">
        <f t="shared" ca="1" si="14"/>
        <v>293521.87834403419</v>
      </c>
      <c r="N61" s="564"/>
      <c r="P61" s="554"/>
    </row>
    <row r="62" spans="2:16" ht="28.9" customHeight="1" thickTop="1" thickBot="1">
      <c r="B62" s="551"/>
      <c r="C62" s="539"/>
      <c r="D62" s="539"/>
      <c r="E62" s="539"/>
      <c r="F62" s="539" t="s">
        <v>103</v>
      </c>
      <c r="G62" s="540">
        <f ca="1">+G$67*$G80</f>
        <v>0</v>
      </c>
      <c r="H62" s="540">
        <f t="shared" ref="H62:M62" ca="1" si="15">+H$67*$G80</f>
        <v>0</v>
      </c>
      <c r="I62" s="540">
        <f t="shared" ca="1" si="15"/>
        <v>0</v>
      </c>
      <c r="J62" s="540">
        <f t="shared" ca="1" si="15"/>
        <v>0</v>
      </c>
      <c r="K62" s="540">
        <f t="shared" ca="1" si="15"/>
        <v>0</v>
      </c>
      <c r="L62" s="540">
        <f t="shared" ca="1" si="15"/>
        <v>0</v>
      </c>
      <c r="M62" s="572">
        <f t="shared" ca="1" si="15"/>
        <v>0</v>
      </c>
      <c r="N62" s="564"/>
      <c r="P62" s="554"/>
    </row>
    <row r="63" spans="2:16" ht="28.9" customHeight="1" thickTop="1" thickBot="1">
      <c r="B63" s="551"/>
      <c r="C63" s="539"/>
      <c r="D63" s="539"/>
      <c r="E63" s="539"/>
      <c r="F63" s="539" t="s">
        <v>478</v>
      </c>
      <c r="G63" s="540">
        <f ca="1">+G$67*$G81</f>
        <v>81150.166365703582</v>
      </c>
      <c r="H63" s="540">
        <f t="shared" ref="H63:M63" ca="1" si="16">+H$67*$G81</f>
        <v>81150.166365703582</v>
      </c>
      <c r="I63" s="540">
        <f t="shared" ca="1" si="16"/>
        <v>81150.166365703582</v>
      </c>
      <c r="J63" s="540">
        <f t="shared" ca="1" si="16"/>
        <v>81150.166365703582</v>
      </c>
      <c r="K63" s="540">
        <f t="shared" ca="1" si="16"/>
        <v>81150.166365703582</v>
      </c>
      <c r="L63" s="540">
        <f t="shared" ca="1" si="16"/>
        <v>81150.166365703582</v>
      </c>
      <c r="M63" s="572">
        <f t="shared" ca="1" si="16"/>
        <v>81150.166365703582</v>
      </c>
      <c r="N63" s="564"/>
      <c r="P63" s="554"/>
    </row>
    <row r="64" spans="2:16" ht="28.9" customHeight="1" thickTop="1" thickBot="1">
      <c r="B64" s="551"/>
      <c r="C64" s="539"/>
      <c r="D64" s="539"/>
      <c r="E64" s="539"/>
      <c r="F64" s="539" t="s">
        <v>307</v>
      </c>
      <c r="G64" s="540">
        <f ca="1">+G$67*$G82</f>
        <v>0</v>
      </c>
      <c r="H64" s="540">
        <f t="shared" ref="H64:M64" ca="1" si="17">+H$67*$G82</f>
        <v>0</v>
      </c>
      <c r="I64" s="540">
        <f t="shared" ca="1" si="17"/>
        <v>0</v>
      </c>
      <c r="J64" s="540">
        <f t="shared" ca="1" si="17"/>
        <v>0</v>
      </c>
      <c r="K64" s="540">
        <f t="shared" ca="1" si="17"/>
        <v>0</v>
      </c>
      <c r="L64" s="540">
        <f t="shared" ca="1" si="17"/>
        <v>0</v>
      </c>
      <c r="M64" s="572">
        <f t="shared" ca="1" si="17"/>
        <v>0</v>
      </c>
      <c r="P64" s="554"/>
    </row>
    <row r="65" spans="2:14" ht="28.9" customHeight="1" thickTop="1" thickBot="1">
      <c r="B65" s="551"/>
      <c r="C65" s="539"/>
      <c r="D65" s="539"/>
      <c r="E65" s="539"/>
      <c r="F65" s="539" t="s">
        <v>112</v>
      </c>
      <c r="G65" s="540">
        <f ca="1">+G$67*$G83</f>
        <v>86329.9642188336</v>
      </c>
      <c r="H65" s="540">
        <f t="shared" ref="H65:M65" ca="1" si="18">+H$67*$G83</f>
        <v>86329.9642188336</v>
      </c>
      <c r="I65" s="540">
        <f t="shared" ca="1" si="18"/>
        <v>86329.9642188336</v>
      </c>
      <c r="J65" s="540">
        <f t="shared" ca="1" si="18"/>
        <v>86329.9642188336</v>
      </c>
      <c r="K65" s="540">
        <f t="shared" ca="1" si="18"/>
        <v>86329.9642188336</v>
      </c>
      <c r="L65" s="540">
        <f t="shared" ca="1" si="18"/>
        <v>86329.9642188336</v>
      </c>
      <c r="M65" s="572">
        <f t="shared" ca="1" si="18"/>
        <v>86329.9642188336</v>
      </c>
      <c r="N65" s="564"/>
    </row>
    <row r="66" spans="2:14" ht="28.9" customHeight="1" thickTop="1">
      <c r="B66" s="547"/>
      <c r="C66" s="548"/>
      <c r="D66" s="531"/>
      <c r="E66" s="531"/>
      <c r="F66" s="531"/>
      <c r="G66" s="532"/>
      <c r="H66" s="532"/>
      <c r="I66" s="532"/>
      <c r="J66" s="532"/>
      <c r="K66" s="532"/>
      <c r="L66" s="532"/>
      <c r="M66" s="550"/>
    </row>
    <row r="67" spans="2:14" ht="31.15" customHeight="1" thickBot="1">
      <c r="B67" s="566"/>
      <c r="C67" s="567"/>
      <c r="D67" s="567"/>
      <c r="E67" s="567"/>
      <c r="F67" s="567" t="s">
        <v>395</v>
      </c>
      <c r="G67" s="568" t="e">
        <f>+#REF!/7</f>
        <v>#REF!</v>
      </c>
      <c r="H67" s="568" t="e">
        <f>+#REF!/7</f>
        <v>#REF!</v>
      </c>
      <c r="I67" s="568" t="e">
        <f>+#REF!/7</f>
        <v>#REF!</v>
      </c>
      <c r="J67" s="568" t="e">
        <f>+#REF!/7</f>
        <v>#REF!</v>
      </c>
      <c r="K67" s="568" t="e">
        <f>+#REF!/7</f>
        <v>#REF!</v>
      </c>
      <c r="L67" s="568" t="e">
        <f>+#REF!/7</f>
        <v>#REF!</v>
      </c>
      <c r="M67" s="569" t="e">
        <f>+#REF!/7</f>
        <v>#REF!</v>
      </c>
    </row>
    <row r="68" spans="2:14" ht="29" thickBot="1"/>
    <row r="69" spans="2:14" ht="49.9" customHeight="1" thickBot="1">
      <c r="B69" s="559"/>
      <c r="C69" s="560"/>
      <c r="D69" s="560"/>
      <c r="E69" s="560"/>
      <c r="F69" s="570" t="s">
        <v>393</v>
      </c>
      <c r="G69" s="562" t="s">
        <v>104</v>
      </c>
      <c r="H69" s="562" t="s">
        <v>105</v>
      </c>
      <c r="I69" s="562" t="s">
        <v>106</v>
      </c>
      <c r="J69" s="562" t="s">
        <v>107</v>
      </c>
      <c r="K69" s="562" t="s">
        <v>108</v>
      </c>
      <c r="L69" s="562" t="s">
        <v>109</v>
      </c>
      <c r="M69" s="563" t="s">
        <v>110</v>
      </c>
    </row>
    <row r="70" spans="2:14" ht="10.15" customHeight="1" thickTop="1">
      <c r="B70" s="547"/>
      <c r="C70" s="548"/>
      <c r="D70" s="548"/>
      <c r="E70" s="548"/>
      <c r="F70" s="548"/>
      <c r="G70" s="549"/>
      <c r="H70" s="549"/>
      <c r="I70" s="549"/>
      <c r="J70" s="549"/>
      <c r="K70" s="549"/>
      <c r="L70" s="549"/>
      <c r="M70" s="571"/>
    </row>
    <row r="71" spans="2:14" ht="36.65" customHeight="1" thickBot="1">
      <c r="B71" s="551"/>
      <c r="C71" s="539"/>
      <c r="D71" s="539"/>
      <c r="E71" s="539"/>
      <c r="F71" s="539" t="s">
        <v>362</v>
      </c>
      <c r="G71" s="540">
        <f>IF(G52&gt;8,G89*3,IF(G52&lt;=4,G89,G89*2))</f>
        <v>4200000</v>
      </c>
      <c r="H71" s="540">
        <f t="shared" ref="H71:M71" si="19">IF(H52&gt;8,H89*3,IF(H52&lt;=4,H89,H89*2))</f>
        <v>4200000</v>
      </c>
      <c r="I71" s="540">
        <f t="shared" si="19"/>
        <v>4200000</v>
      </c>
      <c r="J71" s="540">
        <f t="shared" si="19"/>
        <v>4200000</v>
      </c>
      <c r="K71" s="540">
        <f t="shared" si="19"/>
        <v>4200000</v>
      </c>
      <c r="L71" s="540">
        <f t="shared" si="19"/>
        <v>4200000</v>
      </c>
      <c r="M71" s="572">
        <f t="shared" si="19"/>
        <v>4200000</v>
      </c>
    </row>
    <row r="72" spans="2:14" ht="36.65" customHeight="1" thickTop="1" thickBot="1">
      <c r="B72" s="551"/>
      <c r="C72" s="539"/>
      <c r="D72" s="539"/>
      <c r="E72" s="539"/>
      <c r="F72" s="539" t="s">
        <v>103</v>
      </c>
      <c r="G72" s="540">
        <f ca="1">IF(G53&gt;8,G90*3,IF(G53&lt;=4,G90,G90*2))</f>
        <v>0</v>
      </c>
      <c r="H72" s="540">
        <f t="shared" ref="H72:M72" ca="1" si="20">IF(H53&gt;8,H90*3,IF(H53&lt;=4,H90,H90*2))</f>
        <v>0</v>
      </c>
      <c r="I72" s="540">
        <f t="shared" ca="1" si="20"/>
        <v>0</v>
      </c>
      <c r="J72" s="540">
        <f t="shared" ca="1" si="20"/>
        <v>0</v>
      </c>
      <c r="K72" s="540">
        <f t="shared" ca="1" si="20"/>
        <v>0</v>
      </c>
      <c r="L72" s="540">
        <f t="shared" ca="1" si="20"/>
        <v>0</v>
      </c>
      <c r="M72" s="572">
        <f t="shared" ca="1" si="20"/>
        <v>0</v>
      </c>
    </row>
    <row r="73" spans="2:14" ht="36.65" customHeight="1" thickTop="1" thickBot="1">
      <c r="B73" s="551"/>
      <c r="C73" s="539"/>
      <c r="D73" s="539"/>
      <c r="E73" s="539"/>
      <c r="F73" s="539" t="s">
        <v>478</v>
      </c>
      <c r="G73" s="540">
        <f>IF(G54&gt;8,G91*3,IF(G54&lt;=4,G91,G91*2))</f>
        <v>1645000</v>
      </c>
      <c r="H73" s="540">
        <f t="shared" ref="H73:M73" si="21">IF(H54&gt;8,H91*3,IF(H54&lt;=4,H91,H91*2))</f>
        <v>1645000</v>
      </c>
      <c r="I73" s="540">
        <f t="shared" si="21"/>
        <v>1645000</v>
      </c>
      <c r="J73" s="540">
        <f t="shared" si="21"/>
        <v>1645000</v>
      </c>
      <c r="K73" s="540">
        <f t="shared" si="21"/>
        <v>1645000</v>
      </c>
      <c r="L73" s="540">
        <f t="shared" si="21"/>
        <v>1645000</v>
      </c>
      <c r="M73" s="572">
        <f t="shared" si="21"/>
        <v>1645000</v>
      </c>
    </row>
    <row r="74" spans="2:14" ht="36.65" customHeight="1" thickTop="1" thickBot="1">
      <c r="B74" s="551"/>
      <c r="C74" s="539"/>
      <c r="D74" s="539"/>
      <c r="E74" s="539"/>
      <c r="F74" s="539" t="s">
        <v>363</v>
      </c>
      <c r="G74" s="540"/>
      <c r="H74" s="540"/>
      <c r="I74" s="540"/>
      <c r="J74" s="540"/>
      <c r="K74" s="540"/>
      <c r="L74" s="540"/>
      <c r="M74" s="572"/>
    </row>
    <row r="75" spans="2:14" ht="36.65" customHeight="1" thickTop="1" thickBot="1">
      <c r="B75" s="573"/>
      <c r="C75" s="574"/>
      <c r="D75" s="574"/>
      <c r="E75" s="574"/>
      <c r="F75" s="574" t="s">
        <v>112</v>
      </c>
      <c r="G75" s="575">
        <f ca="1">IF(G55&gt;8,G93*3,IF(G55&lt;=4,G93,G93*2))</f>
        <v>1750000</v>
      </c>
      <c r="H75" s="575">
        <f t="shared" ref="H75:M75" ca="1" si="22">IF(H55&gt;8,H93*3,IF(H55&lt;=4,H93,H93*2))</f>
        <v>1750000</v>
      </c>
      <c r="I75" s="575">
        <f t="shared" ca="1" si="22"/>
        <v>1750000</v>
      </c>
      <c r="J75" s="575">
        <f t="shared" ca="1" si="22"/>
        <v>1750000</v>
      </c>
      <c r="K75" s="575">
        <f t="shared" ca="1" si="22"/>
        <v>1750000</v>
      </c>
      <c r="L75" s="575">
        <f t="shared" ca="1" si="22"/>
        <v>1750000</v>
      </c>
      <c r="M75" s="576">
        <f t="shared" ca="1" si="22"/>
        <v>1750000</v>
      </c>
    </row>
    <row r="76" spans="2:14">
      <c r="B76" s="547"/>
      <c r="C76" s="548"/>
      <c r="D76" s="531"/>
      <c r="E76" s="531"/>
      <c r="F76" s="531"/>
      <c r="G76" s="532"/>
      <c r="H76" s="532"/>
      <c r="I76" s="532"/>
      <c r="J76" s="532"/>
      <c r="K76" s="532"/>
      <c r="L76" s="532"/>
      <c r="M76" s="550"/>
    </row>
    <row r="77" spans="2:14" ht="39.65" customHeight="1" thickBot="1">
      <c r="B77" s="566"/>
      <c r="C77" s="567"/>
      <c r="D77" s="567"/>
      <c r="E77" s="567"/>
      <c r="F77" s="567" t="s">
        <v>175</v>
      </c>
      <c r="G77" s="568">
        <f ca="1">SUM(G71:G75)</f>
        <v>9345000</v>
      </c>
      <c r="H77" s="568">
        <f t="shared" ref="H77:M77" ca="1" si="23">SUM(H71:H75)</f>
        <v>9345000</v>
      </c>
      <c r="I77" s="568">
        <f t="shared" ca="1" si="23"/>
        <v>11795000</v>
      </c>
      <c r="J77" s="568">
        <f t="shared" ca="1" si="23"/>
        <v>9345000</v>
      </c>
      <c r="K77" s="568">
        <f t="shared" ca="1" si="23"/>
        <v>11795000</v>
      </c>
      <c r="L77" s="568">
        <f t="shared" ca="1" si="23"/>
        <v>9345000</v>
      </c>
      <c r="M77" s="569">
        <f t="shared" ca="1" si="23"/>
        <v>11795000</v>
      </c>
    </row>
    <row r="79" spans="2:14" ht="31.15" customHeight="1" thickBot="1">
      <c r="B79" s="539"/>
      <c r="C79" s="539"/>
      <c r="D79" s="539"/>
      <c r="E79" s="539"/>
      <c r="F79" s="539" t="s">
        <v>362</v>
      </c>
      <c r="G79" s="555">
        <f ca="1">+G71/G$77</f>
        <v>0.63670411985018727</v>
      </c>
      <c r="H79" s="555">
        <f t="shared" ref="H79:M79" ca="1" si="24">+H71/H$77</f>
        <v>0.63670411985018727</v>
      </c>
      <c r="I79" s="555">
        <f t="shared" ca="1" si="24"/>
        <v>0.50445103857566764</v>
      </c>
      <c r="J79" s="555">
        <f t="shared" ca="1" si="24"/>
        <v>0.63670411985018727</v>
      </c>
      <c r="K79" s="555">
        <f t="shared" ca="1" si="24"/>
        <v>0.50445103857566764</v>
      </c>
      <c r="L79" s="555">
        <f t="shared" ca="1" si="24"/>
        <v>0.63670411985018727</v>
      </c>
      <c r="M79" s="555">
        <f t="shared" ca="1" si="24"/>
        <v>0.50445103857566764</v>
      </c>
    </row>
    <row r="80" spans="2:14" ht="31.15" customHeight="1" thickTop="1" thickBot="1">
      <c r="B80" s="539"/>
      <c r="C80" s="539"/>
      <c r="D80" s="539"/>
      <c r="E80" s="539"/>
      <c r="F80" s="539" t="s">
        <v>103</v>
      </c>
      <c r="G80" s="555">
        <f ca="1">+G72/G$77</f>
        <v>0</v>
      </c>
      <c r="H80" s="555">
        <f t="shared" ref="H80:M80" ca="1" si="25">+H72/H$77</f>
        <v>0</v>
      </c>
      <c r="I80" s="555">
        <f t="shared" ca="1" si="25"/>
        <v>0.20771513353115728</v>
      </c>
      <c r="J80" s="555">
        <f t="shared" ca="1" si="25"/>
        <v>0</v>
      </c>
      <c r="K80" s="555">
        <f t="shared" ca="1" si="25"/>
        <v>0.20771513353115728</v>
      </c>
      <c r="L80" s="555">
        <f t="shared" ca="1" si="25"/>
        <v>0</v>
      </c>
      <c r="M80" s="555">
        <f t="shared" ca="1" si="25"/>
        <v>0.20771513353115728</v>
      </c>
    </row>
    <row r="81" spans="2:13" ht="31.15" customHeight="1" thickTop="1" thickBot="1">
      <c r="B81" s="539"/>
      <c r="C81" s="539"/>
      <c r="D81" s="539"/>
      <c r="E81" s="539"/>
      <c r="F81" s="539" t="s">
        <v>478</v>
      </c>
      <c r="G81" s="555">
        <f t="shared" ref="G81:M81" ca="1" si="26">+G73/G$77</f>
        <v>0.17602996254681649</v>
      </c>
      <c r="H81" s="555">
        <f t="shared" ca="1" si="26"/>
        <v>0.17602996254681649</v>
      </c>
      <c r="I81" s="555">
        <f t="shared" ca="1" si="26"/>
        <v>0.1394658753709199</v>
      </c>
      <c r="J81" s="555">
        <f t="shared" ca="1" si="26"/>
        <v>0.17602996254681649</v>
      </c>
      <c r="K81" s="555">
        <f t="shared" ca="1" si="26"/>
        <v>0.1394658753709199</v>
      </c>
      <c r="L81" s="555">
        <f t="shared" ca="1" si="26"/>
        <v>0.17602996254681649</v>
      </c>
      <c r="M81" s="555">
        <f t="shared" ca="1" si="26"/>
        <v>0.1394658753709199</v>
      </c>
    </row>
    <row r="82" spans="2:13" ht="31.15" customHeight="1" thickTop="1" thickBot="1">
      <c r="B82" s="539"/>
      <c r="C82" s="539"/>
      <c r="D82" s="539"/>
      <c r="E82" s="539"/>
      <c r="F82" s="539" t="s">
        <v>363</v>
      </c>
      <c r="G82" s="555">
        <f t="shared" ref="G82:M83" ca="1" si="27">+G74/G$77</f>
        <v>0</v>
      </c>
      <c r="H82" s="555">
        <f t="shared" ca="1" si="27"/>
        <v>0</v>
      </c>
      <c r="I82" s="555">
        <f t="shared" ca="1" si="27"/>
        <v>0</v>
      </c>
      <c r="J82" s="555">
        <f t="shared" ca="1" si="27"/>
        <v>0</v>
      </c>
      <c r="K82" s="555">
        <f t="shared" ca="1" si="27"/>
        <v>0</v>
      </c>
      <c r="L82" s="555">
        <f t="shared" ca="1" si="27"/>
        <v>0</v>
      </c>
      <c r="M82" s="555">
        <f t="shared" ca="1" si="27"/>
        <v>0</v>
      </c>
    </row>
    <row r="83" spans="2:13" ht="31.15" customHeight="1" thickTop="1" thickBot="1">
      <c r="B83" s="539"/>
      <c r="C83" s="539"/>
      <c r="D83" s="539"/>
      <c r="E83" s="539"/>
      <c r="F83" s="539" t="s">
        <v>112</v>
      </c>
      <c r="G83" s="555">
        <f ca="1">+G75/G$77</f>
        <v>0.18726591760299627</v>
      </c>
      <c r="H83" s="555">
        <f t="shared" ca="1" si="27"/>
        <v>0.18726591760299627</v>
      </c>
      <c r="I83" s="555">
        <f t="shared" ca="1" si="27"/>
        <v>0.14836795252225518</v>
      </c>
      <c r="J83" s="555">
        <f t="shared" ca="1" si="27"/>
        <v>0.18726591760299627</v>
      </c>
      <c r="K83" s="555">
        <f t="shared" ca="1" si="27"/>
        <v>0.14836795252225518</v>
      </c>
      <c r="L83" s="555">
        <f t="shared" ca="1" si="27"/>
        <v>0.18726591760299627</v>
      </c>
      <c r="M83" s="555">
        <f t="shared" ca="1" si="27"/>
        <v>0.14836795252225518</v>
      </c>
    </row>
    <row r="84" spans="2:13" ht="29" thickTop="1">
      <c r="D84" s="531"/>
      <c r="E84" s="531"/>
      <c r="F84" s="531"/>
      <c r="G84" s="532"/>
      <c r="H84" s="532"/>
      <c r="I84" s="532"/>
      <c r="J84" s="532"/>
      <c r="K84" s="532"/>
      <c r="L84" s="532"/>
      <c r="M84" s="532"/>
    </row>
    <row r="85" spans="2:13" ht="39.65" customHeight="1" thickBot="1">
      <c r="B85" s="535"/>
      <c r="C85" s="535"/>
      <c r="D85" s="535"/>
      <c r="E85" s="535"/>
      <c r="F85" s="535" t="s">
        <v>175</v>
      </c>
      <c r="G85" s="654">
        <f ca="1">SUM(G79:G83)</f>
        <v>1</v>
      </c>
      <c r="H85" s="654">
        <f t="shared" ref="H85:M85" ca="1" si="28">SUM(H79:H83)</f>
        <v>1</v>
      </c>
      <c r="I85" s="654">
        <f t="shared" ca="1" si="28"/>
        <v>1</v>
      </c>
      <c r="J85" s="654">
        <f t="shared" ca="1" si="28"/>
        <v>1</v>
      </c>
      <c r="K85" s="654">
        <f t="shared" ca="1" si="28"/>
        <v>1</v>
      </c>
      <c r="L85" s="654">
        <f t="shared" ca="1" si="28"/>
        <v>1</v>
      </c>
      <c r="M85" s="654">
        <f t="shared" ca="1" si="28"/>
        <v>1</v>
      </c>
    </row>
    <row r="86" spans="2:13" ht="29.5" thickTop="1" thickBot="1"/>
    <row r="87" spans="2:13" ht="29" thickBot="1">
      <c r="B87" s="559"/>
      <c r="C87" s="560"/>
      <c r="D87" s="560"/>
      <c r="E87" s="560"/>
      <c r="F87" s="570" t="s">
        <v>392</v>
      </c>
      <c r="G87" s="562" t="s">
        <v>104</v>
      </c>
      <c r="H87" s="562" t="s">
        <v>105</v>
      </c>
      <c r="I87" s="562" t="s">
        <v>106</v>
      </c>
      <c r="J87" s="562" t="s">
        <v>107</v>
      </c>
      <c r="K87" s="562" t="s">
        <v>108</v>
      </c>
      <c r="L87" s="562" t="s">
        <v>109</v>
      </c>
      <c r="M87" s="563" t="s">
        <v>110</v>
      </c>
    </row>
    <row r="88" spans="2:13" ht="29" thickTop="1">
      <c r="B88" s="547"/>
      <c r="C88" s="548"/>
      <c r="D88" s="548"/>
      <c r="E88" s="548"/>
      <c r="F88" s="548"/>
      <c r="G88" s="549"/>
      <c r="H88" s="549"/>
      <c r="I88" s="549"/>
      <c r="J88" s="549"/>
      <c r="K88" s="549"/>
      <c r="L88" s="549"/>
      <c r="M88" s="571"/>
    </row>
    <row r="89" spans="2:13" ht="34.15" customHeight="1" thickBot="1">
      <c r="B89" s="551"/>
      <c r="C89" s="539"/>
      <c r="D89" s="539"/>
      <c r="E89" s="539"/>
      <c r="F89" s="539" t="s">
        <v>362</v>
      </c>
      <c r="G89" s="540">
        <f>IF(G10&gt;0,Assumptions!$F$13,0)</f>
        <v>4200000</v>
      </c>
      <c r="H89" s="540">
        <f>IF(H10&gt;0,Assumptions!$F$13,0)</f>
        <v>4200000</v>
      </c>
      <c r="I89" s="540">
        <f>IF(I10&gt;0,Assumptions!$F$13,0)</f>
        <v>4200000</v>
      </c>
      <c r="J89" s="540">
        <f>IF(J10&gt;0,Assumptions!$F$13,0)</f>
        <v>4200000</v>
      </c>
      <c r="K89" s="540">
        <f>IF(K10&gt;0,Assumptions!$F$13,0)</f>
        <v>4200000</v>
      </c>
      <c r="L89" s="540">
        <f>IF(L10&gt;0,Assumptions!$F$13,0)</f>
        <v>4200000</v>
      </c>
      <c r="M89" s="572">
        <f>IF(M10&gt;0,Assumptions!$F$13,0)</f>
        <v>4200000</v>
      </c>
    </row>
    <row r="90" spans="2:13" ht="34.15" customHeight="1" thickTop="1" thickBot="1">
      <c r="B90" s="551"/>
      <c r="C90" s="539"/>
      <c r="D90" s="539"/>
      <c r="E90" s="539"/>
      <c r="F90" s="539" t="s">
        <v>103</v>
      </c>
      <c r="G90" s="540">
        <f ca="1">IF(G11&gt;0,Assumptions!$F$14,0)</f>
        <v>0</v>
      </c>
      <c r="H90" s="540">
        <f ca="1">IF(H11&gt;0,Assumptions!$F$14,0)</f>
        <v>0</v>
      </c>
      <c r="I90" s="540">
        <f ca="1">IF(I11&gt;0,Assumptions!$F$14,0)</f>
        <v>2450000</v>
      </c>
      <c r="J90" s="540">
        <f ca="1">IF(J11&gt;0,Assumptions!$F$14,0)</f>
        <v>0</v>
      </c>
      <c r="K90" s="540">
        <f ca="1">IF(K11&gt;0,Assumptions!$F$14,0)</f>
        <v>2450000</v>
      </c>
      <c r="L90" s="540">
        <f ca="1">IF(L11&gt;0,Assumptions!$F$14,0)</f>
        <v>0</v>
      </c>
      <c r="M90" s="572">
        <f ca="1">IF(M11&gt;0,Assumptions!$F$14,0)</f>
        <v>2450000</v>
      </c>
    </row>
    <row r="91" spans="2:13" ht="34.15" customHeight="1" thickTop="1" thickBot="1">
      <c r="B91" s="551"/>
      <c r="C91" s="539"/>
      <c r="D91" s="539"/>
      <c r="E91" s="539"/>
      <c r="F91" s="539" t="s">
        <v>478</v>
      </c>
      <c r="G91" s="540">
        <f>IF(G12&gt;0,Assumptions!$F$15,0)</f>
        <v>1645000</v>
      </c>
      <c r="H91" s="540">
        <f>IF(H12&gt;0,Assumptions!$F$15,0)</f>
        <v>1645000</v>
      </c>
      <c r="I91" s="540">
        <f>IF(I12&gt;0,Assumptions!$F$15,0)</f>
        <v>1645000</v>
      </c>
      <c r="J91" s="540">
        <f>IF(J12&gt;0,Assumptions!$F$15,0)</f>
        <v>1645000</v>
      </c>
      <c r="K91" s="540">
        <f>IF(K12&gt;0,Assumptions!$F$15,0)</f>
        <v>1645000</v>
      </c>
      <c r="L91" s="540">
        <f>IF(L12&gt;0,Assumptions!$F$15,0)</f>
        <v>1645000</v>
      </c>
      <c r="M91" s="572">
        <f>IF(M12&gt;0,Assumptions!$F$15,0)</f>
        <v>1645000</v>
      </c>
    </row>
    <row r="92" spans="2:13" ht="34.15" customHeight="1" thickTop="1" thickBot="1">
      <c r="B92" s="551"/>
      <c r="C92" s="539"/>
      <c r="D92" s="539"/>
      <c r="E92" s="539"/>
      <c r="F92" s="539" t="s">
        <v>363</v>
      </c>
      <c r="G92" s="540"/>
      <c r="H92" s="540"/>
      <c r="I92" s="540"/>
      <c r="J92" s="540"/>
      <c r="K92" s="540"/>
      <c r="L92" s="540"/>
      <c r="M92" s="572"/>
    </row>
    <row r="93" spans="2:13" ht="34.15" customHeight="1" thickTop="1" thickBot="1">
      <c r="B93" s="551"/>
      <c r="C93" s="539"/>
      <c r="D93" s="539"/>
      <c r="E93" s="539"/>
      <c r="F93" s="539" t="s">
        <v>112</v>
      </c>
      <c r="G93" s="540">
        <f ca="1">IF(G14&gt;0,Assumptions!$F$12,0)</f>
        <v>1750000</v>
      </c>
      <c r="H93" s="540">
        <f ca="1">IF(H14&gt;0,Assumptions!$F$12,0)</f>
        <v>1750000</v>
      </c>
      <c r="I93" s="540">
        <f ca="1">IF(I14&gt;0,Assumptions!$F$12,0)</f>
        <v>1750000</v>
      </c>
      <c r="J93" s="540">
        <f ca="1">IF(J14&gt;0,Assumptions!$F$12,0)</f>
        <v>1750000</v>
      </c>
      <c r="K93" s="540">
        <f ca="1">IF(K14&gt;0,Assumptions!$F$12,0)</f>
        <v>1750000</v>
      </c>
      <c r="L93" s="540">
        <f ca="1">IF(L14&gt;0,Assumptions!$F$12,0)</f>
        <v>1750000</v>
      </c>
      <c r="M93" s="572">
        <f ca="1">IF(M14&gt;0,Assumptions!$F$12,0)</f>
        <v>1750000</v>
      </c>
    </row>
    <row r="94" spans="2:13" ht="29" thickTop="1">
      <c r="B94" s="547"/>
      <c r="C94" s="548"/>
      <c r="D94" s="548"/>
      <c r="E94" s="548"/>
      <c r="F94" s="548"/>
      <c r="G94" s="549"/>
      <c r="H94" s="549"/>
      <c r="I94" s="549"/>
      <c r="J94" s="549"/>
      <c r="K94" s="549"/>
      <c r="L94" s="549"/>
      <c r="M94" s="571"/>
    </row>
    <row r="95" spans="2:13" ht="34.15" customHeight="1" thickBot="1">
      <c r="B95" s="566"/>
      <c r="C95" s="567"/>
      <c r="D95" s="567"/>
      <c r="E95" s="567"/>
      <c r="F95" s="567" t="s">
        <v>394</v>
      </c>
      <c r="G95" s="655">
        <f ca="1">SUM(G89:G93)</f>
        <v>9345000</v>
      </c>
      <c r="H95" s="655">
        <f t="shared" ref="H95:M95" ca="1" si="29">SUM(H89:H93)</f>
        <v>9345000</v>
      </c>
      <c r="I95" s="655">
        <f t="shared" ca="1" si="29"/>
        <v>11795000</v>
      </c>
      <c r="J95" s="655">
        <f t="shared" ca="1" si="29"/>
        <v>9345000</v>
      </c>
      <c r="K95" s="655">
        <f t="shared" ca="1" si="29"/>
        <v>11795000</v>
      </c>
      <c r="L95" s="655">
        <f t="shared" ca="1" si="29"/>
        <v>9345000</v>
      </c>
      <c r="M95" s="656">
        <f t="shared" ca="1" si="29"/>
        <v>11795000</v>
      </c>
    </row>
    <row r="97" spans="2:16" ht="29" thickBot="1">
      <c r="B97" s="527"/>
      <c r="C97" s="527"/>
      <c r="D97" s="527"/>
      <c r="E97" s="527"/>
      <c r="F97" s="528" t="s">
        <v>397</v>
      </c>
      <c r="G97" s="529" t="s">
        <v>104</v>
      </c>
      <c r="H97" s="529" t="s">
        <v>105</v>
      </c>
      <c r="I97" s="529" t="s">
        <v>106</v>
      </c>
      <c r="J97" s="529" t="s">
        <v>107</v>
      </c>
      <c r="K97" s="529" t="s">
        <v>108</v>
      </c>
      <c r="L97" s="529" t="s">
        <v>109</v>
      </c>
      <c r="M97" s="529" t="s">
        <v>110</v>
      </c>
    </row>
    <row r="98" spans="2:16" ht="29" thickTop="1">
      <c r="D98" s="531"/>
      <c r="E98" s="531"/>
      <c r="F98" s="531"/>
      <c r="G98" s="532"/>
      <c r="H98" s="532"/>
      <c r="I98" s="532"/>
      <c r="J98" s="532"/>
      <c r="K98" s="532"/>
      <c r="L98" s="532"/>
      <c r="M98" s="532"/>
    </row>
    <row r="99" spans="2:16" ht="31.9" customHeight="1" thickBot="1">
      <c r="B99" s="657"/>
      <c r="C99" s="657"/>
      <c r="D99" s="657"/>
      <c r="E99" s="657"/>
      <c r="F99" s="657" t="s">
        <v>362</v>
      </c>
      <c r="G99" s="632">
        <f>+G32*$N99</f>
        <v>171974.88</v>
      </c>
      <c r="H99" s="632">
        <f t="shared" ref="H99:M99" si="30">+H32*$N99</f>
        <v>257962.32</v>
      </c>
      <c r="I99" s="632">
        <f t="shared" si="30"/>
        <v>343949.76</v>
      </c>
      <c r="J99" s="632">
        <f t="shared" si="30"/>
        <v>429937.2</v>
      </c>
      <c r="K99" s="632">
        <f t="shared" si="30"/>
        <v>515924.64</v>
      </c>
      <c r="L99" s="632">
        <f t="shared" si="30"/>
        <v>601912.07999999996</v>
      </c>
      <c r="M99" s="632">
        <f t="shared" si="30"/>
        <v>687899.52</v>
      </c>
      <c r="N99" s="584">
        <v>0.01</v>
      </c>
    </row>
    <row r="100" spans="2:16" ht="31.9" customHeight="1" thickTop="1" thickBot="1">
      <c r="B100" s="657"/>
      <c r="C100" s="657"/>
      <c r="D100" s="657"/>
      <c r="E100" s="657"/>
      <c r="F100" s="657" t="s">
        <v>103</v>
      </c>
      <c r="G100" s="632">
        <f t="shared" ref="G100:M101" ca="1" si="31">+G33*$N100</f>
        <v>0</v>
      </c>
      <c r="H100" s="632">
        <f t="shared" ca="1" si="31"/>
        <v>0</v>
      </c>
      <c r="I100" s="632">
        <f t="shared" ca="1" si="31"/>
        <v>3722.5408000002872</v>
      </c>
      <c r="J100" s="632">
        <f t="shared" ca="1" si="31"/>
        <v>0</v>
      </c>
      <c r="K100" s="632">
        <f t="shared" ca="1" si="31"/>
        <v>5583.8111999999928</v>
      </c>
      <c r="L100" s="632">
        <f t="shared" ca="1" si="31"/>
        <v>0</v>
      </c>
      <c r="M100" s="632">
        <f t="shared" ca="1" si="31"/>
        <v>7445.0816000005743</v>
      </c>
      <c r="N100" s="584">
        <v>0.02</v>
      </c>
    </row>
    <row r="101" spans="2:16" ht="31.9" customHeight="1" thickTop="1" thickBot="1">
      <c r="B101" s="657"/>
      <c r="C101" s="657"/>
      <c r="D101" s="657"/>
      <c r="E101" s="657"/>
      <c r="F101" s="657" t="s">
        <v>478</v>
      </c>
      <c r="G101" s="632">
        <f t="shared" si="31"/>
        <v>78130.91</v>
      </c>
      <c r="H101" s="632">
        <f t="shared" si="31"/>
        <v>117196.36500000001</v>
      </c>
      <c r="I101" s="632">
        <f t="shared" si="31"/>
        <v>156261.82</v>
      </c>
      <c r="J101" s="632">
        <f t="shared" si="31"/>
        <v>195327.27499999999</v>
      </c>
      <c r="K101" s="632">
        <f t="shared" si="31"/>
        <v>234392.73</v>
      </c>
      <c r="L101" s="632">
        <f t="shared" si="31"/>
        <v>273458.185</v>
      </c>
      <c r="M101" s="632">
        <f t="shared" si="31"/>
        <v>312523.64</v>
      </c>
      <c r="N101" s="584">
        <v>0.01</v>
      </c>
    </row>
    <row r="102" spans="2:16" ht="31.9" customHeight="1" thickTop="1" thickBot="1">
      <c r="B102" s="657"/>
      <c r="C102" s="657"/>
      <c r="D102" s="657"/>
      <c r="E102" s="657"/>
      <c r="F102" s="657" t="s">
        <v>307</v>
      </c>
      <c r="G102" s="632">
        <f ca="1">+G35*$N102</f>
        <v>0</v>
      </c>
      <c r="H102" s="632">
        <f t="shared" ref="H102:M102" ca="1" si="32">+H35*$N102</f>
        <v>0</v>
      </c>
      <c r="I102" s="632">
        <f t="shared" ca="1" si="32"/>
        <v>0</v>
      </c>
      <c r="J102" s="632">
        <f t="shared" ca="1" si="32"/>
        <v>0</v>
      </c>
      <c r="K102" s="632">
        <f t="shared" ca="1" si="32"/>
        <v>0</v>
      </c>
      <c r="L102" s="632">
        <f t="shared" ca="1" si="32"/>
        <v>0</v>
      </c>
      <c r="M102" s="632">
        <f t="shared" ca="1" si="32"/>
        <v>0</v>
      </c>
      <c r="N102" s="584">
        <v>0.01</v>
      </c>
    </row>
    <row r="103" spans="2:16" ht="31.9" customHeight="1" thickTop="1" thickBot="1">
      <c r="B103" s="657"/>
      <c r="C103" s="657"/>
      <c r="D103" s="657"/>
      <c r="E103" s="657"/>
      <c r="F103" s="657" t="s">
        <v>112</v>
      </c>
      <c r="G103" s="632" t="e">
        <f t="shared" ref="G103:M103" si="33">+G$67*G119</f>
        <v>#REF!</v>
      </c>
      <c r="H103" s="632" t="e">
        <f t="shared" si="33"/>
        <v>#REF!</v>
      </c>
      <c r="I103" s="632" t="e">
        <f t="shared" si="33"/>
        <v>#REF!</v>
      </c>
      <c r="J103" s="632" t="e">
        <f t="shared" si="33"/>
        <v>#REF!</v>
      </c>
      <c r="K103" s="632" t="e">
        <f t="shared" si="33"/>
        <v>#REF!</v>
      </c>
      <c r="L103" s="632" t="e">
        <f t="shared" si="33"/>
        <v>#REF!</v>
      </c>
      <c r="M103" s="632" t="e">
        <f t="shared" si="33"/>
        <v>#REF!</v>
      </c>
      <c r="N103" s="584">
        <v>0.02</v>
      </c>
    </row>
    <row r="104" spans="2:16" ht="29" thickTop="1"/>
    <row r="106" spans="2:16" ht="34.15" customHeight="1" thickBot="1">
      <c r="B106" s="535"/>
      <c r="C106" s="535"/>
      <c r="D106" s="535"/>
      <c r="E106" s="535"/>
      <c r="F106" s="535" t="s">
        <v>425</v>
      </c>
      <c r="G106" s="580">
        <f ca="1">SUM(G99:G103)</f>
        <v>279852.99200000003</v>
      </c>
      <c r="H106" s="580">
        <f t="shared" ref="H106:M106" ca="1" si="34">SUM(H99:H103)</f>
        <v>419779.48800000001</v>
      </c>
      <c r="I106" s="580">
        <f t="shared" ca="1" si="34"/>
        <v>562924.52480000036</v>
      </c>
      <c r="J106" s="580">
        <f t="shared" ca="1" si="34"/>
        <v>699632.48</v>
      </c>
      <c r="K106" s="580">
        <f t="shared" ca="1" si="34"/>
        <v>844386.78720000002</v>
      </c>
      <c r="L106" s="580">
        <f t="shared" ca="1" si="34"/>
        <v>979485.47200000007</v>
      </c>
      <c r="M106" s="580">
        <f t="shared" ca="1" si="34"/>
        <v>1125849.0496000007</v>
      </c>
    </row>
    <row r="107" spans="2:16" ht="29" thickTop="1"/>
    <row r="108" spans="2:16" ht="44.5" customHeight="1" thickBot="1">
      <c r="B108" s="527"/>
      <c r="C108" s="527"/>
      <c r="D108" s="527"/>
      <c r="E108" s="527"/>
      <c r="F108" s="528" t="s">
        <v>398</v>
      </c>
      <c r="G108" s="529" t="s">
        <v>104</v>
      </c>
      <c r="H108" s="529" t="s">
        <v>105</v>
      </c>
      <c r="I108" s="529" t="s">
        <v>106</v>
      </c>
      <c r="J108" s="529" t="s">
        <v>107</v>
      </c>
      <c r="K108" s="529" t="s">
        <v>108</v>
      </c>
      <c r="L108" s="529" t="s">
        <v>109</v>
      </c>
      <c r="M108" s="529" t="s">
        <v>110</v>
      </c>
    </row>
    <row r="109" spans="2:16" ht="9" customHeight="1" thickTop="1">
      <c r="D109" s="531"/>
      <c r="E109" s="531"/>
      <c r="F109" s="531"/>
      <c r="G109" s="532"/>
      <c r="H109" s="532"/>
      <c r="I109" s="532"/>
      <c r="J109" s="532"/>
      <c r="K109" s="532"/>
      <c r="L109" s="532"/>
      <c r="M109" s="532"/>
    </row>
    <row r="110" spans="2:16" ht="35.5" customHeight="1" thickBot="1">
      <c r="B110" s="539"/>
      <c r="C110" s="539"/>
      <c r="D110" s="539"/>
      <c r="E110" s="539"/>
      <c r="F110" s="539" t="s">
        <v>362</v>
      </c>
      <c r="G110" s="540">
        <f>IF(G10&gt;0,$P110,0)</f>
        <v>50000</v>
      </c>
      <c r="H110" s="540">
        <f t="shared" ref="H110:M110" si="35">IF(H10&gt;0,$P110,0)</f>
        <v>50000</v>
      </c>
      <c r="I110" s="540">
        <f t="shared" si="35"/>
        <v>50000</v>
      </c>
      <c r="J110" s="540">
        <f t="shared" si="35"/>
        <v>50000</v>
      </c>
      <c r="K110" s="540">
        <f t="shared" si="35"/>
        <v>50000</v>
      </c>
      <c r="L110" s="540">
        <f t="shared" si="35"/>
        <v>50000</v>
      </c>
      <c r="M110" s="540">
        <f t="shared" si="35"/>
        <v>50000</v>
      </c>
      <c r="P110" s="658">
        <v>50000</v>
      </c>
    </row>
    <row r="111" spans="2:16" ht="35.5" customHeight="1" thickTop="1" thickBot="1">
      <c r="B111" s="539"/>
      <c r="C111" s="539"/>
      <c r="D111" s="539"/>
      <c r="E111" s="539"/>
      <c r="F111" s="539" t="s">
        <v>103</v>
      </c>
      <c r="G111" s="540">
        <f t="shared" ref="G111:M111" ca="1" si="36">IF(G11&gt;0,$P111,0)</f>
        <v>0</v>
      </c>
      <c r="H111" s="540">
        <f t="shared" ca="1" si="36"/>
        <v>0</v>
      </c>
      <c r="I111" s="540">
        <f t="shared" ca="1" si="36"/>
        <v>50000</v>
      </c>
      <c r="J111" s="540">
        <f t="shared" ca="1" si="36"/>
        <v>0</v>
      </c>
      <c r="K111" s="540">
        <f t="shared" ca="1" si="36"/>
        <v>50000</v>
      </c>
      <c r="L111" s="540">
        <f t="shared" ca="1" si="36"/>
        <v>0</v>
      </c>
      <c r="M111" s="540">
        <f t="shared" ca="1" si="36"/>
        <v>50000</v>
      </c>
      <c r="P111" s="425">
        <v>50000</v>
      </c>
    </row>
    <row r="112" spans="2:16" ht="35.5" customHeight="1" thickTop="1" thickBot="1">
      <c r="B112" s="539"/>
      <c r="C112" s="539"/>
      <c r="D112" s="539"/>
      <c r="E112" s="539"/>
      <c r="F112" s="539" t="s">
        <v>478</v>
      </c>
      <c r="G112" s="540">
        <f t="shared" ref="G112:M113" si="37">IF(G12&gt;0,$P112,0)</f>
        <v>50000</v>
      </c>
      <c r="H112" s="540">
        <f t="shared" si="37"/>
        <v>50000</v>
      </c>
      <c r="I112" s="540">
        <f t="shared" si="37"/>
        <v>50000</v>
      </c>
      <c r="J112" s="540">
        <f t="shared" si="37"/>
        <v>50000</v>
      </c>
      <c r="K112" s="540">
        <f t="shared" si="37"/>
        <v>50000</v>
      </c>
      <c r="L112" s="540">
        <f t="shared" si="37"/>
        <v>50000</v>
      </c>
      <c r="M112" s="540">
        <f t="shared" si="37"/>
        <v>50000</v>
      </c>
      <c r="P112" s="425">
        <v>50000</v>
      </c>
    </row>
    <row r="113" spans="2:16" ht="35.5" customHeight="1" thickTop="1" thickBot="1">
      <c r="B113" s="539"/>
      <c r="C113" s="539"/>
      <c r="D113" s="539"/>
      <c r="E113" s="539"/>
      <c r="F113" s="539" t="s">
        <v>307</v>
      </c>
      <c r="G113" s="540">
        <f t="shared" ca="1" si="37"/>
        <v>0</v>
      </c>
      <c r="H113" s="540">
        <f t="shared" ca="1" si="37"/>
        <v>0</v>
      </c>
      <c r="I113" s="540">
        <f t="shared" ca="1" si="37"/>
        <v>0</v>
      </c>
      <c r="J113" s="540">
        <f t="shared" ca="1" si="37"/>
        <v>0</v>
      </c>
      <c r="K113" s="540">
        <f t="shared" ca="1" si="37"/>
        <v>0</v>
      </c>
      <c r="L113" s="540">
        <f t="shared" ca="1" si="37"/>
        <v>0</v>
      </c>
      <c r="M113" s="540">
        <f t="shared" ca="1" si="37"/>
        <v>0</v>
      </c>
      <c r="P113" s="425">
        <v>30000</v>
      </c>
    </row>
    <row r="114" spans="2:16" ht="35.5" customHeight="1" thickTop="1" thickBot="1">
      <c r="B114" s="539"/>
      <c r="C114" s="539"/>
      <c r="D114" s="539"/>
      <c r="E114" s="539"/>
      <c r="F114" s="539" t="s">
        <v>112</v>
      </c>
      <c r="G114" s="540">
        <f t="shared" ref="G114:M114" ca="1" si="38">+G$67*G129</f>
        <v>0</v>
      </c>
      <c r="H114" s="540">
        <f t="shared" ca="1" si="38"/>
        <v>0</v>
      </c>
      <c r="I114" s="540">
        <f t="shared" ca="1" si="38"/>
        <v>3839.0174234165729</v>
      </c>
      <c r="J114" s="540">
        <f t="shared" ca="1" si="38"/>
        <v>0</v>
      </c>
      <c r="K114" s="540">
        <f t="shared" ca="1" si="38"/>
        <v>5758.526135124408</v>
      </c>
      <c r="L114" s="540">
        <f t="shared" ca="1" si="38"/>
        <v>0</v>
      </c>
      <c r="M114" s="540">
        <f t="shared" ca="1" si="38"/>
        <v>7678.0348468331458</v>
      </c>
      <c r="P114" s="425">
        <f>SUM(P110:P113)</f>
        <v>180000</v>
      </c>
    </row>
    <row r="115" spans="2:16" ht="9" customHeight="1" thickTop="1"/>
    <row r="116" spans="2:16" ht="44.5" customHeight="1" thickBot="1">
      <c r="B116" s="535"/>
      <c r="C116" s="535"/>
      <c r="D116" s="535"/>
      <c r="E116" s="535"/>
      <c r="F116" s="535" t="s">
        <v>399</v>
      </c>
      <c r="G116" s="580">
        <f t="shared" ref="G116:M116" ca="1" si="39">SUM(G110:G114)</f>
        <v>100000</v>
      </c>
      <c r="H116" s="580">
        <f t="shared" ca="1" si="39"/>
        <v>100000</v>
      </c>
      <c r="I116" s="580">
        <f t="shared" ca="1" si="39"/>
        <v>153839.01742341658</v>
      </c>
      <c r="J116" s="580">
        <f t="shared" ca="1" si="39"/>
        <v>100000</v>
      </c>
      <c r="K116" s="580">
        <f t="shared" ca="1" si="39"/>
        <v>155758.52613512441</v>
      </c>
      <c r="L116" s="580">
        <f t="shared" ca="1" si="39"/>
        <v>100000</v>
      </c>
      <c r="M116" s="580">
        <f t="shared" ca="1" si="39"/>
        <v>157678.03484683315</v>
      </c>
    </row>
    <row r="117" spans="2:16" ht="29" thickTop="1"/>
    <row r="118" spans="2:16" ht="44.5" customHeight="1" thickBot="1">
      <c r="B118" s="527"/>
      <c r="C118" s="527"/>
      <c r="D118" s="527"/>
      <c r="E118" s="527"/>
      <c r="F118" s="528" t="s">
        <v>400</v>
      </c>
      <c r="G118" s="529" t="s">
        <v>104</v>
      </c>
      <c r="H118" s="529" t="s">
        <v>105</v>
      </c>
      <c r="I118" s="529" t="s">
        <v>106</v>
      </c>
      <c r="J118" s="529" t="s">
        <v>107</v>
      </c>
      <c r="K118" s="529" t="s">
        <v>108</v>
      </c>
      <c r="L118" s="529" t="s">
        <v>109</v>
      </c>
      <c r="M118" s="529" t="s">
        <v>110</v>
      </c>
    </row>
    <row r="119" spans="2:16" ht="29" thickTop="1">
      <c r="D119" s="531"/>
      <c r="E119" s="531"/>
      <c r="F119" s="531"/>
      <c r="G119" s="532"/>
      <c r="H119" s="585"/>
      <c r="I119" s="585"/>
      <c r="J119" s="585"/>
      <c r="K119" s="585"/>
      <c r="L119" s="585"/>
      <c r="M119" s="585"/>
    </row>
    <row r="120" spans="2:16" ht="28.9" customHeight="1" thickBot="1">
      <c r="B120" s="586"/>
      <c r="C120" s="586"/>
      <c r="D120" s="586"/>
      <c r="E120" s="586"/>
      <c r="F120" s="586" t="s">
        <v>362</v>
      </c>
      <c r="G120" s="587">
        <f>G158</f>
        <v>2.1766454781501084E-2</v>
      </c>
      <c r="H120" s="587">
        <f t="shared" ref="H120:M120" si="40">H158</f>
        <v>3.2649682172251622E-2</v>
      </c>
      <c r="I120" s="587">
        <f t="shared" si="40"/>
        <v>4.3532909563002167E-2</v>
      </c>
      <c r="J120" s="587">
        <f t="shared" si="40"/>
        <v>5.4416136953752706E-2</v>
      </c>
      <c r="K120" s="587">
        <f t="shared" si="40"/>
        <v>6.5299364344503244E-2</v>
      </c>
      <c r="L120" s="587">
        <f t="shared" si="40"/>
        <v>7.6182591735253796E-2</v>
      </c>
      <c r="M120" s="587">
        <f t="shared" si="40"/>
        <v>8.7065819126004335E-2</v>
      </c>
    </row>
    <row r="121" spans="2:16" ht="28.9" customHeight="1" thickTop="1" thickBot="1">
      <c r="B121" s="586"/>
      <c r="C121" s="586"/>
      <c r="D121" s="586"/>
      <c r="E121" s="586"/>
      <c r="F121" s="586" t="s">
        <v>103</v>
      </c>
      <c r="G121" s="587">
        <f ca="1">G160</f>
        <v>0</v>
      </c>
      <c r="H121" s="587">
        <f t="shared" ref="H121:M121" ca="1" si="41">H160</f>
        <v>0</v>
      </c>
      <c r="I121" s="587">
        <f t="shared" ca="1" si="41"/>
        <v>5.1424151501504214E-4</v>
      </c>
      <c r="J121" s="587">
        <f t="shared" ca="1" si="41"/>
        <v>0</v>
      </c>
      <c r="K121" s="587">
        <f t="shared" ca="1" si="41"/>
        <v>7.7136227252250277E-4</v>
      </c>
      <c r="L121" s="587">
        <f t="shared" ca="1" si="41"/>
        <v>0</v>
      </c>
      <c r="M121" s="587">
        <f t="shared" ca="1" si="41"/>
        <v>1.0284830300300843E-3</v>
      </c>
    </row>
    <row r="122" spans="2:16" ht="28.9" customHeight="1" thickTop="1" thickBot="1">
      <c r="B122" s="586"/>
      <c r="C122" s="586"/>
      <c r="D122" s="586"/>
      <c r="E122" s="586"/>
      <c r="F122" s="586" t="s">
        <v>478</v>
      </c>
      <c r="G122" s="659">
        <f>+G120</f>
        <v>2.1766454781501084E-2</v>
      </c>
      <c r="H122" s="659">
        <f t="shared" ref="H122:M122" si="42">+H120</f>
        <v>3.2649682172251622E-2</v>
      </c>
      <c r="I122" s="659">
        <f t="shared" si="42"/>
        <v>4.3532909563002167E-2</v>
      </c>
      <c r="J122" s="659">
        <f t="shared" si="42"/>
        <v>5.4416136953752706E-2</v>
      </c>
      <c r="K122" s="659">
        <f t="shared" si="42"/>
        <v>6.5299364344503244E-2</v>
      </c>
      <c r="L122" s="659">
        <f t="shared" si="42"/>
        <v>7.6182591735253796E-2</v>
      </c>
      <c r="M122" s="659">
        <f t="shared" si="42"/>
        <v>8.7065819126004335E-2</v>
      </c>
      <c r="N122" s="660" t="s">
        <v>451</v>
      </c>
    </row>
    <row r="123" spans="2:16" ht="28.9" customHeight="1" thickTop="1" thickBot="1">
      <c r="B123" s="586"/>
      <c r="C123" s="586"/>
      <c r="D123" s="586"/>
      <c r="E123" s="586"/>
      <c r="F123" s="586" t="s">
        <v>367</v>
      </c>
      <c r="G123" s="587">
        <f ca="1">G162</f>
        <v>0</v>
      </c>
      <c r="H123" s="587">
        <f t="shared" ref="H123:M123" ca="1" si="43">H162</f>
        <v>0</v>
      </c>
      <c r="I123" s="587">
        <f t="shared" ca="1" si="43"/>
        <v>0</v>
      </c>
      <c r="J123" s="587">
        <f t="shared" ca="1" si="43"/>
        <v>0</v>
      </c>
      <c r="K123" s="587">
        <f t="shared" ca="1" si="43"/>
        <v>0</v>
      </c>
      <c r="L123" s="587">
        <f t="shared" ca="1" si="43"/>
        <v>0</v>
      </c>
      <c r="M123" s="587">
        <f t="shared" ca="1" si="43"/>
        <v>0</v>
      </c>
    </row>
    <row r="124" spans="2:16" ht="29" thickTop="1"/>
    <row r="126" spans="2:16" ht="29" thickBot="1">
      <c r="B126" s="588"/>
      <c r="C126" s="588"/>
      <c r="D126" s="588"/>
      <c r="E126" s="588"/>
      <c r="F126" s="589" t="s">
        <v>401</v>
      </c>
      <c r="G126" s="590" t="s">
        <v>104</v>
      </c>
      <c r="H126" s="590" t="s">
        <v>105</v>
      </c>
      <c r="I126" s="590" t="s">
        <v>106</v>
      </c>
      <c r="J126" s="590" t="s">
        <v>107</v>
      </c>
      <c r="K126" s="590" t="s">
        <v>108</v>
      </c>
      <c r="L126" s="590" t="s">
        <v>109</v>
      </c>
      <c r="M126" s="590" t="s">
        <v>110</v>
      </c>
    </row>
    <row r="127" spans="2:16" ht="29" thickTop="1">
      <c r="B127" s="531"/>
      <c r="C127" s="531"/>
      <c r="D127" s="531"/>
      <c r="E127" s="531"/>
      <c r="F127" s="531"/>
      <c r="G127" s="532"/>
      <c r="H127" s="532"/>
      <c r="I127" s="532"/>
      <c r="J127" s="532"/>
      <c r="K127" s="532"/>
      <c r="L127" s="532"/>
      <c r="M127" s="532"/>
    </row>
    <row r="128" spans="2:16" ht="33" customHeight="1" thickBot="1">
      <c r="B128" s="533"/>
      <c r="C128" s="533"/>
      <c r="D128" s="533"/>
      <c r="E128" s="533"/>
      <c r="F128" s="533" t="s">
        <v>362</v>
      </c>
      <c r="G128" s="661">
        <f>G10/$AA$10</f>
        <v>0.25</v>
      </c>
      <c r="H128" s="661">
        <f t="shared" ref="H128:M128" si="44">H10/$AA$10</f>
        <v>0.375</v>
      </c>
      <c r="I128" s="661">
        <f t="shared" si="44"/>
        <v>0.5</v>
      </c>
      <c r="J128" s="661">
        <f t="shared" si="44"/>
        <v>0.625</v>
      </c>
      <c r="K128" s="661">
        <f t="shared" si="44"/>
        <v>0.75</v>
      </c>
      <c r="L128" s="661">
        <f t="shared" si="44"/>
        <v>0.875</v>
      </c>
      <c r="M128" s="661">
        <f t="shared" si="44"/>
        <v>1</v>
      </c>
    </row>
    <row r="129" spans="2:14" ht="33" customHeight="1" thickTop="1" thickBot="1">
      <c r="B129" s="533"/>
      <c r="C129" s="533"/>
      <c r="D129" s="533"/>
      <c r="E129" s="533"/>
      <c r="F129" s="533" t="s">
        <v>103</v>
      </c>
      <c r="G129" s="661">
        <f ca="1">+G11/$AA$11</f>
        <v>0</v>
      </c>
      <c r="H129" s="661">
        <f t="shared" ref="H129:M129" ca="1" si="45">+H11/$AA$11</f>
        <v>0</v>
      </c>
      <c r="I129" s="661">
        <f t="shared" ca="1" si="45"/>
        <v>8.3275503122837765E-3</v>
      </c>
      <c r="J129" s="661">
        <f t="shared" ca="1" si="45"/>
        <v>0</v>
      </c>
      <c r="K129" s="661">
        <f t="shared" ca="1" si="45"/>
        <v>1.2491325468424685E-2</v>
      </c>
      <c r="L129" s="661">
        <f t="shared" ca="1" si="45"/>
        <v>0</v>
      </c>
      <c r="M129" s="661">
        <f t="shared" ca="1" si="45"/>
        <v>1.6655100624567553E-2</v>
      </c>
    </row>
    <row r="130" spans="2:14" ht="33" customHeight="1" thickTop="1" thickBot="1">
      <c r="B130" s="533"/>
      <c r="C130" s="533"/>
      <c r="D130" s="533"/>
      <c r="E130" s="533"/>
      <c r="F130" s="533" t="s">
        <v>478</v>
      </c>
      <c r="G130" s="661">
        <f>+G12/$AA$12</f>
        <v>0.25</v>
      </c>
      <c r="H130" s="661">
        <f t="shared" ref="H130:M130" si="46">+H12/$AA$12</f>
        <v>0.375</v>
      </c>
      <c r="I130" s="661">
        <f t="shared" si="46"/>
        <v>0.5</v>
      </c>
      <c r="J130" s="661">
        <f t="shared" si="46"/>
        <v>0.625</v>
      </c>
      <c r="K130" s="661">
        <f t="shared" si="46"/>
        <v>0.75</v>
      </c>
      <c r="L130" s="661">
        <f t="shared" si="46"/>
        <v>0.875</v>
      </c>
      <c r="M130" s="661">
        <f t="shared" si="46"/>
        <v>1</v>
      </c>
    </row>
    <row r="131" spans="2:14" ht="33" customHeight="1" thickTop="1" thickBot="1">
      <c r="B131" s="533"/>
      <c r="C131" s="533"/>
      <c r="D131" s="533"/>
      <c r="E131" s="533"/>
      <c r="F131" s="533" t="s">
        <v>363</v>
      </c>
      <c r="G131" s="661">
        <f ca="1">+G14/$AA$14</f>
        <v>0.25003050748966937</v>
      </c>
      <c r="H131" s="661">
        <f t="shared" ref="H131:M131" ca="1" si="47">+H14/$AA$14</f>
        <v>0.37504576123450412</v>
      </c>
      <c r="I131" s="661">
        <f t="shared" ca="1" si="47"/>
        <v>0.5</v>
      </c>
      <c r="J131" s="661">
        <f t="shared" ca="1" si="47"/>
        <v>0.62507626872417354</v>
      </c>
      <c r="K131" s="661">
        <f t="shared" ca="1" si="47"/>
        <v>0.75</v>
      </c>
      <c r="L131" s="661">
        <f t="shared" ca="1" si="47"/>
        <v>0.87510677621384292</v>
      </c>
      <c r="M131" s="661">
        <f t="shared" ca="1" si="47"/>
        <v>1</v>
      </c>
    </row>
    <row r="132" spans="2:14" ht="29" thickTop="1">
      <c r="B132" s="531"/>
      <c r="C132" s="531"/>
      <c r="D132" s="531"/>
      <c r="E132" s="531"/>
      <c r="F132" s="531"/>
      <c r="G132" s="532"/>
      <c r="H132" s="532"/>
      <c r="I132" s="532"/>
      <c r="J132" s="532"/>
      <c r="K132" s="532"/>
      <c r="L132" s="532"/>
      <c r="M132" s="532"/>
    </row>
    <row r="133" spans="2:14" ht="30.65" customHeight="1" thickBot="1">
      <c r="B133" s="602"/>
      <c r="C133" s="602"/>
      <c r="D133" s="602"/>
      <c r="E133" s="602"/>
      <c r="F133" s="602" t="s">
        <v>402</v>
      </c>
      <c r="G133" s="662">
        <f ca="1">+G16/$AA$16</f>
        <v>0.22059105515764696</v>
      </c>
      <c r="H133" s="662">
        <f t="shared" ref="H133:M133" ca="1" si="48">+H16/$AA$16</f>
        <v>0.33088658273647048</v>
      </c>
      <c r="I133" s="662">
        <f t="shared" ca="1" si="48"/>
        <v>0.44189288936274917</v>
      </c>
      <c r="J133" s="662">
        <f t="shared" ca="1" si="48"/>
        <v>0.55147763789411741</v>
      </c>
      <c r="K133" s="662">
        <f t="shared" ca="1" si="48"/>
        <v>0.66283933404412365</v>
      </c>
      <c r="L133" s="662">
        <f t="shared" ca="1" si="48"/>
        <v>0.7720686930517644</v>
      </c>
      <c r="M133" s="662">
        <f t="shared" ca="1" si="48"/>
        <v>0.88378577872549835</v>
      </c>
    </row>
    <row r="134" spans="2:14" ht="29" thickTop="1">
      <c r="H134" s="564">
        <v>0.05</v>
      </c>
      <c r="I134" s="564">
        <v>0.05</v>
      </c>
      <c r="J134" s="564">
        <v>0.05</v>
      </c>
      <c r="K134" s="564">
        <v>0.05</v>
      </c>
      <c r="L134" s="564">
        <v>0.05</v>
      </c>
      <c r="M134" s="564">
        <v>0.05</v>
      </c>
    </row>
    <row r="135" spans="2:14" ht="29" thickBot="1">
      <c r="B135" s="588"/>
      <c r="C135" s="588"/>
      <c r="D135" s="588"/>
      <c r="E135" s="588"/>
      <c r="F135" s="589" t="s">
        <v>403</v>
      </c>
      <c r="G135" s="590" t="s">
        <v>104</v>
      </c>
      <c r="H135" s="590" t="s">
        <v>105</v>
      </c>
      <c r="I135" s="590" t="s">
        <v>106</v>
      </c>
      <c r="J135" s="590" t="s">
        <v>107</v>
      </c>
      <c r="K135" s="590" t="s">
        <v>108</v>
      </c>
      <c r="L135" s="590" t="s">
        <v>109</v>
      </c>
      <c r="M135" s="590" t="s">
        <v>110</v>
      </c>
    </row>
    <row r="136" spans="2:14" ht="6" customHeight="1" thickTop="1" thickBot="1">
      <c r="B136" s="531"/>
      <c r="C136" s="531"/>
      <c r="D136" s="531"/>
      <c r="E136" s="531"/>
      <c r="F136" s="531"/>
      <c r="G136" s="532"/>
      <c r="H136" s="532"/>
      <c r="I136" s="532"/>
      <c r="J136" s="532"/>
      <c r="K136" s="532"/>
      <c r="L136" s="532"/>
      <c r="M136" s="532"/>
    </row>
    <row r="137" spans="2:14" ht="26.5" customHeight="1">
      <c r="B137" s="591"/>
      <c r="C137" s="592">
        <v>0.2</v>
      </c>
      <c r="D137" s="593" t="s">
        <v>404</v>
      </c>
      <c r="E137" s="592">
        <v>0</v>
      </c>
      <c r="F137" s="593" t="s">
        <v>362</v>
      </c>
      <c r="G137" s="594">
        <v>35000</v>
      </c>
      <c r="H137" s="594">
        <f>+G137*(1+$C137)</f>
        <v>42000</v>
      </c>
      <c r="I137" s="594">
        <f t="shared" ref="I137:M141" si="49">+H137*(1+$C137)</f>
        <v>50400</v>
      </c>
      <c r="J137" s="594">
        <f t="shared" si="49"/>
        <v>60480</v>
      </c>
      <c r="K137" s="594">
        <f t="shared" si="49"/>
        <v>72576</v>
      </c>
      <c r="L137" s="594">
        <f t="shared" si="49"/>
        <v>87091.199999999997</v>
      </c>
      <c r="M137" s="594">
        <f t="shared" si="49"/>
        <v>104509.43999999999</v>
      </c>
    </row>
    <row r="138" spans="2:14" s="600" customFormat="1" ht="26.5" customHeight="1" thickBot="1">
      <c r="B138" s="595"/>
      <c r="C138" s="596">
        <v>0.2</v>
      </c>
      <c r="D138" s="597" t="s">
        <v>405</v>
      </c>
      <c r="E138" s="597">
        <v>550000</v>
      </c>
      <c r="F138" s="597"/>
      <c r="G138" s="598">
        <f>+$E$138*C138</f>
        <v>110000</v>
      </c>
      <c r="H138" s="598">
        <f>+G138*(1+$E137)</f>
        <v>110000</v>
      </c>
      <c r="I138" s="598">
        <f t="shared" ref="I138:M138" si="50">+H138*(1+$E137)</f>
        <v>110000</v>
      </c>
      <c r="J138" s="598">
        <f t="shared" si="50"/>
        <v>110000</v>
      </c>
      <c r="K138" s="598">
        <f t="shared" si="50"/>
        <v>110000</v>
      </c>
      <c r="L138" s="598">
        <f t="shared" si="50"/>
        <v>110000</v>
      </c>
      <c r="M138" s="598">
        <f t="shared" si="50"/>
        <v>110000</v>
      </c>
      <c r="N138" s="599"/>
    </row>
    <row r="139" spans="2:14" ht="26.5" customHeight="1">
      <c r="B139" s="591"/>
      <c r="C139" s="592">
        <v>0.4</v>
      </c>
      <c r="D139" s="593" t="s">
        <v>404</v>
      </c>
      <c r="E139" s="593"/>
      <c r="F139" s="593" t="s">
        <v>103</v>
      </c>
      <c r="G139" s="594">
        <v>2000</v>
      </c>
      <c r="H139" s="594">
        <f>+G139*(1+$C139)</f>
        <v>2800</v>
      </c>
      <c r="I139" s="594">
        <f t="shared" si="49"/>
        <v>3919.9999999999995</v>
      </c>
      <c r="J139" s="594">
        <f t="shared" si="49"/>
        <v>5487.9999999999991</v>
      </c>
      <c r="K139" s="594">
        <f t="shared" si="49"/>
        <v>7683.199999999998</v>
      </c>
      <c r="L139" s="594">
        <f t="shared" si="49"/>
        <v>10756.479999999996</v>
      </c>
      <c r="M139" s="594">
        <f t="shared" si="49"/>
        <v>15059.071999999993</v>
      </c>
    </row>
    <row r="140" spans="2:14" s="600" customFormat="1" ht="26.5" customHeight="1" thickBot="1">
      <c r="B140" s="595"/>
      <c r="C140" s="597"/>
      <c r="D140" s="597" t="s">
        <v>405</v>
      </c>
      <c r="E140" s="596">
        <v>0.05</v>
      </c>
      <c r="F140" s="597"/>
      <c r="G140" s="598">
        <v>40000</v>
      </c>
      <c r="H140" s="598">
        <f>+G140*(1+$E$140)</f>
        <v>42000</v>
      </c>
      <c r="I140" s="598">
        <f t="shared" ref="I140:M140" si="51">+H140*(1+$E$140)</f>
        <v>44100</v>
      </c>
      <c r="J140" s="598">
        <f t="shared" si="51"/>
        <v>46305</v>
      </c>
      <c r="K140" s="598">
        <f t="shared" si="51"/>
        <v>48620.25</v>
      </c>
      <c r="L140" s="598">
        <f t="shared" si="51"/>
        <v>51051.262500000004</v>
      </c>
      <c r="M140" s="598">
        <f t="shared" si="51"/>
        <v>53603.825625000005</v>
      </c>
      <c r="N140" s="599"/>
    </row>
    <row r="141" spans="2:14" ht="26.5" customHeight="1">
      <c r="B141" s="591"/>
      <c r="C141" s="592">
        <v>0.2</v>
      </c>
      <c r="D141" s="593" t="s">
        <v>404</v>
      </c>
      <c r="E141" s="593"/>
      <c r="F141" s="593" t="s">
        <v>307</v>
      </c>
      <c r="G141" s="594">
        <v>35000</v>
      </c>
      <c r="H141" s="594">
        <f>+G141*(1+$C141)</f>
        <v>42000</v>
      </c>
      <c r="I141" s="594">
        <f t="shared" si="49"/>
        <v>50400</v>
      </c>
      <c r="J141" s="594">
        <f t="shared" si="49"/>
        <v>60480</v>
      </c>
      <c r="K141" s="594">
        <f t="shared" si="49"/>
        <v>72576</v>
      </c>
      <c r="L141" s="594">
        <f t="shared" si="49"/>
        <v>87091.199999999997</v>
      </c>
      <c r="M141" s="594">
        <f t="shared" si="49"/>
        <v>104509.43999999999</v>
      </c>
    </row>
    <row r="142" spans="2:14" s="600" customFormat="1" ht="26.5" customHeight="1" thickBot="1">
      <c r="B142" s="595"/>
      <c r="C142" s="597"/>
      <c r="D142" s="597" t="s">
        <v>405</v>
      </c>
      <c r="E142" s="596">
        <v>0</v>
      </c>
      <c r="F142" s="597"/>
      <c r="G142" s="598">
        <f>G138</f>
        <v>110000</v>
      </c>
      <c r="H142" s="598">
        <f>+G142*(1+$E142)</f>
        <v>110000</v>
      </c>
      <c r="I142" s="598">
        <f t="shared" ref="I142:M142" si="52">+H142*(1+$E142)</f>
        <v>110000</v>
      </c>
      <c r="J142" s="598">
        <f t="shared" si="52"/>
        <v>110000</v>
      </c>
      <c r="K142" s="598">
        <f t="shared" si="52"/>
        <v>110000</v>
      </c>
      <c r="L142" s="598">
        <f t="shared" si="52"/>
        <v>110000</v>
      </c>
      <c r="M142" s="598">
        <f t="shared" si="52"/>
        <v>110000</v>
      </c>
      <c r="N142" s="601"/>
    </row>
    <row r="143" spans="2:14" ht="6" customHeight="1">
      <c r="B143" s="531"/>
      <c r="C143" s="531"/>
      <c r="D143" s="531"/>
      <c r="E143" s="531"/>
      <c r="F143" s="531"/>
      <c r="G143" s="532"/>
      <c r="H143" s="532"/>
      <c r="I143" s="532"/>
      <c r="J143" s="532"/>
      <c r="K143" s="532"/>
      <c r="L143" s="532"/>
      <c r="M143" s="532"/>
    </row>
    <row r="144" spans="2:14" ht="34.9" customHeight="1" thickBot="1">
      <c r="B144" s="602"/>
      <c r="C144" s="602"/>
      <c r="D144" s="602"/>
      <c r="E144" s="602"/>
      <c r="F144" s="602" t="s">
        <v>406</v>
      </c>
      <c r="G144" s="603">
        <f>+G137+G139+G141</f>
        <v>72000</v>
      </c>
      <c r="H144" s="603">
        <f t="shared" ref="H144:L144" si="53">+H137+H139+H141</f>
        <v>86800</v>
      </c>
      <c r="I144" s="603">
        <f t="shared" si="53"/>
        <v>104720</v>
      </c>
      <c r="J144" s="603">
        <f t="shared" si="53"/>
        <v>126448</v>
      </c>
      <c r="K144" s="603">
        <f t="shared" si="53"/>
        <v>152835.20000000001</v>
      </c>
      <c r="L144" s="603">
        <f t="shared" si="53"/>
        <v>184938.88</v>
      </c>
      <c r="M144" s="603">
        <f>+M137+M139+M141</f>
        <v>224077.95199999999</v>
      </c>
    </row>
    <row r="145" spans="2:14" ht="29" thickTop="1"/>
    <row r="146" spans="2:14" ht="114.5" thickBot="1">
      <c r="B146" s="588"/>
      <c r="C146" s="588"/>
      <c r="D146" s="588" t="s">
        <v>116</v>
      </c>
      <c r="E146" s="588"/>
      <c r="F146" s="589" t="s">
        <v>407</v>
      </c>
      <c r="G146" s="590" t="s">
        <v>104</v>
      </c>
      <c r="H146" s="590" t="s">
        <v>105</v>
      </c>
      <c r="I146" s="590" t="s">
        <v>106</v>
      </c>
      <c r="J146" s="590" t="s">
        <v>107</v>
      </c>
      <c r="K146" s="590" t="s">
        <v>108</v>
      </c>
      <c r="L146" s="590" t="s">
        <v>109</v>
      </c>
      <c r="M146" s="590" t="s">
        <v>110</v>
      </c>
    </row>
    <row r="147" spans="2:14" ht="29.5" thickTop="1" thickBot="1">
      <c r="B147" s="531"/>
      <c r="C147" s="531"/>
      <c r="D147" s="531"/>
      <c r="E147" s="531"/>
      <c r="F147" s="531"/>
      <c r="G147" s="532"/>
      <c r="H147" s="532"/>
      <c r="I147" s="532"/>
      <c r="J147" s="532"/>
      <c r="K147" s="532"/>
      <c r="L147" s="532"/>
      <c r="M147" s="532"/>
    </row>
    <row r="148" spans="2:14">
      <c r="B148" s="591"/>
      <c r="C148" s="592"/>
      <c r="D148" s="593" t="s">
        <v>408</v>
      </c>
      <c r="E148" s="592">
        <v>0.3</v>
      </c>
      <c r="F148" s="593" t="s">
        <v>362</v>
      </c>
      <c r="G148" s="604">
        <v>0.1</v>
      </c>
      <c r="H148" s="604">
        <v>0.2</v>
      </c>
      <c r="I148" s="604">
        <v>0.25</v>
      </c>
      <c r="J148" s="604">
        <v>0.3</v>
      </c>
      <c r="K148" s="604">
        <v>0.3</v>
      </c>
      <c r="L148" s="604">
        <v>0.3</v>
      </c>
      <c r="M148" s="604">
        <v>0.3</v>
      </c>
    </row>
    <row r="149" spans="2:14" ht="29" thickBot="1">
      <c r="B149" s="595"/>
      <c r="C149" s="596"/>
      <c r="D149" s="597" t="s">
        <v>409</v>
      </c>
      <c r="E149" s="597"/>
      <c r="F149" s="605"/>
      <c r="G149" s="606">
        <f>+G148*G137</f>
        <v>3500</v>
      </c>
      <c r="H149" s="606">
        <f t="shared" ref="H149:M149" si="54">+H148*H137</f>
        <v>8400</v>
      </c>
      <c r="I149" s="606">
        <f t="shared" si="54"/>
        <v>12600</v>
      </c>
      <c r="J149" s="606">
        <f t="shared" si="54"/>
        <v>18144</v>
      </c>
      <c r="K149" s="606">
        <f t="shared" si="54"/>
        <v>21772.799999999999</v>
      </c>
      <c r="L149" s="606">
        <f t="shared" si="54"/>
        <v>26127.359999999997</v>
      </c>
      <c r="M149" s="606">
        <f t="shared" si="54"/>
        <v>31352.831999999995</v>
      </c>
    </row>
    <row r="150" spans="2:14">
      <c r="B150" s="591"/>
      <c r="C150" s="592"/>
      <c r="D150" s="593" t="s">
        <v>408</v>
      </c>
      <c r="E150" s="592">
        <v>0.5</v>
      </c>
      <c r="F150" s="593" t="s">
        <v>103</v>
      </c>
      <c r="G150" s="604">
        <v>0.3</v>
      </c>
      <c r="H150" s="604">
        <v>0.35</v>
      </c>
      <c r="I150" s="604">
        <v>0.4</v>
      </c>
      <c r="J150" s="604">
        <v>0.45</v>
      </c>
      <c r="K150" s="604">
        <v>0.5</v>
      </c>
      <c r="L150" s="604">
        <v>0.5</v>
      </c>
      <c r="M150" s="604">
        <v>0.5</v>
      </c>
    </row>
    <row r="151" spans="2:14" ht="29" thickBot="1">
      <c r="B151" s="595"/>
      <c r="C151" s="597"/>
      <c r="D151" s="597" t="s">
        <v>409</v>
      </c>
      <c r="E151" s="597"/>
      <c r="F151" s="605"/>
      <c r="G151" s="606">
        <f>+G150*G139</f>
        <v>600</v>
      </c>
      <c r="H151" s="606">
        <f t="shared" ref="H151:M151" si="55">+H150*H139</f>
        <v>979.99999999999989</v>
      </c>
      <c r="I151" s="606">
        <f t="shared" si="55"/>
        <v>1568</v>
      </c>
      <c r="J151" s="606">
        <f t="shared" si="55"/>
        <v>2469.5999999999995</v>
      </c>
      <c r="K151" s="606">
        <f t="shared" si="55"/>
        <v>3841.599999999999</v>
      </c>
      <c r="L151" s="606">
        <f t="shared" si="55"/>
        <v>5378.239999999998</v>
      </c>
      <c r="M151" s="606">
        <f t="shared" si="55"/>
        <v>7529.5359999999964</v>
      </c>
    </row>
    <row r="152" spans="2:14">
      <c r="B152" s="591"/>
      <c r="C152" s="592"/>
      <c r="D152" s="593" t="s">
        <v>408</v>
      </c>
      <c r="E152" s="592">
        <v>0.5</v>
      </c>
      <c r="F152" s="593" t="s">
        <v>307</v>
      </c>
      <c r="G152" s="604">
        <v>0.1</v>
      </c>
      <c r="H152" s="604">
        <v>0.2</v>
      </c>
      <c r="I152" s="604">
        <v>0.3</v>
      </c>
      <c r="J152" s="604">
        <v>0.3</v>
      </c>
      <c r="K152" s="604">
        <v>0.4</v>
      </c>
      <c r="L152" s="604">
        <v>0.5</v>
      </c>
      <c r="M152" s="604">
        <v>0.5</v>
      </c>
    </row>
    <row r="153" spans="2:14" ht="29" thickBot="1">
      <c r="B153" s="595"/>
      <c r="C153" s="597"/>
      <c r="D153" s="597" t="s">
        <v>409</v>
      </c>
      <c r="E153" s="596"/>
      <c r="F153" s="605"/>
      <c r="G153" s="606">
        <f>+G152*G141</f>
        <v>3500</v>
      </c>
      <c r="H153" s="606">
        <f t="shared" ref="H153:M153" si="56">+H152*H141</f>
        <v>8400</v>
      </c>
      <c r="I153" s="606">
        <f t="shared" si="56"/>
        <v>15120</v>
      </c>
      <c r="J153" s="606">
        <f t="shared" si="56"/>
        <v>18144</v>
      </c>
      <c r="K153" s="606">
        <f t="shared" si="56"/>
        <v>29030.400000000001</v>
      </c>
      <c r="L153" s="606">
        <f t="shared" si="56"/>
        <v>43545.599999999999</v>
      </c>
      <c r="M153" s="606">
        <f t="shared" si="56"/>
        <v>52254.719999999994</v>
      </c>
    </row>
    <row r="154" spans="2:14">
      <c r="B154" s="531"/>
      <c r="C154" s="531"/>
      <c r="D154" s="531"/>
      <c r="E154" s="531"/>
      <c r="F154" s="531"/>
      <c r="G154" s="532"/>
      <c r="H154" s="532"/>
      <c r="I154" s="532"/>
      <c r="J154" s="532"/>
      <c r="K154" s="532"/>
      <c r="L154" s="532"/>
      <c r="M154" s="532"/>
    </row>
    <row r="155" spans="2:14" ht="36.65" customHeight="1" thickBot="1">
      <c r="B155" s="602"/>
      <c r="C155" s="602"/>
      <c r="D155" s="602"/>
      <c r="E155" s="602"/>
      <c r="F155" s="602" t="s">
        <v>410</v>
      </c>
      <c r="G155" s="603">
        <f>G153+G151+G149</f>
        <v>7600</v>
      </c>
      <c r="H155" s="603">
        <f t="shared" ref="H155:M155" si="57">H153+H151+H149</f>
        <v>17780</v>
      </c>
      <c r="I155" s="603">
        <f t="shared" si="57"/>
        <v>29288</v>
      </c>
      <c r="J155" s="603">
        <f t="shared" si="57"/>
        <v>38757.599999999999</v>
      </c>
      <c r="K155" s="603">
        <f t="shared" si="57"/>
        <v>54644.800000000003</v>
      </c>
      <c r="L155" s="603">
        <f t="shared" si="57"/>
        <v>75051.199999999997</v>
      </c>
      <c r="M155" s="603">
        <f t="shared" si="57"/>
        <v>91137.087999999989</v>
      </c>
    </row>
    <row r="156" spans="2:14" ht="29" thickTop="1"/>
    <row r="157" spans="2:14" ht="29" thickBot="1">
      <c r="F157" s="426" t="s">
        <v>411</v>
      </c>
      <c r="N157" s="420" t="s">
        <v>412</v>
      </c>
    </row>
    <row r="158" spans="2:14">
      <c r="B158" s="593" t="s">
        <v>413</v>
      </c>
      <c r="C158" s="593"/>
      <c r="D158" s="593"/>
      <c r="E158" s="593"/>
      <c r="F158" s="593" t="s">
        <v>362</v>
      </c>
      <c r="G158" s="607">
        <f t="shared" ref="G158:L158" si="58">+(G159/$N159)*$N158</f>
        <v>2.1766454781501084E-2</v>
      </c>
      <c r="H158" s="607">
        <f t="shared" si="58"/>
        <v>3.2649682172251622E-2</v>
      </c>
      <c r="I158" s="607">
        <f t="shared" si="58"/>
        <v>4.3532909563002167E-2</v>
      </c>
      <c r="J158" s="607">
        <f t="shared" si="58"/>
        <v>5.4416136953752706E-2</v>
      </c>
      <c r="K158" s="607">
        <f t="shared" si="58"/>
        <v>6.5299364344503244E-2</v>
      </c>
      <c r="L158" s="607">
        <f t="shared" si="58"/>
        <v>7.6182591735253796E-2</v>
      </c>
      <c r="M158" s="607">
        <f>+(M159/$N159)*$N158</f>
        <v>8.7065819126004335E-2</v>
      </c>
      <c r="N158" s="564">
        <v>0.1</v>
      </c>
    </row>
    <row r="159" spans="2:14" ht="29" thickBot="1">
      <c r="B159" s="605" t="s">
        <v>414</v>
      </c>
      <c r="C159" s="605"/>
      <c r="D159" s="605"/>
      <c r="E159" s="605"/>
      <c r="F159" s="605"/>
      <c r="G159" s="606">
        <f t="shared" ref="G159:M159" si="59">+G10</f>
        <v>6824.4000000000005</v>
      </c>
      <c r="H159" s="606">
        <f t="shared" si="59"/>
        <v>10236.6</v>
      </c>
      <c r="I159" s="606">
        <f t="shared" si="59"/>
        <v>13648.800000000001</v>
      </c>
      <c r="J159" s="606">
        <f t="shared" si="59"/>
        <v>17061</v>
      </c>
      <c r="K159" s="606">
        <f t="shared" si="59"/>
        <v>20473.2</v>
      </c>
      <c r="L159" s="606">
        <f t="shared" si="59"/>
        <v>23885.4</v>
      </c>
      <c r="M159" s="606">
        <f t="shared" si="59"/>
        <v>27297.600000000002</v>
      </c>
      <c r="N159" s="608">
        <f>+M149</f>
        <v>31352.831999999995</v>
      </c>
    </row>
    <row r="160" spans="2:14">
      <c r="B160" s="593" t="s">
        <v>413</v>
      </c>
      <c r="C160" s="593"/>
      <c r="D160" s="593"/>
      <c r="E160" s="593"/>
      <c r="F160" s="593" t="s">
        <v>103</v>
      </c>
      <c r="G160" s="607">
        <f t="shared" ref="G160" ca="1" si="60">+(G161/$N161)*$N160</f>
        <v>0</v>
      </c>
      <c r="H160" s="607">
        <f t="shared" ref="H160" ca="1" si="61">+(H161/$N161)*$N160</f>
        <v>0</v>
      </c>
      <c r="I160" s="607">
        <f t="shared" ref="I160" ca="1" si="62">+(I161/$N161)*$N160</f>
        <v>5.1424151501504214E-4</v>
      </c>
      <c r="J160" s="607">
        <f t="shared" ref="J160" ca="1" si="63">+(J161/$N161)*$N160</f>
        <v>0</v>
      </c>
      <c r="K160" s="607">
        <f t="shared" ref="K160" ca="1" si="64">+(K161/$N161)*$N160</f>
        <v>7.7136227252250277E-4</v>
      </c>
      <c r="L160" s="607">
        <f t="shared" ref="L160" ca="1" si="65">+(L161/$N161)*$N160</f>
        <v>0</v>
      </c>
      <c r="M160" s="607">
        <f ca="1">+(M161/$N161)*$N160</f>
        <v>1.0284830300300843E-3</v>
      </c>
      <c r="N160" s="564">
        <v>0.05</v>
      </c>
    </row>
    <row r="161" spans="2:14" ht="29" thickBot="1">
      <c r="B161" s="605" t="s">
        <v>414</v>
      </c>
      <c r="C161" s="605"/>
      <c r="D161" s="605"/>
      <c r="E161" s="605"/>
      <c r="F161" s="605"/>
      <c r="G161" s="606">
        <f t="shared" ref="G161:M161" ca="1" si="66">+G11</f>
        <v>0</v>
      </c>
      <c r="H161" s="606">
        <f t="shared" ca="1" si="66"/>
        <v>0</v>
      </c>
      <c r="I161" s="606">
        <f t="shared" ca="1" si="66"/>
        <v>77.440000000005966</v>
      </c>
      <c r="J161" s="606">
        <f t="shared" ca="1" si="66"/>
        <v>0</v>
      </c>
      <c r="K161" s="606">
        <f t="shared" ca="1" si="66"/>
        <v>116.15999999999985</v>
      </c>
      <c r="L161" s="606">
        <f t="shared" ca="1" si="66"/>
        <v>0</v>
      </c>
      <c r="M161" s="606">
        <f t="shared" ca="1" si="66"/>
        <v>154.88000000001193</v>
      </c>
      <c r="N161" s="608">
        <f>+M151</f>
        <v>7529.5359999999964</v>
      </c>
    </row>
    <row r="162" spans="2:14">
      <c r="B162" s="593" t="s">
        <v>413</v>
      </c>
      <c r="C162" s="593"/>
      <c r="D162" s="593"/>
      <c r="E162" s="593"/>
      <c r="F162" s="593" t="s">
        <v>307</v>
      </c>
      <c r="G162" s="607">
        <f t="shared" ref="G162" ca="1" si="67">+(G163/$N163)*$N162</f>
        <v>0</v>
      </c>
      <c r="H162" s="607">
        <f t="shared" ref="H162" ca="1" si="68">+(H163/$N163)*$N162</f>
        <v>0</v>
      </c>
      <c r="I162" s="607">
        <f t="shared" ref="I162" ca="1" si="69">+(I163/$N163)*$N162</f>
        <v>0</v>
      </c>
      <c r="J162" s="607">
        <f t="shared" ref="J162" ca="1" si="70">+(J163/$N163)*$N162</f>
        <v>0</v>
      </c>
      <c r="K162" s="607">
        <f t="shared" ref="K162" ca="1" si="71">+(K163/$N163)*$N162</f>
        <v>0</v>
      </c>
      <c r="L162" s="607">
        <f t="shared" ref="L162" ca="1" si="72">+(L163/$N163)*$N162</f>
        <v>0</v>
      </c>
      <c r="M162" s="607">
        <f ca="1">+(M163/$N163)*$N162</f>
        <v>0</v>
      </c>
      <c r="N162" s="564">
        <v>0.1</v>
      </c>
    </row>
    <row r="163" spans="2:14" ht="29" thickBot="1">
      <c r="B163" s="605" t="s">
        <v>414</v>
      </c>
      <c r="C163" s="605"/>
      <c r="D163" s="605"/>
      <c r="E163" s="605"/>
      <c r="F163" s="605"/>
      <c r="G163" s="606">
        <f t="shared" ref="G163:M163" ca="1" si="73">+G13</f>
        <v>0</v>
      </c>
      <c r="H163" s="606">
        <f t="shared" ca="1" si="73"/>
        <v>0</v>
      </c>
      <c r="I163" s="606">
        <f t="shared" ca="1" si="73"/>
        <v>0</v>
      </c>
      <c r="J163" s="606">
        <f t="shared" ca="1" si="73"/>
        <v>0</v>
      </c>
      <c r="K163" s="606">
        <f t="shared" ca="1" si="73"/>
        <v>0</v>
      </c>
      <c r="L163" s="606">
        <f t="shared" ca="1" si="73"/>
        <v>0</v>
      </c>
      <c r="M163" s="606">
        <f t="shared" ca="1" si="73"/>
        <v>0</v>
      </c>
      <c r="N163" s="608">
        <f>+M153</f>
        <v>52254.719999999994</v>
      </c>
    </row>
    <row r="165" spans="2:14" ht="42.65" customHeight="1" thickBot="1">
      <c r="B165" s="527"/>
      <c r="C165" s="527"/>
      <c r="D165" s="527"/>
      <c r="E165" s="527"/>
      <c r="F165" s="528" t="s">
        <v>228</v>
      </c>
      <c r="G165" s="529" t="s">
        <v>104</v>
      </c>
      <c r="H165" s="529" t="s">
        <v>105</v>
      </c>
      <c r="I165" s="529" t="s">
        <v>106</v>
      </c>
      <c r="J165" s="529" t="s">
        <v>107</v>
      </c>
      <c r="K165" s="529" t="s">
        <v>108</v>
      </c>
      <c r="L165" s="529" t="s">
        <v>109</v>
      </c>
      <c r="M165" s="529" t="s">
        <v>110</v>
      </c>
    </row>
    <row r="166" spans="2:14" ht="7.9" customHeight="1" thickTop="1">
      <c r="D166" s="531"/>
      <c r="E166" s="531"/>
      <c r="F166" s="531"/>
      <c r="G166" s="532"/>
      <c r="H166" s="532"/>
      <c r="I166" s="532"/>
      <c r="J166" s="532"/>
      <c r="K166" s="532"/>
      <c r="L166" s="532"/>
      <c r="M166" s="532"/>
    </row>
    <row r="167" spans="2:14" ht="31.9" customHeight="1" thickBot="1">
      <c r="B167" s="539"/>
      <c r="C167" s="539"/>
      <c r="D167" s="539"/>
      <c r="E167" s="539"/>
      <c r="F167" s="539" t="s">
        <v>362</v>
      </c>
      <c r="G167" s="540">
        <f>+G32*$N167</f>
        <v>171974.88</v>
      </c>
      <c r="H167" s="540">
        <f t="shared" ref="H167:M167" si="74">+H32*$N167</f>
        <v>257962.32</v>
      </c>
      <c r="I167" s="540">
        <f t="shared" si="74"/>
        <v>343949.76</v>
      </c>
      <c r="J167" s="540">
        <f t="shared" si="74"/>
        <v>429937.2</v>
      </c>
      <c r="K167" s="540">
        <f t="shared" si="74"/>
        <v>515924.64</v>
      </c>
      <c r="L167" s="540">
        <f t="shared" si="74"/>
        <v>601912.07999999996</v>
      </c>
      <c r="M167" s="540">
        <f t="shared" si="74"/>
        <v>687899.52</v>
      </c>
      <c r="N167" s="584">
        <v>0.01</v>
      </c>
    </row>
    <row r="168" spans="2:14" ht="31.9" customHeight="1" thickTop="1" thickBot="1">
      <c r="B168" s="539"/>
      <c r="C168" s="539"/>
      <c r="D168" s="539"/>
      <c r="E168" s="539"/>
      <c r="F168" s="539" t="s">
        <v>103</v>
      </c>
      <c r="G168" s="540">
        <f t="shared" ref="G168:M169" ca="1" si="75">+G33*$N168</f>
        <v>0</v>
      </c>
      <c r="H168" s="540">
        <f t="shared" ca="1" si="75"/>
        <v>0</v>
      </c>
      <c r="I168" s="540">
        <f t="shared" ca="1" si="75"/>
        <v>1861.2704000001436</v>
      </c>
      <c r="J168" s="540">
        <f t="shared" ca="1" si="75"/>
        <v>0</v>
      </c>
      <c r="K168" s="540">
        <f t="shared" ca="1" si="75"/>
        <v>2791.9055999999964</v>
      </c>
      <c r="L168" s="540">
        <f t="shared" ca="1" si="75"/>
        <v>0</v>
      </c>
      <c r="M168" s="540">
        <f t="shared" ca="1" si="75"/>
        <v>3722.5408000002872</v>
      </c>
      <c r="N168" s="584">
        <v>0.01</v>
      </c>
    </row>
    <row r="169" spans="2:14" ht="31.9" customHeight="1" thickTop="1" thickBot="1">
      <c r="B169" s="539"/>
      <c r="C169" s="539"/>
      <c r="D169" s="539"/>
      <c r="E169" s="539"/>
      <c r="F169" s="539" t="s">
        <v>478</v>
      </c>
      <c r="G169" s="540">
        <f t="shared" si="75"/>
        <v>78130.91</v>
      </c>
      <c r="H169" s="540">
        <f t="shared" si="75"/>
        <v>117196.36500000001</v>
      </c>
      <c r="I169" s="540">
        <f t="shared" si="75"/>
        <v>156261.82</v>
      </c>
      <c r="J169" s="540">
        <f t="shared" si="75"/>
        <v>195327.27499999999</v>
      </c>
      <c r="K169" s="540">
        <f t="shared" si="75"/>
        <v>234392.73</v>
      </c>
      <c r="L169" s="540">
        <f t="shared" si="75"/>
        <v>273458.185</v>
      </c>
      <c r="M169" s="540">
        <f t="shared" si="75"/>
        <v>312523.64</v>
      </c>
      <c r="N169" s="584">
        <v>0.01</v>
      </c>
    </row>
    <row r="170" spans="2:14" ht="31.9" customHeight="1" thickTop="1" thickBot="1">
      <c r="B170" s="539"/>
      <c r="C170" s="539"/>
      <c r="D170" s="539"/>
      <c r="E170" s="539"/>
      <c r="F170" s="539" t="s">
        <v>307</v>
      </c>
      <c r="G170" s="540">
        <f ca="1">+G39*$N170</f>
        <v>123919.12</v>
      </c>
      <c r="H170" s="540">
        <f t="shared" ref="H170:M170" ca="1" si="76">+H39*$N170</f>
        <v>185878.68000000005</v>
      </c>
      <c r="I170" s="540">
        <f t="shared" ca="1" si="76"/>
        <v>247808.00000000003</v>
      </c>
      <c r="J170" s="540">
        <f t="shared" ca="1" si="76"/>
        <v>309797.80000000005</v>
      </c>
      <c r="K170" s="540">
        <f t="shared" ca="1" si="76"/>
        <v>371712.00000000006</v>
      </c>
      <c r="L170" s="540">
        <f t="shared" ca="1" si="76"/>
        <v>433716.92</v>
      </c>
      <c r="M170" s="540">
        <f t="shared" ca="1" si="76"/>
        <v>495616.00000000006</v>
      </c>
      <c r="N170" s="584">
        <v>0.01</v>
      </c>
    </row>
    <row r="171" spans="2:14" ht="31.9" customHeight="1" thickTop="1" thickBot="1">
      <c r="B171" s="539"/>
      <c r="C171" s="539"/>
      <c r="D171" s="539"/>
      <c r="E171" s="539"/>
      <c r="F171" s="539" t="s">
        <v>112</v>
      </c>
      <c r="G171" s="540" t="e">
        <f t="shared" ref="G171:M171" si="77">+G$67*G186</f>
        <v>#REF!</v>
      </c>
      <c r="H171" s="540" t="e">
        <f t="shared" si="77"/>
        <v>#REF!</v>
      </c>
      <c r="I171" s="540" t="e">
        <f t="shared" si="77"/>
        <v>#REF!</v>
      </c>
      <c r="J171" s="540" t="e">
        <f t="shared" si="77"/>
        <v>#REF!</v>
      </c>
      <c r="K171" s="540" t="e">
        <f t="shared" si="77"/>
        <v>#REF!</v>
      </c>
      <c r="L171" s="540" t="e">
        <f t="shared" si="77"/>
        <v>#REF!</v>
      </c>
      <c r="M171" s="540" t="e">
        <f t="shared" si="77"/>
        <v>#REF!</v>
      </c>
      <c r="N171" s="584">
        <v>0.01</v>
      </c>
    </row>
    <row r="172" spans="2:14" ht="7.9" customHeight="1" thickTop="1"/>
    <row r="173" spans="2:14" ht="42.65" customHeight="1" thickBot="1">
      <c r="B173" s="535"/>
      <c r="C173" s="535"/>
      <c r="D173" s="535"/>
      <c r="E173" s="535"/>
      <c r="F173" s="535" t="s">
        <v>452</v>
      </c>
      <c r="G173" s="580">
        <f ca="1">SUM(G167:G171)</f>
        <v>403772.11200000002</v>
      </c>
      <c r="H173" s="580">
        <f t="shared" ref="H173:M173" ca="1" si="78">SUM(H167:H171)</f>
        <v>605658.16800000006</v>
      </c>
      <c r="I173" s="580">
        <f t="shared" ca="1" si="78"/>
        <v>808871.25440000021</v>
      </c>
      <c r="J173" s="580">
        <f t="shared" ca="1" si="78"/>
        <v>1009430.28</v>
      </c>
      <c r="K173" s="580">
        <f t="shared" ca="1" si="78"/>
        <v>1213306.8816</v>
      </c>
      <c r="L173" s="580">
        <f t="shared" ca="1" si="78"/>
        <v>1413202.392</v>
      </c>
      <c r="M173" s="580">
        <f t="shared" ca="1" si="78"/>
        <v>1617742.5088000004</v>
      </c>
    </row>
    <row r="174" spans="2:14" ht="29" thickTop="1"/>
  </sheetData>
  <mergeCells count="5">
    <mergeCell ref="D3:H3"/>
    <mergeCell ref="S7:U7"/>
    <mergeCell ref="X7:AA7"/>
    <mergeCell ref="P5:AA5"/>
    <mergeCell ref="B59:E5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3:Q40"/>
  <sheetViews>
    <sheetView topLeftCell="A10" workbookViewId="0">
      <selection activeCell="R22" sqref="R22"/>
    </sheetView>
  </sheetViews>
  <sheetFormatPr baseColWidth="10" defaultColWidth="11.54296875" defaultRowHeight="13"/>
  <cols>
    <col min="1" max="1" width="49.26953125" style="335" customWidth="1"/>
    <col min="2" max="2" width="9" style="343" customWidth="1"/>
    <col min="3" max="3" width="12.81640625" style="345" bestFit="1" customWidth="1"/>
    <col min="4" max="4" width="7.7265625" style="345" customWidth="1"/>
    <col min="5" max="5" width="9.54296875" style="345" customWidth="1"/>
    <col min="6" max="6" width="7.7265625" style="345" customWidth="1"/>
    <col min="7" max="9" width="8.81640625" style="345" customWidth="1"/>
    <col min="10" max="10" width="7.7265625" style="345" customWidth="1"/>
    <col min="11" max="11" width="9" style="345" customWidth="1"/>
    <col min="12" max="12" width="7.7265625" style="345" customWidth="1"/>
    <col min="13" max="15" width="8.7265625" style="345" customWidth="1"/>
    <col min="16" max="16" width="10.453125" style="345" customWidth="1"/>
    <col min="17" max="16384" width="11.54296875" style="345"/>
  </cols>
  <sheetData>
    <row r="3" spans="1:12" s="335" customFormat="1">
      <c r="B3" s="336" t="s">
        <v>261</v>
      </c>
    </row>
    <row r="4" spans="1:12" s="335" customFormat="1">
      <c r="B4" s="336"/>
    </row>
    <row r="7" spans="1:12" s="338" customFormat="1">
      <c r="A7" s="337" t="s">
        <v>262</v>
      </c>
      <c r="E7" s="339">
        <f>([4]INVESTISSEMENT!E19+[4]INVESTISSEMENT!E21)/[4]INVESTISSEMENT!E30*('[4]P.R. T.S. Antifissuration'!E9+'[4]P.R. T.S. Antifissuration'!E10)</f>
        <v>1883697.6721536638</v>
      </c>
      <c r="F7" s="338" t="s">
        <v>263</v>
      </c>
    </row>
    <row r="8" spans="1:12" s="341" customFormat="1">
      <c r="A8" s="340"/>
      <c r="E8" s="342"/>
    </row>
    <row r="9" spans="1:12">
      <c r="A9" s="335" t="s">
        <v>264</v>
      </c>
      <c r="C9" s="344">
        <v>650000</v>
      </c>
      <c r="E9" s="346">
        <f>C9*K9</f>
        <v>2080000</v>
      </c>
      <c r="F9" s="345" t="s">
        <v>265</v>
      </c>
      <c r="J9" s="345" t="s">
        <v>266</v>
      </c>
      <c r="K9" s="347">
        <v>3.2</v>
      </c>
      <c r="L9" s="345" t="s">
        <v>263</v>
      </c>
    </row>
    <row r="10" spans="1:12">
      <c r="A10" s="335" t="s">
        <v>267</v>
      </c>
      <c r="C10" s="344"/>
      <c r="E10" s="346">
        <v>200000</v>
      </c>
      <c r="F10" s="345" t="s">
        <v>265</v>
      </c>
    </row>
    <row r="12" spans="1:12">
      <c r="A12" s="335" t="s">
        <v>268</v>
      </c>
      <c r="E12" s="348">
        <f>[4]INVESTISSEMENT!E23*[4]INVESTISSEMENT!C41/[4]INVESTISSEMENT!C30</f>
        <v>242890.98344304808</v>
      </c>
      <c r="F12" s="345" t="s">
        <v>263</v>
      </c>
    </row>
    <row r="13" spans="1:12">
      <c r="A13" s="335" t="s">
        <v>269</v>
      </c>
      <c r="E13" s="349">
        <f>[4]INVESTISSEMENT!E48*[4]INVESTISSEMENT!C41/[4]INVESTISSEMENT!C30</f>
        <v>70776.679323714678</v>
      </c>
      <c r="F13" s="345" t="s">
        <v>265</v>
      </c>
    </row>
    <row r="15" spans="1:12">
      <c r="A15" s="337" t="s">
        <v>270</v>
      </c>
      <c r="B15" s="350"/>
      <c r="C15" s="338"/>
      <c r="D15" s="338"/>
      <c r="E15" s="351">
        <f>SUM(E9:E13)</f>
        <v>2593667.6627667625</v>
      </c>
      <c r="F15" s="338" t="s">
        <v>265</v>
      </c>
    </row>
    <row r="18" spans="1:17">
      <c r="B18" s="336" t="s">
        <v>271</v>
      </c>
    </row>
    <row r="19" spans="1:17">
      <c r="B19" s="336" t="s">
        <v>272</v>
      </c>
      <c r="D19" s="352">
        <v>0.8</v>
      </c>
    </row>
    <row r="20" spans="1:17">
      <c r="B20" s="336"/>
      <c r="D20" s="352"/>
    </row>
    <row r="21" spans="1:17">
      <c r="D21" s="353"/>
      <c r="F21" s="353"/>
      <c r="H21" s="353"/>
      <c r="J21" s="353"/>
      <c r="N21" s="353"/>
    </row>
    <row r="22" spans="1:17">
      <c r="A22" s="354" t="s">
        <v>273</v>
      </c>
      <c r="B22" s="355"/>
      <c r="C22" s="356"/>
      <c r="D22" s="357">
        <v>26</v>
      </c>
      <c r="E22" s="358"/>
      <c r="F22" s="357">
        <v>28</v>
      </c>
      <c r="G22" s="358"/>
      <c r="H22" s="359">
        <v>28</v>
      </c>
      <c r="I22" s="359"/>
      <c r="J22" s="357">
        <v>20</v>
      </c>
      <c r="K22" s="358"/>
      <c r="L22" s="357">
        <v>20</v>
      </c>
      <c r="M22" s="358"/>
      <c r="N22" s="357">
        <v>24</v>
      </c>
      <c r="O22" s="358"/>
      <c r="P22" s="360">
        <f>(D22+F22+H22+J22+L22+N22)/6</f>
        <v>24.333333333333332</v>
      </c>
      <c r="Q22" s="361"/>
    </row>
    <row r="23" spans="1:17">
      <c r="A23" s="354" t="s">
        <v>274</v>
      </c>
      <c r="B23" s="355"/>
      <c r="C23" s="356"/>
      <c r="D23" s="357">
        <v>65</v>
      </c>
      <c r="E23" s="358"/>
      <c r="F23" s="357">
        <v>70</v>
      </c>
      <c r="G23" s="358"/>
      <c r="H23" s="359">
        <v>70</v>
      </c>
      <c r="I23" s="359"/>
      <c r="J23" s="357">
        <v>50</v>
      </c>
      <c r="K23" s="358"/>
      <c r="L23" s="357">
        <v>50</v>
      </c>
      <c r="M23" s="358"/>
      <c r="N23" s="357">
        <v>60</v>
      </c>
      <c r="O23" s="358"/>
      <c r="P23" s="360">
        <f>(D23+F23+H23+J23+L23+N23)/6</f>
        <v>60.833333333333336</v>
      </c>
      <c r="Q23" s="361"/>
    </row>
    <row r="24" spans="1:17">
      <c r="A24" s="362" t="s">
        <v>275</v>
      </c>
      <c r="B24" s="355"/>
      <c r="C24" s="356"/>
      <c r="D24" s="357">
        <v>9.5</v>
      </c>
      <c r="E24" s="358"/>
      <c r="F24" s="357">
        <v>10</v>
      </c>
      <c r="G24" s="358"/>
      <c r="H24" s="357">
        <v>10</v>
      </c>
      <c r="I24" s="359"/>
      <c r="J24" s="357">
        <v>6</v>
      </c>
      <c r="K24" s="358"/>
      <c r="L24" s="357">
        <v>6</v>
      </c>
      <c r="M24" s="358"/>
      <c r="N24" s="357">
        <v>8</v>
      </c>
      <c r="O24" s="358"/>
      <c r="P24" s="411">
        <f>(D24+F24+H24+J24+L24+N24)/6</f>
        <v>8.25</v>
      </c>
      <c r="Q24" s="361"/>
    </row>
    <row r="25" spans="1:17" s="366" customFormat="1">
      <c r="A25" s="363" t="s">
        <v>276</v>
      </c>
      <c r="B25" s="364"/>
      <c r="C25" s="365"/>
      <c r="D25" s="719" t="s">
        <v>277</v>
      </c>
      <c r="E25" s="720"/>
      <c r="F25" s="721" t="s">
        <v>278</v>
      </c>
      <c r="G25" s="722"/>
      <c r="H25" s="721" t="s">
        <v>279</v>
      </c>
      <c r="I25" s="722"/>
      <c r="J25" s="721" t="s">
        <v>280</v>
      </c>
      <c r="K25" s="722"/>
      <c r="L25" s="721" t="s">
        <v>281</v>
      </c>
      <c r="M25" s="722"/>
      <c r="N25" s="721" t="s">
        <v>282</v>
      </c>
      <c r="O25" s="722"/>
      <c r="P25" s="717" t="s">
        <v>283</v>
      </c>
      <c r="Q25" s="718"/>
    </row>
    <row r="26" spans="1:17" s="373" customFormat="1">
      <c r="A26" s="367"/>
      <c r="B26" s="365" t="s">
        <v>284</v>
      </c>
      <c r="C26" s="365" t="s">
        <v>285</v>
      </c>
      <c r="D26" s="368" t="s">
        <v>25</v>
      </c>
      <c r="E26" s="369" t="s">
        <v>286</v>
      </c>
      <c r="F26" s="368" t="s">
        <v>25</v>
      </c>
      <c r="G26" s="369" t="s">
        <v>286</v>
      </c>
      <c r="H26" s="368" t="s">
        <v>25</v>
      </c>
      <c r="I26" s="369" t="s">
        <v>286</v>
      </c>
      <c r="J26" s="368" t="s">
        <v>25</v>
      </c>
      <c r="K26" s="369" t="s">
        <v>286</v>
      </c>
      <c r="L26" s="368" t="s">
        <v>25</v>
      </c>
      <c r="M26" s="370" t="s">
        <v>286</v>
      </c>
      <c r="N26" s="368" t="s">
        <v>25</v>
      </c>
      <c r="O26" s="369" t="s">
        <v>286</v>
      </c>
      <c r="P26" s="371" t="s">
        <v>25</v>
      </c>
      <c r="Q26" s="372" t="s">
        <v>286</v>
      </c>
    </row>
    <row r="27" spans="1:17">
      <c r="A27" s="354" t="s">
        <v>287</v>
      </c>
      <c r="B27" s="374" t="s">
        <v>288</v>
      </c>
      <c r="C27" s="375">
        <v>0.2</v>
      </c>
      <c r="D27" s="376">
        <f>(600*0.9)/4/(D24/8)</f>
        <v>113.68421052631579</v>
      </c>
      <c r="E27" s="377">
        <f>D27*$C$27</f>
        <v>22.736842105263161</v>
      </c>
      <c r="F27" s="376">
        <f>(600*0.9)/4/(F24/8)</f>
        <v>108</v>
      </c>
      <c r="G27" s="377">
        <f>F27*$C$27</f>
        <v>21.6</v>
      </c>
      <c r="H27" s="376">
        <f>(600*0.9)/4/(H24/8)</f>
        <v>108</v>
      </c>
      <c r="I27" s="377">
        <f>H27*$C$27</f>
        <v>21.6</v>
      </c>
      <c r="J27" s="376">
        <f>(600*0.9)/4/(J24/8)</f>
        <v>180</v>
      </c>
      <c r="K27" s="377">
        <f>J27*$C$27</f>
        <v>36</v>
      </c>
      <c r="L27" s="376">
        <f>(600*0.9)/4/(L24/8)</f>
        <v>180</v>
      </c>
      <c r="M27" s="377">
        <f>L27*$C$27</f>
        <v>36</v>
      </c>
      <c r="N27" s="376">
        <f>(600*0.9)/4/(N24/8)</f>
        <v>135</v>
      </c>
      <c r="O27" s="377">
        <f>N27*$C$27</f>
        <v>27</v>
      </c>
      <c r="P27" s="378">
        <f>(D27+F27+H27+J27+L27+N27)/6</f>
        <v>137.44736842105263</v>
      </c>
      <c r="Q27" s="379">
        <f>P27*C27</f>
        <v>27.489473684210527</v>
      </c>
    </row>
    <row r="28" spans="1:17">
      <c r="A28" s="354" t="s">
        <v>368</v>
      </c>
      <c r="B28" s="374" t="s">
        <v>288</v>
      </c>
      <c r="C28" s="375">
        <v>0.2</v>
      </c>
      <c r="D28" s="380">
        <f>12/(D24/8)</f>
        <v>10.105263157894736</v>
      </c>
      <c r="E28" s="377">
        <f>D28*$C$28</f>
        <v>2.0210526315789474</v>
      </c>
      <c r="F28" s="380">
        <f>25/(F24*$D$19)</f>
        <v>3.125</v>
      </c>
      <c r="G28" s="377">
        <f>F28*$C$28</f>
        <v>0.625</v>
      </c>
      <c r="H28" s="380">
        <f>25/(H24*$D$19)</f>
        <v>3.125</v>
      </c>
      <c r="I28" s="377">
        <f>H28*$C$28</f>
        <v>0.625</v>
      </c>
      <c r="J28" s="380">
        <f>25/(J24*$D$19)</f>
        <v>5.2083333333333321</v>
      </c>
      <c r="K28" s="377">
        <f>J28*$C$28</f>
        <v>1.0416666666666665</v>
      </c>
      <c r="L28" s="380">
        <f>25/(L24*$D$19)</f>
        <v>5.2083333333333321</v>
      </c>
      <c r="M28" s="377">
        <f>L28*$C$28</f>
        <v>1.0416666666666665</v>
      </c>
      <c r="N28" s="380">
        <f>25/(N24*$D$19)</f>
        <v>3.90625</v>
      </c>
      <c r="O28" s="377">
        <f>N28*$C$28</f>
        <v>0.78125</v>
      </c>
      <c r="P28" s="378">
        <f t="shared" ref="P28:P34" si="0">(D28+F28+H28+J28+L28+N28)/6</f>
        <v>5.1130299707602331</v>
      </c>
      <c r="Q28" s="379">
        <f>P28*C28</f>
        <v>1.0226059941520467</v>
      </c>
    </row>
    <row r="29" spans="1:17">
      <c r="A29" s="354" t="s">
        <v>289</v>
      </c>
      <c r="B29" s="374" t="s">
        <v>288</v>
      </c>
      <c r="C29" s="375">
        <v>0.2</v>
      </c>
      <c r="D29" s="380">
        <f>10/(D24/8)</f>
        <v>8.4210526315789469</v>
      </c>
      <c r="E29" s="377">
        <f>D29*$C$29</f>
        <v>1.6842105263157894</v>
      </c>
      <c r="F29" s="380">
        <f>10/(F24*$D$19)</f>
        <v>1.25</v>
      </c>
      <c r="G29" s="377">
        <f>F29*$C$29</f>
        <v>0.25</v>
      </c>
      <c r="H29" s="380">
        <f>10/(H24*$D$19)</f>
        <v>1.25</v>
      </c>
      <c r="I29" s="377">
        <f>H29*$C$29</f>
        <v>0.25</v>
      </c>
      <c r="J29" s="380">
        <f>10/(J24*$D$19)</f>
        <v>2.083333333333333</v>
      </c>
      <c r="K29" s="377">
        <f>J29*$C$29</f>
        <v>0.41666666666666663</v>
      </c>
      <c r="L29" s="380">
        <f>10/(L24*$D$19)</f>
        <v>2.083333333333333</v>
      </c>
      <c r="M29" s="377">
        <f>L29*$C$29</f>
        <v>0.41666666666666663</v>
      </c>
      <c r="N29" s="380">
        <f>10/(N24*$D$19)</f>
        <v>1.5625</v>
      </c>
      <c r="O29" s="377">
        <f>N29*$C$29</f>
        <v>0.3125</v>
      </c>
      <c r="P29" s="378">
        <f t="shared" si="0"/>
        <v>2.7750365497076022</v>
      </c>
      <c r="Q29" s="379">
        <f>P29*C29</f>
        <v>0.55500730994152048</v>
      </c>
    </row>
    <row r="30" spans="1:17">
      <c r="A30" s="354"/>
      <c r="B30" s="374"/>
      <c r="C30" s="375"/>
      <c r="D30" s="376"/>
      <c r="E30" s="377"/>
      <c r="F30" s="376"/>
      <c r="G30" s="377"/>
      <c r="H30" s="377"/>
      <c r="I30" s="377"/>
      <c r="J30" s="376"/>
      <c r="K30" s="377"/>
      <c r="L30" s="376"/>
      <c r="M30" s="381"/>
      <c r="N30" s="381"/>
      <c r="O30" s="381"/>
      <c r="P30" s="378"/>
      <c r="Q30" s="379"/>
    </row>
    <row r="31" spans="1:17">
      <c r="A31" s="354" t="s">
        <v>290</v>
      </c>
      <c r="B31" s="374" t="s">
        <v>291</v>
      </c>
      <c r="C31" s="375">
        <f>600*K9</f>
        <v>1920</v>
      </c>
      <c r="D31" s="376">
        <f>2/4000</f>
        <v>5.0000000000000001E-4</v>
      </c>
      <c r="E31" s="377">
        <f>D31*$C$31</f>
        <v>0.96</v>
      </c>
      <c r="F31" s="376">
        <f>D31</f>
        <v>5.0000000000000001E-4</v>
      </c>
      <c r="G31" s="377">
        <f>F31*$C$31</f>
        <v>0.96</v>
      </c>
      <c r="H31" s="376">
        <f>F31</f>
        <v>5.0000000000000001E-4</v>
      </c>
      <c r="I31" s="377">
        <f>H31*$C$31</f>
        <v>0.96</v>
      </c>
      <c r="J31" s="376">
        <f>H31</f>
        <v>5.0000000000000001E-4</v>
      </c>
      <c r="K31" s="377">
        <f>J31*$C$31</f>
        <v>0.96</v>
      </c>
      <c r="L31" s="376">
        <f>J31</f>
        <v>5.0000000000000001E-4</v>
      </c>
      <c r="M31" s="377">
        <f>L31*$C$31</f>
        <v>0.96</v>
      </c>
      <c r="N31" s="376">
        <f>L31</f>
        <v>5.0000000000000001E-4</v>
      </c>
      <c r="O31" s="377">
        <f>N31*$C$31</f>
        <v>0.96</v>
      </c>
      <c r="P31" s="410">
        <f t="shared" si="0"/>
        <v>5.0000000000000001E-4</v>
      </c>
      <c r="Q31" s="379">
        <f>P31*C31</f>
        <v>0.96</v>
      </c>
    </row>
    <row r="32" spans="1:17">
      <c r="A32" s="354" t="s">
        <v>292</v>
      </c>
      <c r="B32" s="374" t="s">
        <v>293</v>
      </c>
      <c r="C32" s="375"/>
      <c r="D32" s="382">
        <v>0.02</v>
      </c>
      <c r="E32" s="377">
        <f>$D$32*$E$15/(D24/8*7200*$D$19)</f>
        <v>7.5838235753414107</v>
      </c>
      <c r="F32" s="383">
        <f>D32</f>
        <v>0.02</v>
      </c>
      <c r="G32" s="377">
        <f>$D$32*$E$15/(F24/8*7200*$D$19)</f>
        <v>7.2046323965743397</v>
      </c>
      <c r="H32" s="382">
        <v>0.01</v>
      </c>
      <c r="I32" s="377">
        <f>$D$32*$E$15/(H24/8*7200*$D$19)</f>
        <v>7.2046323965743397</v>
      </c>
      <c r="J32" s="383">
        <f>F32</f>
        <v>0.02</v>
      </c>
      <c r="K32" s="377">
        <f>$D$32*$E$15/(J24/8*7200*$D$19)</f>
        <v>12.007720660957233</v>
      </c>
      <c r="L32" s="383">
        <f>J32</f>
        <v>0.02</v>
      </c>
      <c r="M32" s="377">
        <f>$D$32*$E$15/(L24/8*7200*$D$19)</f>
        <v>12.007720660957233</v>
      </c>
      <c r="N32" s="382">
        <v>0.01</v>
      </c>
      <c r="O32" s="377">
        <f>$D$32*$E$15/(N24/8*7200*$D$19)</f>
        <v>9.0057904957179247</v>
      </c>
      <c r="P32" s="410">
        <f t="shared" si="0"/>
        <v>1.6666666666666666E-2</v>
      </c>
      <c r="Q32" s="379">
        <f>(E32+G32+I32+K32+M32+O32)/6</f>
        <v>9.1690533643537471</v>
      </c>
    </row>
    <row r="33" spans="1:17">
      <c r="A33" s="354"/>
      <c r="B33" s="374"/>
      <c r="C33" s="375"/>
      <c r="D33" s="376"/>
      <c r="E33" s="377"/>
      <c r="F33" s="376"/>
      <c r="G33" s="377"/>
      <c r="H33" s="377"/>
      <c r="I33" s="377"/>
      <c r="J33" s="376"/>
      <c r="K33" s="377"/>
      <c r="L33" s="376"/>
      <c r="M33" s="381"/>
      <c r="N33" s="381"/>
      <c r="O33" s="381"/>
      <c r="P33" s="384"/>
      <c r="Q33" s="385"/>
    </row>
    <row r="34" spans="1:17">
      <c r="A34" s="354" t="s">
        <v>294</v>
      </c>
      <c r="B34" s="374" t="s">
        <v>295</v>
      </c>
      <c r="C34" s="375">
        <v>8</v>
      </c>
      <c r="D34" s="386">
        <f>2/(D24/8)</f>
        <v>1.6842105263157894</v>
      </c>
      <c r="E34" s="377">
        <f>D34*$C$34</f>
        <v>13.473684210526315</v>
      </c>
      <c r="F34" s="386">
        <f>2/(F24/8)</f>
        <v>1.6</v>
      </c>
      <c r="G34" s="377">
        <f>F34*$C$34</f>
        <v>12.8</v>
      </c>
      <c r="H34" s="386">
        <f>2/(H24/8)</f>
        <v>1.6</v>
      </c>
      <c r="I34" s="377">
        <f>H34*$C$34</f>
        <v>12.8</v>
      </c>
      <c r="J34" s="386">
        <f>2/(J24/8)</f>
        <v>2.6666666666666665</v>
      </c>
      <c r="K34" s="377">
        <f>J34*$C$34</f>
        <v>21.333333333333332</v>
      </c>
      <c r="L34" s="386">
        <f>2/(L24/8)</f>
        <v>2.6666666666666665</v>
      </c>
      <c r="M34" s="377">
        <f>L34*$C$34</f>
        <v>21.333333333333332</v>
      </c>
      <c r="N34" s="386">
        <f>2/(N24/8)</f>
        <v>2</v>
      </c>
      <c r="O34" s="377">
        <f>N34*$C$34</f>
        <v>16</v>
      </c>
      <c r="P34" s="378">
        <f t="shared" si="0"/>
        <v>2.0362573099415204</v>
      </c>
      <c r="Q34" s="379">
        <f>P34*C34</f>
        <v>16.290058479532163</v>
      </c>
    </row>
    <row r="35" spans="1:17">
      <c r="A35" s="354"/>
      <c r="B35" s="374"/>
      <c r="C35" s="387"/>
      <c r="D35" s="376"/>
      <c r="E35" s="377"/>
      <c r="F35" s="388"/>
      <c r="G35" s="377"/>
      <c r="H35" s="377"/>
      <c r="I35" s="377"/>
      <c r="J35" s="388"/>
      <c r="K35" s="377"/>
      <c r="L35" s="388"/>
      <c r="M35" s="381"/>
      <c r="N35" s="381"/>
      <c r="O35" s="381"/>
      <c r="P35" s="389"/>
      <c r="Q35" s="390"/>
    </row>
    <row r="36" spans="1:17">
      <c r="A36" s="354" t="s">
        <v>296</v>
      </c>
      <c r="B36" s="391"/>
      <c r="C36" s="392"/>
      <c r="D36" s="393"/>
      <c r="E36" s="377">
        <f>$E$15/(7200*(D24/8)*$D$19)/10</f>
        <v>37.919117876707055</v>
      </c>
      <c r="F36" s="394"/>
      <c r="G36" s="377">
        <f>$E$15/(7200*(F24/8)*$D$19)/10</f>
        <v>36.023161982871706</v>
      </c>
      <c r="H36" s="394"/>
      <c r="I36" s="377">
        <f>$E$15/(7200*(H24/8)*$D$19)/10</f>
        <v>36.023161982871706</v>
      </c>
      <c r="J36" s="394"/>
      <c r="K36" s="377">
        <f>$E$15/(7200*(J24/8)*$D$19)/10</f>
        <v>60.038603304786172</v>
      </c>
      <c r="L36" s="394"/>
      <c r="M36" s="377">
        <f>$E$15/(7200*(L24/8)*$D$19)/10</f>
        <v>60.038603304786172</v>
      </c>
      <c r="N36" s="394"/>
      <c r="O36" s="377">
        <f>$E$15/(7200*(N24/8)*$D$19)/10</f>
        <v>45.02895247858963</v>
      </c>
      <c r="P36" s="395"/>
      <c r="Q36" s="379">
        <f>(E36+G36+I36+K36+M36+O36)/6</f>
        <v>45.845266821768739</v>
      </c>
    </row>
    <row r="37" spans="1:17">
      <c r="A37" s="354" t="s">
        <v>297</v>
      </c>
      <c r="B37" s="393"/>
      <c r="C37" s="394"/>
      <c r="D37" s="394"/>
      <c r="E37" s="377">
        <f>$E$7/(7200*(D24/8)*$D$19)/20</f>
        <v>13.769719825684678</v>
      </c>
      <c r="F37" s="394"/>
      <c r="G37" s="377">
        <f>$E$7/(7200*(F24/8)*$D$19)/20</f>
        <v>13.081233834400445</v>
      </c>
      <c r="H37" s="394"/>
      <c r="I37" s="377">
        <f>$E$7/(7200*(H24/8)*$D$19)/20</f>
        <v>13.081233834400445</v>
      </c>
      <c r="J37" s="394"/>
      <c r="K37" s="377">
        <f>$E$7/(7200*(J24/8)*$D$19)/20</f>
        <v>21.802056390667406</v>
      </c>
      <c r="L37" s="394"/>
      <c r="M37" s="377">
        <f>$E$7/(7200*(L24/8)*$D$19)/20</f>
        <v>21.802056390667406</v>
      </c>
      <c r="N37" s="394"/>
      <c r="O37" s="377">
        <f>$E$7/(7200*(N24/8)*$D$19)/20</f>
        <v>16.351542293000556</v>
      </c>
      <c r="P37" s="389"/>
      <c r="Q37" s="379">
        <f>(E37+G37+I37+K37+M37+O37)/6</f>
        <v>16.647973761470155</v>
      </c>
    </row>
    <row r="38" spans="1:17">
      <c r="A38" s="354" t="s">
        <v>229</v>
      </c>
      <c r="B38" s="393"/>
      <c r="C38" s="394"/>
      <c r="D38" s="394"/>
      <c r="E38" s="377">
        <v>5</v>
      </c>
      <c r="F38" s="388"/>
      <c r="G38" s="377">
        <v>5</v>
      </c>
      <c r="H38" s="394"/>
      <c r="I38" s="381">
        <v>5</v>
      </c>
      <c r="J38" s="394"/>
      <c r="K38" s="377">
        <v>5</v>
      </c>
      <c r="L38" s="394"/>
      <c r="M38" s="381">
        <v>5</v>
      </c>
      <c r="N38" s="394"/>
      <c r="O38" s="381">
        <v>5</v>
      </c>
      <c r="P38" s="389"/>
      <c r="Q38" s="379">
        <f>(E38+G38+I38+K38+M38+O38)/6</f>
        <v>5</v>
      </c>
    </row>
    <row r="39" spans="1:17">
      <c r="A39" s="354"/>
      <c r="B39" s="374"/>
      <c r="C39" s="387"/>
      <c r="D39" s="376"/>
      <c r="E39" s="377"/>
      <c r="F39" s="388"/>
      <c r="G39" s="377"/>
      <c r="H39" s="377"/>
      <c r="I39" s="377"/>
      <c r="J39" s="388"/>
      <c r="K39" s="377"/>
      <c r="L39" s="388"/>
      <c r="M39" s="381"/>
      <c r="N39" s="381"/>
      <c r="O39" s="381"/>
      <c r="P39" s="389"/>
      <c r="Q39" s="390"/>
    </row>
    <row r="40" spans="1:17" s="335" customFormat="1">
      <c r="A40" s="396" t="s">
        <v>298</v>
      </c>
      <c r="B40" s="397"/>
      <c r="C40" s="396"/>
      <c r="D40" s="371"/>
      <c r="E40" s="385">
        <f>SUM(E27:E39)</f>
        <v>105.14845075141736</v>
      </c>
      <c r="F40" s="398"/>
      <c r="G40" s="385">
        <f>SUM(G27:G39)</f>
        <v>97.544028213846502</v>
      </c>
      <c r="H40" s="385"/>
      <c r="I40" s="385">
        <f>SUM(I27:I39)</f>
        <v>97.544028213846502</v>
      </c>
      <c r="J40" s="398"/>
      <c r="K40" s="385">
        <f>SUM(K27:K39)</f>
        <v>158.60004702307748</v>
      </c>
      <c r="L40" s="398"/>
      <c r="M40" s="385">
        <f>SUM(M27:M39)</f>
        <v>158.60004702307748</v>
      </c>
      <c r="N40" s="385"/>
      <c r="O40" s="385">
        <f>SUM(O27:O39)</f>
        <v>120.4400352673081</v>
      </c>
      <c r="P40" s="398"/>
      <c r="Q40" s="385">
        <f>SUM(Q27:Q39)</f>
        <v>122.9794394154289</v>
      </c>
    </row>
  </sheetData>
  <mergeCells count="7">
    <mergeCell ref="P25:Q25"/>
    <mergeCell ref="D25:E25"/>
    <mergeCell ref="F25:G25"/>
    <mergeCell ref="H25:I25"/>
    <mergeCell ref="J25:K25"/>
    <mergeCell ref="L25:M25"/>
    <mergeCell ref="N25:O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zoomScale="72" zoomScaleNormal="72" workbookViewId="0">
      <selection activeCell="D2" sqref="D2"/>
    </sheetView>
  </sheetViews>
  <sheetFormatPr baseColWidth="10" defaultColWidth="11.453125" defaultRowHeight="14.5"/>
  <cols>
    <col min="1" max="1" width="10.7265625" style="251" customWidth="1"/>
    <col min="2" max="2" width="31.453125" style="251" bestFit="1" customWidth="1"/>
    <col min="3" max="3" width="10.7265625" style="251" customWidth="1"/>
    <col min="4" max="4" width="51.26953125" style="251" customWidth="1"/>
    <col min="5" max="5" width="7.26953125" style="251" customWidth="1"/>
    <col min="6" max="6" width="48.26953125" style="251" customWidth="1"/>
    <col min="7" max="7" width="10.7265625" style="251" customWidth="1"/>
    <col min="8" max="8" width="25.7265625" style="251" customWidth="1"/>
    <col min="9" max="9" width="10.7265625" style="251" customWidth="1"/>
    <col min="10" max="10" width="25.7265625" style="251" customWidth="1"/>
    <col min="11" max="16384" width="11.453125" style="251"/>
  </cols>
  <sheetData>
    <row r="1" spans="1:11" ht="29">
      <c r="A1" s="399" t="s">
        <v>308</v>
      </c>
      <c r="B1" s="399" t="s">
        <v>309</v>
      </c>
      <c r="C1" s="399" t="s">
        <v>310</v>
      </c>
      <c r="D1" s="400" t="s">
        <v>311</v>
      </c>
      <c r="E1" s="399" t="s">
        <v>312</v>
      </c>
      <c r="F1" s="400" t="s">
        <v>313</v>
      </c>
      <c r="G1" s="399" t="s">
        <v>314</v>
      </c>
      <c r="H1" s="399" t="s">
        <v>315</v>
      </c>
      <c r="I1" s="399" t="s">
        <v>316</v>
      </c>
      <c r="J1" s="399" t="s">
        <v>317</v>
      </c>
      <c r="K1" s="401"/>
    </row>
    <row r="2" spans="1:11" s="299" customFormat="1" ht="22.9" customHeight="1">
      <c r="A2" s="404" t="s">
        <v>159</v>
      </c>
      <c r="B2" s="404" t="s">
        <v>320</v>
      </c>
      <c r="C2" s="404" t="s">
        <v>191</v>
      </c>
      <c r="D2" s="404" t="s">
        <v>321</v>
      </c>
      <c r="E2" s="404" t="s">
        <v>322</v>
      </c>
      <c r="F2" s="404" t="s">
        <v>323</v>
      </c>
      <c r="G2" s="404"/>
      <c r="H2" s="404"/>
      <c r="I2" s="404" t="s">
        <v>318</v>
      </c>
      <c r="J2" s="404" t="s">
        <v>319</v>
      </c>
      <c r="K2" s="402"/>
    </row>
    <row r="3" spans="1:11" s="299" customFormat="1" ht="22.9" customHeight="1">
      <c r="A3" s="404" t="s">
        <v>160</v>
      </c>
      <c r="B3" s="404" t="s">
        <v>324</v>
      </c>
      <c r="C3" s="404" t="s">
        <v>191</v>
      </c>
      <c r="D3" s="404" t="s">
        <v>321</v>
      </c>
      <c r="E3" s="404" t="s">
        <v>322</v>
      </c>
      <c r="F3" s="404" t="s">
        <v>323</v>
      </c>
      <c r="G3" s="404"/>
      <c r="H3" s="404"/>
      <c r="I3" s="404" t="s">
        <v>318</v>
      </c>
      <c r="J3" s="404" t="s">
        <v>319</v>
      </c>
      <c r="K3" s="402"/>
    </row>
    <row r="4" spans="1:11" s="299" customFormat="1" ht="22.9" customHeight="1">
      <c r="A4" s="404" t="s">
        <v>161</v>
      </c>
      <c r="B4" s="404" t="s">
        <v>325</v>
      </c>
      <c r="C4" s="404" t="s">
        <v>191</v>
      </c>
      <c r="D4" s="404" t="s">
        <v>321</v>
      </c>
      <c r="E4" s="404" t="s">
        <v>322</v>
      </c>
      <c r="F4" s="404" t="s">
        <v>323</v>
      </c>
      <c r="G4" s="404"/>
      <c r="H4" s="404"/>
      <c r="I4" s="404" t="s">
        <v>318</v>
      </c>
      <c r="J4" s="404" t="s">
        <v>319</v>
      </c>
      <c r="K4" s="402"/>
    </row>
    <row r="5" spans="1:11" s="299" customFormat="1" ht="22.9" customHeight="1">
      <c r="A5" s="404" t="s">
        <v>162</v>
      </c>
      <c r="B5" s="404" t="s">
        <v>326</v>
      </c>
      <c r="C5" s="404" t="s">
        <v>191</v>
      </c>
      <c r="D5" s="404" t="s">
        <v>321</v>
      </c>
      <c r="E5" s="404" t="s">
        <v>322</v>
      </c>
      <c r="F5" s="404" t="s">
        <v>323</v>
      </c>
      <c r="G5" s="404"/>
      <c r="H5" s="404"/>
      <c r="I5" s="404" t="s">
        <v>318</v>
      </c>
      <c r="J5" s="404" t="s">
        <v>319</v>
      </c>
      <c r="K5" s="402"/>
    </row>
    <row r="6" spans="1:11" s="300" customFormat="1" ht="22.9" customHeight="1">
      <c r="A6" s="405" t="s">
        <v>167</v>
      </c>
      <c r="B6" s="405" t="s">
        <v>327</v>
      </c>
      <c r="C6" s="405" t="s">
        <v>192</v>
      </c>
      <c r="D6" s="405" t="s">
        <v>328</v>
      </c>
      <c r="E6" s="405" t="s">
        <v>329</v>
      </c>
      <c r="F6" s="405" t="s">
        <v>330</v>
      </c>
      <c r="G6" s="405"/>
      <c r="H6" s="405" t="s">
        <v>307</v>
      </c>
      <c r="I6" s="405" t="s">
        <v>318</v>
      </c>
      <c r="J6" s="405" t="s">
        <v>319</v>
      </c>
      <c r="K6" s="403"/>
    </row>
    <row r="7" spans="1:11" s="300" customFormat="1" ht="22.9" customHeight="1">
      <c r="A7" s="405" t="s">
        <v>168</v>
      </c>
      <c r="B7" s="405" t="s">
        <v>331</v>
      </c>
      <c r="C7" s="405" t="s">
        <v>192</v>
      </c>
      <c r="D7" s="405" t="s">
        <v>332</v>
      </c>
      <c r="E7" s="405" t="s">
        <v>333</v>
      </c>
      <c r="F7" s="405" t="s">
        <v>330</v>
      </c>
      <c r="G7" s="405"/>
      <c r="H7" s="405" t="s">
        <v>307</v>
      </c>
      <c r="I7" s="405"/>
      <c r="J7" s="405" t="s">
        <v>319</v>
      </c>
      <c r="K7" s="403"/>
    </row>
    <row r="8" spans="1:11" s="300" customFormat="1" ht="22.9" customHeight="1">
      <c r="A8" s="405" t="s">
        <v>169</v>
      </c>
      <c r="B8" s="405" t="s">
        <v>334</v>
      </c>
      <c r="C8" s="405" t="s">
        <v>192</v>
      </c>
      <c r="D8" s="405" t="s">
        <v>335</v>
      </c>
      <c r="E8" s="405" t="s">
        <v>336</v>
      </c>
      <c r="F8" s="405" t="s">
        <v>330</v>
      </c>
      <c r="G8" s="405"/>
      <c r="H8" s="405" t="s">
        <v>307</v>
      </c>
      <c r="I8" s="405"/>
      <c r="J8" s="405" t="s">
        <v>319</v>
      </c>
      <c r="K8" s="403"/>
    </row>
    <row r="9" spans="1:11" s="300" customFormat="1" ht="22.9" customHeight="1">
      <c r="A9" s="405" t="s">
        <v>170</v>
      </c>
      <c r="B9" s="405" t="s">
        <v>337</v>
      </c>
      <c r="C9" s="405" t="s">
        <v>192</v>
      </c>
      <c r="D9" s="405" t="s">
        <v>338</v>
      </c>
      <c r="E9" s="405" t="s">
        <v>339</v>
      </c>
      <c r="F9" s="405" t="s">
        <v>330</v>
      </c>
      <c r="G9" s="405"/>
      <c r="H9" s="405" t="s">
        <v>307</v>
      </c>
      <c r="I9" s="405"/>
      <c r="J9" s="405" t="s">
        <v>319</v>
      </c>
      <c r="K9" s="403"/>
    </row>
    <row r="10" spans="1:11" s="300" customFormat="1" ht="22.9" customHeight="1">
      <c r="A10" s="406" t="s">
        <v>171</v>
      </c>
      <c r="B10" s="406" t="s">
        <v>340</v>
      </c>
      <c r="C10" s="406" t="s">
        <v>193</v>
      </c>
      <c r="D10" s="406" t="s">
        <v>341</v>
      </c>
      <c r="E10" s="406" t="s">
        <v>333</v>
      </c>
      <c r="F10" s="406" t="s">
        <v>194</v>
      </c>
      <c r="G10" s="406"/>
      <c r="H10" s="406"/>
      <c r="I10" s="406" t="s">
        <v>318</v>
      </c>
      <c r="J10" s="406" t="s">
        <v>319</v>
      </c>
      <c r="K10" s="403"/>
    </row>
    <row r="11" spans="1:11" s="300" customFormat="1" ht="22.9" customHeight="1">
      <c r="A11" s="406" t="s">
        <v>172</v>
      </c>
      <c r="B11" s="406" t="s">
        <v>342</v>
      </c>
      <c r="C11" s="406" t="s">
        <v>193</v>
      </c>
      <c r="D11" s="406" t="s">
        <v>341</v>
      </c>
      <c r="E11" s="406" t="s">
        <v>333</v>
      </c>
      <c r="F11" s="406" t="s">
        <v>194</v>
      </c>
      <c r="G11" s="406"/>
      <c r="H11" s="406"/>
      <c r="I11" s="406" t="s">
        <v>318</v>
      </c>
      <c r="J11" s="406" t="s">
        <v>319</v>
      </c>
      <c r="K11" s="403"/>
    </row>
    <row r="12" spans="1:11" s="300" customFormat="1" ht="22.9" customHeight="1">
      <c r="A12" s="406" t="s">
        <v>173</v>
      </c>
      <c r="B12" s="406" t="s">
        <v>343</v>
      </c>
      <c r="C12" s="406" t="s">
        <v>193</v>
      </c>
      <c r="D12" s="406" t="s">
        <v>341</v>
      </c>
      <c r="E12" s="406" t="s">
        <v>333</v>
      </c>
      <c r="F12" s="406" t="s">
        <v>194</v>
      </c>
      <c r="G12" s="406"/>
      <c r="H12" s="406"/>
      <c r="I12" s="406" t="s">
        <v>318</v>
      </c>
      <c r="J12" s="406" t="s">
        <v>319</v>
      </c>
      <c r="K12" s="403"/>
    </row>
    <row r="13" spans="1:11" s="300" customFormat="1" ht="22.9" customHeight="1">
      <c r="A13" s="406" t="s">
        <v>174</v>
      </c>
      <c r="B13" s="406" t="s">
        <v>344</v>
      </c>
      <c r="C13" s="406" t="s">
        <v>193</v>
      </c>
      <c r="D13" s="406" t="s">
        <v>341</v>
      </c>
      <c r="E13" s="406" t="s">
        <v>333</v>
      </c>
      <c r="F13" s="406" t="s">
        <v>194</v>
      </c>
      <c r="G13" s="406"/>
      <c r="H13" s="406"/>
      <c r="I13" s="406" t="s">
        <v>318</v>
      </c>
      <c r="J13" s="406" t="s">
        <v>319</v>
      </c>
      <c r="K13" s="403"/>
    </row>
    <row r="14" spans="1:11" s="300" customFormat="1" ht="22.9" customHeight="1">
      <c r="A14" s="406" t="s">
        <v>345</v>
      </c>
      <c r="B14" s="406" t="s">
        <v>346</v>
      </c>
      <c r="C14" s="406" t="s">
        <v>193</v>
      </c>
      <c r="D14" s="406" t="s">
        <v>341</v>
      </c>
      <c r="E14" s="406" t="s">
        <v>333</v>
      </c>
      <c r="F14" s="406" t="s">
        <v>194</v>
      </c>
      <c r="G14" s="406"/>
      <c r="H14" s="406"/>
      <c r="I14" s="406" t="s">
        <v>318</v>
      </c>
      <c r="J14" s="406" t="s">
        <v>319</v>
      </c>
      <c r="K14" s="403"/>
    </row>
    <row r="15" spans="1:11" s="299" customFormat="1" ht="22.9" customHeight="1">
      <c r="A15" s="407" t="s">
        <v>163</v>
      </c>
      <c r="B15" s="407" t="s">
        <v>347</v>
      </c>
      <c r="C15" s="407" t="s">
        <v>348</v>
      </c>
      <c r="D15" s="407" t="s">
        <v>349</v>
      </c>
      <c r="E15" s="407" t="s">
        <v>336</v>
      </c>
      <c r="F15" s="407" t="s">
        <v>323</v>
      </c>
      <c r="G15" s="407"/>
      <c r="H15" s="407"/>
      <c r="I15" s="407" t="s">
        <v>318</v>
      </c>
      <c r="J15" s="407" t="s">
        <v>319</v>
      </c>
      <c r="K15" s="402"/>
    </row>
    <row r="16" spans="1:11" s="299" customFormat="1" ht="22.9" customHeight="1">
      <c r="A16" s="407" t="s">
        <v>164</v>
      </c>
      <c r="B16" s="407" t="s">
        <v>350</v>
      </c>
      <c r="C16" s="407" t="s">
        <v>348</v>
      </c>
      <c r="D16" s="407" t="s">
        <v>349</v>
      </c>
      <c r="E16" s="407" t="s">
        <v>336</v>
      </c>
      <c r="F16" s="407" t="s">
        <v>323</v>
      </c>
      <c r="G16" s="407"/>
      <c r="H16" s="407"/>
      <c r="I16" s="407" t="s">
        <v>318</v>
      </c>
      <c r="J16" s="407" t="s">
        <v>319</v>
      </c>
      <c r="K16" s="402"/>
    </row>
    <row r="17" spans="1:11" s="299" customFormat="1" ht="22.9" customHeight="1">
      <c r="A17" s="407" t="s">
        <v>165</v>
      </c>
      <c r="B17" s="407" t="s">
        <v>351</v>
      </c>
      <c r="C17" s="407" t="s">
        <v>348</v>
      </c>
      <c r="D17" s="407" t="s">
        <v>349</v>
      </c>
      <c r="E17" s="407" t="s">
        <v>336</v>
      </c>
      <c r="F17" s="407" t="s">
        <v>323</v>
      </c>
      <c r="G17" s="407"/>
      <c r="H17" s="407"/>
      <c r="I17" s="407" t="s">
        <v>318</v>
      </c>
      <c r="J17" s="407" t="s">
        <v>319</v>
      </c>
      <c r="K17" s="402"/>
    </row>
    <row r="18" spans="1:11" s="299" customFormat="1" ht="22.9" customHeight="1">
      <c r="A18" s="407" t="s">
        <v>166</v>
      </c>
      <c r="B18" s="407" t="s">
        <v>352</v>
      </c>
      <c r="C18" s="407" t="s">
        <v>348</v>
      </c>
      <c r="D18" s="407" t="s">
        <v>349</v>
      </c>
      <c r="E18" s="407" t="s">
        <v>336</v>
      </c>
      <c r="F18" s="407" t="s">
        <v>323</v>
      </c>
      <c r="G18" s="407"/>
      <c r="H18" s="407"/>
      <c r="I18" s="407" t="s">
        <v>318</v>
      </c>
      <c r="J18" s="407" t="s">
        <v>319</v>
      </c>
      <c r="K18" s="402"/>
    </row>
    <row r="19" spans="1:11" s="299" customFormat="1" ht="22.9" customHeight="1">
      <c r="A19" s="407" t="s">
        <v>353</v>
      </c>
      <c r="B19" s="407" t="s">
        <v>354</v>
      </c>
      <c r="C19" s="407" t="s">
        <v>355</v>
      </c>
      <c r="D19" s="407" t="s">
        <v>356</v>
      </c>
      <c r="E19" s="407"/>
      <c r="F19" s="407"/>
      <c r="G19" s="407"/>
      <c r="H19" s="407"/>
      <c r="I19" s="407" t="s">
        <v>357</v>
      </c>
      <c r="J19" s="407" t="s">
        <v>319</v>
      </c>
      <c r="K19" s="402"/>
    </row>
    <row r="20" spans="1:11" s="299" customFormat="1" ht="22.9" customHeight="1">
      <c r="A20" s="407" t="s">
        <v>358</v>
      </c>
      <c r="B20" s="407" t="s">
        <v>359</v>
      </c>
      <c r="C20" s="407" t="s">
        <v>129</v>
      </c>
      <c r="D20" s="407" t="s">
        <v>356</v>
      </c>
      <c r="E20" s="407"/>
      <c r="F20" s="407"/>
      <c r="G20" s="407"/>
      <c r="H20" s="407"/>
      <c r="I20" s="407" t="s">
        <v>357</v>
      </c>
      <c r="J20" s="407" t="s">
        <v>319</v>
      </c>
      <c r="K20" s="402"/>
    </row>
    <row r="21" spans="1:11" s="299" customFormat="1" ht="22.9" customHeight="1">
      <c r="A21" s="407" t="s">
        <v>360</v>
      </c>
      <c r="B21" s="407" t="s">
        <v>361</v>
      </c>
      <c r="C21" s="407" t="s">
        <v>129</v>
      </c>
      <c r="D21" s="407" t="s">
        <v>356</v>
      </c>
      <c r="E21" s="407"/>
      <c r="F21" s="407"/>
      <c r="G21" s="407"/>
      <c r="H21" s="407"/>
      <c r="I21" s="407" t="s">
        <v>357</v>
      </c>
      <c r="J21" s="407" t="s">
        <v>319</v>
      </c>
      <c r="K21" s="402"/>
    </row>
    <row r="22" spans="1:11" ht="8.25" customHeight="1">
      <c r="A22" s="401"/>
      <c r="B22" s="401"/>
      <c r="C22" s="401"/>
      <c r="D22" s="401"/>
      <c r="E22" s="401"/>
      <c r="F22" s="401"/>
      <c r="G22" s="401"/>
      <c r="H22" s="401"/>
      <c r="I22" s="401"/>
      <c r="J22" s="401"/>
      <c r="K22" s="401"/>
    </row>
    <row r="26" spans="1:11">
      <c r="A26" s="408"/>
    </row>
    <row r="27" spans="1:11">
      <c r="A27" s="40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"/>
  <sheetViews>
    <sheetView workbookViewId="0">
      <selection activeCell="A16" sqref="A16:A17"/>
    </sheetView>
  </sheetViews>
  <sheetFormatPr baseColWidth="10" defaultRowHeight="14.5"/>
  <cols>
    <col min="1" max="1" width="36.26953125" customWidth="1"/>
    <col min="2" max="5" width="14.26953125" bestFit="1" customWidth="1"/>
    <col min="6" max="8" width="14.54296875" bestFit="1" customWidth="1"/>
  </cols>
  <sheetData>
    <row r="2" spans="1:11" ht="17.5">
      <c r="A2" s="301" t="s">
        <v>232</v>
      </c>
    </row>
    <row r="4" spans="1:11" ht="22.5">
      <c r="A4" s="723" t="s">
        <v>233</v>
      </c>
      <c r="B4" s="723"/>
      <c r="C4" s="723"/>
      <c r="D4" s="723"/>
      <c r="E4" s="723"/>
      <c r="F4" s="723"/>
      <c r="G4" s="723"/>
      <c r="H4" s="723"/>
      <c r="I4" s="723"/>
    </row>
    <row r="5" spans="1:11" ht="15">
      <c r="A5" s="302"/>
      <c r="B5" s="303">
        <f>+'[5]Assump. '!F18</f>
        <v>0</v>
      </c>
      <c r="C5" s="303">
        <f>+'[5]Assump. '!G18</f>
        <v>0</v>
      </c>
      <c r="D5" s="303">
        <f>+'[5]Assump. '!H18</f>
        <v>0</v>
      </c>
      <c r="E5" s="303">
        <f>+'[5]Assump. '!I18</f>
        <v>0</v>
      </c>
      <c r="F5" s="303">
        <f>+'[5]Assump. '!J18</f>
        <v>0</v>
      </c>
      <c r="G5" s="303">
        <f>+'[5]Assump. '!K18</f>
        <v>0</v>
      </c>
      <c r="H5" s="303">
        <f>+'[5]Assump. '!L18</f>
        <v>0</v>
      </c>
      <c r="I5" s="303"/>
    </row>
    <row r="6" spans="1:11" ht="53" thickBot="1">
      <c r="A6" s="304" t="s">
        <v>234</v>
      </c>
      <c r="B6" s="305" t="s">
        <v>235</v>
      </c>
      <c r="C6" s="305" t="s">
        <v>236</v>
      </c>
      <c r="D6" s="305" t="s">
        <v>237</v>
      </c>
      <c r="E6" s="305" t="s">
        <v>238</v>
      </c>
      <c r="F6" s="305" t="s">
        <v>239</v>
      </c>
      <c r="G6" s="305" t="s">
        <v>240</v>
      </c>
      <c r="H6" s="305" t="s">
        <v>241</v>
      </c>
      <c r="I6" s="306" t="s">
        <v>242</v>
      </c>
    </row>
    <row r="7" spans="1:11" ht="15.5">
      <c r="A7" s="307" t="s">
        <v>243</v>
      </c>
      <c r="B7" s="308">
        <f>ROUND('[6]P&amp;LV3'!B7/1000,1)*1000</f>
        <v>455700</v>
      </c>
      <c r="C7" s="308">
        <f>ROUND('[6]P&amp;LV3'!C7/1000,1)*1000</f>
        <v>520299.99999999994</v>
      </c>
      <c r="D7" s="308">
        <f>ROUND('[6]P&amp;LV3'!D7/1000,1)*1000</f>
        <v>589700</v>
      </c>
      <c r="E7" s="308">
        <f>ROUND('[6]P&amp;LV3'!E7/1000,1)*1000</f>
        <v>670600</v>
      </c>
      <c r="F7" s="308">
        <f>ROUND('[6]P&amp;LV3'!F7/1000,1)*1000</f>
        <v>761400</v>
      </c>
      <c r="G7" s="308">
        <f>ROUND('[6]P&amp;LV3'!G7/1000,1)*1000</f>
        <v>866400</v>
      </c>
      <c r="H7" s="308">
        <f>ROUND('[6]P&amp;LV3'!H7/1000,1)*1000</f>
        <v>994200</v>
      </c>
      <c r="I7" s="309">
        <v>0.18456615359572637</v>
      </c>
    </row>
    <row r="8" spans="1:11" ht="15.5">
      <c r="A8" s="310" t="s">
        <v>244</v>
      </c>
      <c r="B8" s="311">
        <f>ROUND('[6]P&amp;LV3'!B8/1000,1)*1000</f>
        <v>-384600</v>
      </c>
      <c r="C8" s="311">
        <f>ROUND('[6]P&amp;LV3'!C8/1000,1)*1000</f>
        <v>-440300</v>
      </c>
      <c r="D8" s="311">
        <f>ROUND('[6]P&amp;LV3'!D8/1000,1)*1000</f>
        <v>-499600</v>
      </c>
      <c r="E8" s="311">
        <f>ROUND('[6]P&amp;LV3'!E8/1000,1)*1000</f>
        <v>-569900</v>
      </c>
      <c r="F8" s="311">
        <f>ROUND('[6]P&amp;LV3'!F8/1000,1)*1000</f>
        <v>-647200</v>
      </c>
      <c r="G8" s="311">
        <f>ROUND('[6]P&amp;LV3'!G8/1000,1)*1000</f>
        <v>-736800</v>
      </c>
      <c r="H8" s="311">
        <f>ROUND('[6]P&amp;LV3'!H8/1000,1)*1000</f>
        <v>-848700</v>
      </c>
      <c r="I8" s="312">
        <v>0.19272850581387657</v>
      </c>
      <c r="J8" s="313"/>
      <c r="K8" s="313"/>
    </row>
    <row r="9" spans="1:11" ht="15.5">
      <c r="A9" s="310" t="s">
        <v>245</v>
      </c>
      <c r="B9" s="311">
        <f>ROUND('[6]P&amp;LV3'!B9/1000,1)*1000</f>
        <v>-12700</v>
      </c>
      <c r="C9" s="311">
        <f>ROUND('[6]P&amp;LV3'!C9/1000,1)*1000</f>
        <v>-13800</v>
      </c>
      <c r="D9" s="311">
        <f>ROUND('[6]P&amp;LV3'!D9/1000,1)*1000</f>
        <v>-15100</v>
      </c>
      <c r="E9" s="311">
        <f>ROUND('[6]P&amp;LV3'!E9/1000,1)*1000</f>
        <v>-16500</v>
      </c>
      <c r="F9" s="311">
        <f>ROUND('[6]P&amp;LV3'!F9/1000,1)*1000</f>
        <v>-17900</v>
      </c>
      <c r="G9" s="311">
        <f>ROUND('[6]P&amp;LV3'!G9/1000,1)*1000</f>
        <v>-19500</v>
      </c>
      <c r="H9" s="311">
        <f>ROUND('[6]P&amp;LV3'!H9/1000,1)*1000</f>
        <v>-21300</v>
      </c>
      <c r="I9" s="314">
        <v>0.1089495717237936</v>
      </c>
    </row>
    <row r="10" spans="1:11" ht="15.5">
      <c r="A10" s="307" t="s">
        <v>246</v>
      </c>
      <c r="B10" s="315">
        <f t="shared" ref="B10:H10" si="0">SUM(B7:B9)</f>
        <v>58400</v>
      </c>
      <c r="C10" s="315">
        <f t="shared" si="0"/>
        <v>66199.999999999942</v>
      </c>
      <c r="D10" s="315">
        <f t="shared" si="0"/>
        <v>75000</v>
      </c>
      <c r="E10" s="315">
        <f t="shared" si="0"/>
        <v>84200</v>
      </c>
      <c r="F10" s="315">
        <f t="shared" si="0"/>
        <v>96300</v>
      </c>
      <c r="G10" s="315">
        <f t="shared" si="0"/>
        <v>110100</v>
      </c>
      <c r="H10" s="315">
        <f t="shared" si="0"/>
        <v>124200</v>
      </c>
      <c r="I10" s="316">
        <v>0.14246780714681528</v>
      </c>
    </row>
    <row r="11" spans="1:11" ht="15.5">
      <c r="A11" s="310" t="s">
        <v>247</v>
      </c>
      <c r="B11" s="317">
        <f>ROUND('[6]P&amp;LV3'!B11/1000,1)*1000</f>
        <v>-7800</v>
      </c>
      <c r="C11" s="317">
        <f>ROUND('[6]P&amp;LV3'!C11/1000,1)*1000</f>
        <v>-8300</v>
      </c>
      <c r="D11" s="317">
        <f>ROUND('[6]P&amp;LV3'!D11/1000,1)*1000</f>
        <v>-8800</v>
      </c>
      <c r="E11" s="317">
        <f>ROUND('[6]P&amp;LV3'!E11/1000,1)*1000</f>
        <v>-9300</v>
      </c>
      <c r="F11" s="317">
        <f>ROUND('[6]P&amp;LV3'!F11/1000,1)*1000</f>
        <v>-9900</v>
      </c>
      <c r="G11" s="317">
        <f>ROUND('[6]P&amp;LV3'!G11/1000,1)*1000</f>
        <v>-10500</v>
      </c>
      <c r="H11" s="317">
        <f>ROUND('[6]P&amp;LV3'!H11/1000,1)*1000</f>
        <v>-11200</v>
      </c>
      <c r="I11" s="318">
        <v>7.329470202704047E-2</v>
      </c>
    </row>
    <row r="12" spans="1:11" ht="15.5">
      <c r="A12" s="310" t="s">
        <v>248</v>
      </c>
      <c r="B12" s="317">
        <f>ROUND('[6]P&amp;LV3'!B12/1000,1)*1000</f>
        <v>-3400</v>
      </c>
      <c r="C12" s="317">
        <f>ROUND('[6]P&amp;LV3'!C12/1000,1)*1000</f>
        <v>-3700</v>
      </c>
      <c r="D12" s="317">
        <f>ROUND('[6]P&amp;LV3'!D12/1000,1)*1000</f>
        <v>-3600</v>
      </c>
      <c r="E12" s="317">
        <f>ROUND('[6]P&amp;LV3'!E12/1000,1)*1000</f>
        <v>-3900</v>
      </c>
      <c r="F12" s="317">
        <f>ROUND('[6]P&amp;LV3'!F12/1000,1)*1000</f>
        <v>-4100</v>
      </c>
      <c r="G12" s="317">
        <f>ROUND('[6]P&amp;LV3'!G12/1000,1)*1000</f>
        <v>-4400</v>
      </c>
      <c r="H12" s="317">
        <f>ROUND('[6]P&amp;LV3'!H12/1000,1)*1000</f>
        <v>-4700</v>
      </c>
      <c r="I12" s="318">
        <v>7.4584628901426031E-2</v>
      </c>
    </row>
    <row r="13" spans="1:11" ht="15.5">
      <c r="A13" s="307" t="s">
        <v>249</v>
      </c>
      <c r="B13" s="315">
        <f>SUM(B10:B12)</f>
        <v>47200</v>
      </c>
      <c r="C13" s="315">
        <f t="shared" ref="C13:H13" si="1">SUM(C10:C12)</f>
        <v>54199.999999999942</v>
      </c>
      <c r="D13" s="315">
        <f t="shared" si="1"/>
        <v>62600</v>
      </c>
      <c r="E13" s="315">
        <f t="shared" si="1"/>
        <v>71000</v>
      </c>
      <c r="F13" s="315">
        <f t="shared" si="1"/>
        <v>82300</v>
      </c>
      <c r="G13" s="315">
        <f t="shared" si="1"/>
        <v>95200</v>
      </c>
      <c r="H13" s="315">
        <f t="shared" si="1"/>
        <v>108300</v>
      </c>
      <c r="I13" s="319">
        <v>0.15640158929420545</v>
      </c>
    </row>
    <row r="14" spans="1:11" ht="15.5">
      <c r="A14" s="310" t="s">
        <v>250</v>
      </c>
      <c r="B14" s="317">
        <f>ROUND('[6]P&amp;LV3'!B14/1000,1)*1000</f>
        <v>-9400</v>
      </c>
      <c r="C14" s="317">
        <f>ROUND('[6]P&amp;LV3'!C14/1000,1)*1000</f>
        <v>-8900</v>
      </c>
      <c r="D14" s="317">
        <f>ROUND('[6]P&amp;LV3'!D14/1000,1)*1000</f>
        <v>-8700</v>
      </c>
      <c r="E14" s="317">
        <f>ROUND('[6]P&amp;LV3'!E14/1000,1)*1000</f>
        <v>-7900</v>
      </c>
      <c r="F14" s="317">
        <f>ROUND('[6]P&amp;LV3'!F14/1000,1)*1000</f>
        <v>-7300</v>
      </c>
      <c r="G14" s="317">
        <f>ROUND('[6]P&amp;LV3'!G14/1000,1)*1000</f>
        <v>-7100</v>
      </c>
      <c r="H14" s="317">
        <f>ROUND('[6]P&amp;LV3'!H14/1000,1)*1000</f>
        <v>-7100</v>
      </c>
      <c r="I14" s="318">
        <v>-5.3547420107586063E-2</v>
      </c>
    </row>
    <row r="15" spans="1:11" ht="15.5">
      <c r="A15" s="307" t="s">
        <v>251</v>
      </c>
      <c r="B15" s="315">
        <f>SUM(B13:B14)</f>
        <v>37800</v>
      </c>
      <c r="C15" s="315">
        <f t="shared" ref="C15:H15" si="2">SUM(C13:C14)</f>
        <v>45299.999999999942</v>
      </c>
      <c r="D15" s="315">
        <f t="shared" si="2"/>
        <v>53900</v>
      </c>
      <c r="E15" s="315">
        <f t="shared" si="2"/>
        <v>63100</v>
      </c>
      <c r="F15" s="315">
        <f t="shared" si="2"/>
        <v>75000</v>
      </c>
      <c r="G15" s="315">
        <f t="shared" si="2"/>
        <v>88100</v>
      </c>
      <c r="H15" s="315">
        <f t="shared" si="2"/>
        <v>101200</v>
      </c>
      <c r="I15" s="319">
        <v>0.18993458675348251</v>
      </c>
    </row>
    <row r="16" spans="1:11" ht="15.5">
      <c r="A16" s="310" t="s">
        <v>252</v>
      </c>
      <c r="B16" s="311">
        <f>ROUND('[6]P&amp;LV3'!B16/1000,1)*1000</f>
        <v>-14600</v>
      </c>
      <c r="C16" s="311">
        <f>ROUND('[6]P&amp;LV3'!C16/1000,1)*1000</f>
        <v>-16500</v>
      </c>
      <c r="D16" s="311">
        <f>ROUND('[6]P&amp;LV3'!D16/1000,1)*1000</f>
        <v>-16200</v>
      </c>
      <c r="E16" s="311">
        <f>ROUND('[6]P&amp;LV3'!E16/1000,1)*1000</f>
        <v>-16400</v>
      </c>
      <c r="F16" s="311">
        <f>ROUND('[6]P&amp;LV3'!F16/1000,1)*1000</f>
        <v>-17100</v>
      </c>
      <c r="G16" s="311">
        <f>ROUND('[6]P&amp;LV3'!G16/1000,1)*1000</f>
        <v>-18300</v>
      </c>
      <c r="H16" s="311">
        <f>ROUND('[6]P&amp;LV3'!H16/1000,1)*1000</f>
        <v>-19900</v>
      </c>
      <c r="I16" s="318">
        <v>7.7395964826530994E-2</v>
      </c>
    </row>
    <row r="17" spans="1:13" ht="15.5">
      <c r="A17" s="310" t="s">
        <v>253</v>
      </c>
      <c r="B17" s="311">
        <f>ROUND('[6]P&amp;LV3'!B17/1000,1)*1000</f>
        <v>-4000</v>
      </c>
      <c r="C17" s="311">
        <f>ROUND('[6]P&amp;LV3'!C17/1000,1)*1000</f>
        <v>-3200</v>
      </c>
      <c r="D17" s="311">
        <f>ROUND('[6]P&amp;LV3'!D17/1000,1)*1000</f>
        <v>-2400</v>
      </c>
      <c r="E17" s="311">
        <f>ROUND('[6]P&amp;LV3'!E17/1000,1)*1000</f>
        <v>-1700</v>
      </c>
      <c r="F17" s="311">
        <f>ROUND('[6]P&amp;LV3'!F17/1000,1)*1000</f>
        <v>-1100</v>
      </c>
      <c r="G17" s="311">
        <f>ROUND('[6]P&amp;LV3'!G17/1000,1)*1000</f>
        <v>-600</v>
      </c>
      <c r="H17" s="311">
        <f>ROUND('[6]P&amp;LV3'!H17/1000,1)*1000</f>
        <v>-200</v>
      </c>
      <c r="I17" s="318">
        <v>-0.24338009456495313</v>
      </c>
    </row>
    <row r="18" spans="1:13" ht="15.5">
      <c r="A18" s="320" t="s">
        <v>254</v>
      </c>
      <c r="B18" s="321">
        <f>SUM(B16:B17)</f>
        <v>-18600</v>
      </c>
      <c r="C18" s="321">
        <f t="shared" ref="C18:H18" si="3">SUM(C16:C17)</f>
        <v>-19700</v>
      </c>
      <c r="D18" s="321">
        <f t="shared" si="3"/>
        <v>-18600</v>
      </c>
      <c r="E18" s="321">
        <f t="shared" si="3"/>
        <v>-18100</v>
      </c>
      <c r="F18" s="321">
        <f t="shared" si="3"/>
        <v>-18200</v>
      </c>
      <c r="G18" s="321">
        <f t="shared" si="3"/>
        <v>-18900</v>
      </c>
      <c r="H18" s="321">
        <f t="shared" si="3"/>
        <v>-20100</v>
      </c>
      <c r="I18" s="322">
        <v>3.774671233460869E-2</v>
      </c>
    </row>
    <row r="19" spans="1:13" ht="15.5">
      <c r="A19" s="323" t="s">
        <v>231</v>
      </c>
      <c r="B19" s="315">
        <f>+B15+B18</f>
        <v>19200</v>
      </c>
      <c r="C19" s="315">
        <f t="shared" ref="C19:H19" si="4">+C15+C18</f>
        <v>25599.999999999942</v>
      </c>
      <c r="D19" s="315">
        <f t="shared" si="4"/>
        <v>35300</v>
      </c>
      <c r="E19" s="315">
        <f t="shared" si="4"/>
        <v>45000</v>
      </c>
      <c r="F19" s="315">
        <f t="shared" si="4"/>
        <v>56800</v>
      </c>
      <c r="G19" s="315">
        <f t="shared" si="4"/>
        <v>69200</v>
      </c>
      <c r="H19" s="315">
        <f t="shared" si="4"/>
        <v>81100</v>
      </c>
      <c r="I19" s="319">
        <v>0.28248403120437704</v>
      </c>
    </row>
    <row r="20" spans="1:13" ht="15.5">
      <c r="A20" s="310" t="s">
        <v>230</v>
      </c>
      <c r="B20" s="311">
        <f>ROUND('[6]P&amp;LV3'!B20/1000,1)*1000</f>
        <v>-1700</v>
      </c>
      <c r="C20" s="311">
        <f>ROUND('[6]P&amp;LV3'!C20/1000,1)*1000</f>
        <v>-3000</v>
      </c>
      <c r="D20" s="311">
        <f>ROUND('[6]P&amp;LV3'!D20/1000,1)*1000</f>
        <v>-4100</v>
      </c>
      <c r="E20" s="311">
        <f>ROUND('[6]P&amp;LV3'!E20/1000,1)*1000</f>
        <v>-5200</v>
      </c>
      <c r="F20" s="311">
        <f>ROUND('[6]P&amp;LV3'!F20/1000,1)*1000</f>
        <v>-14200</v>
      </c>
      <c r="G20" s="311">
        <f>ROUND('[6]P&amp;LV3'!G20/1000,1)*1000</f>
        <v>-17300</v>
      </c>
      <c r="H20" s="311">
        <f>ROUND('[6]P&amp;LV3'!H20/1000,1)*1000</f>
        <v>-20300</v>
      </c>
      <c r="I20" s="318">
        <v>0.57624384738818901</v>
      </c>
      <c r="K20" s="324"/>
      <c r="L20" s="324"/>
      <c r="M20" s="324"/>
    </row>
    <row r="21" spans="1:13" ht="15.5">
      <c r="A21" s="310" t="s">
        <v>255</v>
      </c>
      <c r="B21" s="311">
        <v>0</v>
      </c>
      <c r="C21" s="311">
        <v>0</v>
      </c>
      <c r="D21" s="311">
        <v>0</v>
      </c>
      <c r="E21" s="311">
        <v>0</v>
      </c>
      <c r="F21" s="311">
        <v>0</v>
      </c>
      <c r="G21" s="311">
        <v>0</v>
      </c>
      <c r="H21" s="311">
        <v>0</v>
      </c>
      <c r="I21" s="318">
        <v>0</v>
      </c>
    </row>
    <row r="22" spans="1:13" ht="16" thickBot="1">
      <c r="A22" s="325" t="s">
        <v>256</v>
      </c>
      <c r="B22" s="326">
        <f>SUM(B19:B21)</f>
        <v>17500</v>
      </c>
      <c r="C22" s="326">
        <f t="shared" ref="C22:H22" si="5">SUM(C19:C21)</f>
        <v>22599.999999999942</v>
      </c>
      <c r="D22" s="326">
        <f t="shared" si="5"/>
        <v>31200</v>
      </c>
      <c r="E22" s="326">
        <f t="shared" si="5"/>
        <v>39800</v>
      </c>
      <c r="F22" s="326">
        <f t="shared" si="5"/>
        <v>42600</v>
      </c>
      <c r="G22" s="326">
        <f t="shared" si="5"/>
        <v>51900</v>
      </c>
      <c r="H22" s="326">
        <f t="shared" si="5"/>
        <v>60800</v>
      </c>
      <c r="I22" s="327">
        <v>0.23359923725038945</v>
      </c>
    </row>
    <row r="23" spans="1:13" ht="15.5">
      <c r="A23" s="111"/>
      <c r="B23" s="328"/>
      <c r="C23" s="328"/>
      <c r="D23" s="328"/>
      <c r="E23" s="328"/>
      <c r="F23" s="328"/>
      <c r="G23" s="328"/>
      <c r="H23" s="328"/>
      <c r="I23" s="329">
        <v>0</v>
      </c>
    </row>
    <row r="24" spans="1:13" ht="15.5">
      <c r="A24" s="330" t="s">
        <v>257</v>
      </c>
      <c r="B24" s="331">
        <f>+B10/B$7</f>
        <v>0.1281544876014922</v>
      </c>
      <c r="C24" s="331">
        <f t="shared" ref="C24:H24" si="6">+C10/C$7</f>
        <v>0.12723428791082059</v>
      </c>
      <c r="D24" s="331">
        <f t="shared" si="6"/>
        <v>0.12718331354926235</v>
      </c>
      <c r="E24" s="331">
        <f t="shared" si="6"/>
        <v>0.12555920071577692</v>
      </c>
      <c r="F24" s="331">
        <f t="shared" si="6"/>
        <v>0.12647754137115838</v>
      </c>
      <c r="G24" s="331">
        <f t="shared" si="6"/>
        <v>0.12707756232686981</v>
      </c>
      <c r="H24" s="331">
        <f t="shared" si="6"/>
        <v>0.12492456246228123</v>
      </c>
      <c r="I24" s="111"/>
    </row>
    <row r="25" spans="1:13" ht="15.5">
      <c r="A25" s="332" t="s">
        <v>258</v>
      </c>
      <c r="B25" s="333">
        <f t="shared" ref="B25:H25" si="7">+B13/B7</f>
        <v>0.10357691463682248</v>
      </c>
      <c r="C25" s="333">
        <f t="shared" si="7"/>
        <v>0.10417067076686518</v>
      </c>
      <c r="D25" s="333">
        <f t="shared" si="7"/>
        <v>0.1061556723757843</v>
      </c>
      <c r="E25" s="333">
        <f t="shared" si="7"/>
        <v>0.10587533552042946</v>
      </c>
      <c r="F25" s="333">
        <f t="shared" si="7"/>
        <v>0.10809035986340951</v>
      </c>
      <c r="G25" s="333">
        <f t="shared" si="7"/>
        <v>0.10987996306555864</v>
      </c>
      <c r="H25" s="333">
        <f t="shared" si="7"/>
        <v>0.10893180446590223</v>
      </c>
      <c r="I25" s="334"/>
    </row>
    <row r="26" spans="1:13" ht="15.5">
      <c r="A26" s="332" t="s">
        <v>259</v>
      </c>
      <c r="B26" s="333">
        <f t="shared" ref="B26:H26" si="8">+B15/B7</f>
        <v>8.294930875576037E-2</v>
      </c>
      <c r="C26" s="333">
        <f t="shared" si="8"/>
        <v>8.706515471843157E-2</v>
      </c>
      <c r="D26" s="333">
        <f t="shared" si="8"/>
        <v>9.140240800406986E-2</v>
      </c>
      <c r="E26" s="333">
        <f t="shared" si="8"/>
        <v>9.4094840441395766E-2</v>
      </c>
      <c r="F26" s="333">
        <f t="shared" si="8"/>
        <v>9.8502758077226166E-2</v>
      </c>
      <c r="G26" s="333">
        <f t="shared" si="8"/>
        <v>0.10168513388734995</v>
      </c>
      <c r="H26" s="333">
        <f t="shared" si="8"/>
        <v>0.10179038422852545</v>
      </c>
      <c r="I26" s="334"/>
    </row>
    <row r="27" spans="1:13" ht="15.5">
      <c r="A27" s="332" t="s">
        <v>260</v>
      </c>
      <c r="B27" s="333">
        <f t="shared" ref="B27:H27" si="9">+B22/B7</f>
        <v>3.840245775729647E-2</v>
      </c>
      <c r="C27" s="333">
        <f t="shared" si="9"/>
        <v>4.3436478954449249E-2</v>
      </c>
      <c r="D27" s="333">
        <f t="shared" si="9"/>
        <v>5.2908258436493133E-2</v>
      </c>
      <c r="E27" s="333">
        <f t="shared" si="9"/>
        <v>5.9349835967790039E-2</v>
      </c>
      <c r="F27" s="333">
        <f t="shared" si="9"/>
        <v>5.5949566587864458E-2</v>
      </c>
      <c r="G27" s="333">
        <f t="shared" si="9"/>
        <v>5.9903047091412739E-2</v>
      </c>
      <c r="H27" s="333">
        <f t="shared" si="9"/>
        <v>6.1154697244015288E-2</v>
      </c>
      <c r="I27" s="111"/>
    </row>
  </sheetData>
  <mergeCells count="1">
    <mergeCell ref="A4:I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55"/>
  <sheetViews>
    <sheetView workbookViewId="0">
      <selection activeCell="F14" sqref="F14"/>
    </sheetView>
  </sheetViews>
  <sheetFormatPr baseColWidth="10" defaultColWidth="11.453125" defaultRowHeight="13" outlineLevelRow="2"/>
  <cols>
    <col min="1" max="1" width="2.7265625" style="165" customWidth="1"/>
    <col min="2" max="2" width="9.54296875" style="165" customWidth="1"/>
    <col min="3" max="3" width="8.54296875" style="165" customWidth="1"/>
    <col min="4" max="4" width="7.1796875" style="165" customWidth="1"/>
    <col min="5" max="5" width="5.26953125" style="165" customWidth="1"/>
    <col min="6" max="6" width="33.7265625" style="165" bestFit="1" customWidth="1"/>
    <col min="7" max="7" width="13.7265625" style="169" bestFit="1" customWidth="1"/>
    <col min="8" max="8" width="13.54296875" style="169" bestFit="1" customWidth="1"/>
    <col min="9" max="9" width="12.81640625" style="169" bestFit="1" customWidth="1"/>
    <col min="10" max="10" width="12.7265625" style="169" bestFit="1" customWidth="1"/>
    <col min="11" max="11" width="13.453125" style="169" bestFit="1" customWidth="1"/>
    <col min="12" max="12" width="12.54296875" style="169" bestFit="1" customWidth="1"/>
    <col min="13" max="13" width="12.81640625" style="169" bestFit="1" customWidth="1"/>
    <col min="14" max="14" width="12.54296875" style="169" bestFit="1" customWidth="1"/>
    <col min="15" max="15" width="13.54296875" style="169" bestFit="1" customWidth="1"/>
    <col min="16" max="17" width="12.7265625" style="169" bestFit="1" customWidth="1"/>
    <col min="18" max="18" width="18.7265625" style="169" customWidth="1"/>
    <col min="19" max="19" width="14.54296875" style="169" bestFit="1" customWidth="1"/>
    <col min="20" max="20" width="1.7265625" style="165" customWidth="1"/>
    <col min="21" max="21" width="11.81640625" style="165" bestFit="1" customWidth="1"/>
    <col min="22" max="25" width="11.54296875" style="165" bestFit="1" customWidth="1"/>
    <col min="26" max="16384" width="11.453125" style="165"/>
  </cols>
  <sheetData>
    <row r="1" spans="2:25" ht="18.649999999999999" customHeight="1" thickBot="1">
      <c r="B1" s="162"/>
      <c r="C1" s="162"/>
      <c r="D1" s="162" t="s">
        <v>113</v>
      </c>
      <c r="E1" s="162"/>
      <c r="F1" s="163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2:25" ht="18.649999999999999" customHeight="1" thickTop="1">
      <c r="B2" s="166"/>
      <c r="C2" s="166"/>
      <c r="D2" s="166" t="s">
        <v>114</v>
      </c>
      <c r="E2" s="166"/>
      <c r="F2" s="167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2:25" ht="18.649999999999999" customHeight="1">
      <c r="B3" s="166"/>
      <c r="C3" s="166"/>
      <c r="D3" s="166" t="s">
        <v>178</v>
      </c>
      <c r="E3" s="166"/>
      <c r="F3" s="167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</row>
    <row r="5" spans="2:25" s="214" customFormat="1" ht="24.65" customHeight="1">
      <c r="G5" s="215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U5" s="724" t="s">
        <v>179</v>
      </c>
      <c r="V5" s="724"/>
      <c r="W5" s="724"/>
      <c r="X5" s="724"/>
      <c r="Y5" s="724"/>
    </row>
    <row r="6" spans="2:25" s="172" customFormat="1" ht="22.9" customHeight="1" thickBot="1">
      <c r="B6" s="217"/>
      <c r="C6" s="217"/>
      <c r="D6" s="217" t="s">
        <v>180</v>
      </c>
      <c r="E6" s="217"/>
      <c r="G6" s="205"/>
      <c r="H6" s="205"/>
      <c r="I6" s="205"/>
      <c r="J6" s="205"/>
      <c r="K6" s="205"/>
      <c r="L6" s="205"/>
      <c r="M6" s="205"/>
      <c r="N6" s="205"/>
      <c r="O6" s="205"/>
      <c r="P6" s="218"/>
      <c r="Q6" s="218"/>
      <c r="R6" s="218"/>
      <c r="S6" s="205"/>
      <c r="U6" s="205">
        <v>2019</v>
      </c>
      <c r="V6" s="205">
        <v>2020</v>
      </c>
      <c r="W6" s="205">
        <v>2021</v>
      </c>
      <c r="X6" s="205">
        <v>2022</v>
      </c>
      <c r="Y6" s="205">
        <v>2023</v>
      </c>
    </row>
    <row r="7" spans="2:25" s="172" customFormat="1" ht="33.75" customHeight="1" thickBot="1">
      <c r="B7" s="207"/>
      <c r="C7" s="207"/>
      <c r="D7" s="207" t="s">
        <v>116</v>
      </c>
      <c r="E7" s="207"/>
      <c r="F7" s="208" t="s">
        <v>117</v>
      </c>
      <c r="G7" s="209">
        <v>43101</v>
      </c>
      <c r="H7" s="209">
        <v>43132</v>
      </c>
      <c r="I7" s="209">
        <v>43160</v>
      </c>
      <c r="J7" s="209">
        <v>43191</v>
      </c>
      <c r="K7" s="209">
        <v>43221</v>
      </c>
      <c r="L7" s="209">
        <v>43252</v>
      </c>
      <c r="M7" s="209">
        <v>43282</v>
      </c>
      <c r="N7" s="209">
        <v>43313</v>
      </c>
      <c r="O7" s="209">
        <v>43344</v>
      </c>
      <c r="P7" s="170">
        <v>43374</v>
      </c>
      <c r="Q7" s="170">
        <v>43405</v>
      </c>
      <c r="R7" s="170">
        <v>43435</v>
      </c>
      <c r="S7" s="171" t="s">
        <v>64</v>
      </c>
      <c r="U7" s="209">
        <v>40544</v>
      </c>
      <c r="V7" s="209">
        <v>40575</v>
      </c>
      <c r="W7" s="209">
        <v>40603</v>
      </c>
      <c r="X7" s="209">
        <v>40634</v>
      </c>
      <c r="Y7" s="209">
        <v>40664</v>
      </c>
    </row>
    <row r="8" spans="2:25" ht="6.75" customHeight="1" thickTop="1">
      <c r="B8" s="173"/>
      <c r="C8" s="173"/>
      <c r="D8" s="173"/>
      <c r="E8" s="173"/>
      <c r="F8" s="173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5"/>
      <c r="U8" s="174"/>
      <c r="V8" s="174"/>
      <c r="W8" s="174"/>
      <c r="X8" s="174"/>
      <c r="Y8" s="174"/>
    </row>
    <row r="9" spans="2:25" s="180" customFormat="1" ht="13.15" customHeight="1" outlineLevel="1">
      <c r="B9" s="176" t="str">
        <f>$E9&amp;"-"&amp;$C9</f>
        <v>F01-PV01</v>
      </c>
      <c r="C9" s="176" t="s">
        <v>127</v>
      </c>
      <c r="D9" s="176" t="s">
        <v>118</v>
      </c>
      <c r="E9" s="176" t="str">
        <f>VLOOKUP(D9,'[1]Base Produits'!$A$1:$E$40,3,FALSE)</f>
        <v>F01</v>
      </c>
      <c r="F9" s="177" t="str">
        <f t="shared" ref="F9:F16" si="0">+VLOOKUP($D9,Hierarchie_PF,2,FALSE)</f>
        <v>D08 RB500</v>
      </c>
      <c r="G9" s="219">
        <f>IFERROR(G84/'[1]Vente Volume'!G83,"-")</f>
        <v>1504.937997228725</v>
      </c>
      <c r="H9" s="219">
        <f>IFERROR(H84/'[1]Vente Volume'!H83,"-")</f>
        <v>1590.0899708446154</v>
      </c>
      <c r="I9" s="219">
        <f>IFERROR(I84/'[1]Vente Volume'!I83,"-")</f>
        <v>1595.2340000070149</v>
      </c>
      <c r="J9" s="219">
        <f>IFERROR(J84/'[1]Vente Volume'!J83,"-")</f>
        <v>1595.2340016429689</v>
      </c>
      <c r="K9" s="219">
        <f>IFERROR(K84/'[1]Vente Volume'!K83,"-")</f>
        <v>1595.2340125350229</v>
      </c>
      <c r="L9" s="219">
        <f>IFERROR(L84/'[1]Vente Volume'!L83,"-")</f>
        <v>1595.2339965033134</v>
      </c>
      <c r="M9" s="219">
        <f>IFERROR(M84/'[1]Vente Volume'!M83,"-")</f>
        <v>1595.234006319484</v>
      </c>
      <c r="N9" s="219">
        <f>IFERROR(N84/'[1]Vente Volume'!N83,"-")</f>
        <v>1629.7176515872018</v>
      </c>
      <c r="O9" s="219">
        <f>IFERROR(O84/'[1]Vente Volume'!O83,"-")</f>
        <v>1754.7579981624012</v>
      </c>
      <c r="P9" s="220">
        <f>IFERROR(P84/'[1]Vente Volume'!P83,"-")</f>
        <v>1643.39175</v>
      </c>
      <c r="Q9" s="220">
        <f>IFERROR(Q84/'[1]Vente Volume'!Q83,"-")</f>
        <v>1643.3917500000005</v>
      </c>
      <c r="R9" s="220">
        <f>IFERROR(R84/'[1]Vente Volume'!R83,"-")</f>
        <v>1643.3917500000005</v>
      </c>
      <c r="S9" s="179">
        <f t="shared" ref="S9:S16" si="1">SUMPRODUCT(G9:R9,G$77:R$77)/$S$77</f>
        <v>1615.2378607266853</v>
      </c>
      <c r="U9" s="178"/>
      <c r="V9" s="221"/>
      <c r="W9" s="221"/>
      <c r="X9" s="221"/>
      <c r="Y9" s="221"/>
    </row>
    <row r="10" spans="2:25" s="180" customFormat="1" ht="13.15" customHeight="1" outlineLevel="1">
      <c r="B10" s="176" t="str">
        <f t="shared" ref="B10:B16" si="2">$E10&amp;"-"&amp;$C10</f>
        <v>F01-PV01</v>
      </c>
      <c r="C10" s="176" t="s">
        <v>127</v>
      </c>
      <c r="D10" s="176" t="s">
        <v>119</v>
      </c>
      <c r="E10" s="176" t="str">
        <f>VLOOKUP(D10,'[1]Base Produits'!$A$1:$E$40,3,FALSE)</f>
        <v>F01</v>
      </c>
      <c r="F10" s="177" t="str">
        <f t="shared" si="0"/>
        <v>D10 RB500</v>
      </c>
      <c r="G10" s="219">
        <f>IFERROR(G85/'[1]Vente Volume'!G84,"-")</f>
        <v>1494.3230435508096</v>
      </c>
      <c r="H10" s="219">
        <f>IFERROR(H85/'[1]Vente Volume'!H84,"-")</f>
        <v>1571.7314695080781</v>
      </c>
      <c r="I10" s="219">
        <f>IFERROR(I85/'[1]Vente Volume'!I84,"-")</f>
        <v>1583.9820003691598</v>
      </c>
      <c r="J10" s="219">
        <f>IFERROR(J85/'[1]Vente Volume'!J84,"-")</f>
        <v>1583.9819997471664</v>
      </c>
      <c r="K10" s="219">
        <f>IFERROR(K85/'[1]Vente Volume'!K84,"-")</f>
        <v>1583.9819982826275</v>
      </c>
      <c r="L10" s="219">
        <f>IFERROR(L85/'[1]Vente Volume'!L84,"-")</f>
        <v>1583.9820022021092</v>
      </c>
      <c r="M10" s="219">
        <f>IFERROR(M85/'[1]Vente Volume'!M84,"-")</f>
        <v>1583.9819985638837</v>
      </c>
      <c r="N10" s="219">
        <f>IFERROR(N85/'[1]Vente Volume'!N84,"-")</f>
        <v>1616.4648144279977</v>
      </c>
      <c r="O10" s="219">
        <f>IFERROR(O85/'[1]Vente Volume'!O84,"-")</f>
        <v>1742.3809948235369</v>
      </c>
      <c r="P10" s="220">
        <f>IFERROR(P85/'[1]Vente Volume'!P84,"-")</f>
        <v>1631.8001700000002</v>
      </c>
      <c r="Q10" s="220">
        <f>IFERROR(Q85/'[1]Vente Volume'!Q84,"-")</f>
        <v>1631.8001700000002</v>
      </c>
      <c r="R10" s="220">
        <f>IFERROR(R85/'[1]Vente Volume'!R84,"-")</f>
        <v>1631.8001700000002</v>
      </c>
      <c r="S10" s="179">
        <f t="shared" si="1"/>
        <v>1603.1745447352089</v>
      </c>
      <c r="U10" s="178"/>
      <c r="V10" s="221"/>
      <c r="W10" s="221"/>
      <c r="X10" s="221"/>
      <c r="Y10" s="221"/>
    </row>
    <row r="11" spans="2:25" s="180" customFormat="1" ht="13.15" customHeight="1" outlineLevel="1">
      <c r="B11" s="176" t="str">
        <f t="shared" si="2"/>
        <v>F01-PV01</v>
      </c>
      <c r="C11" s="176" t="s">
        <v>127</v>
      </c>
      <c r="D11" s="176" t="s">
        <v>120</v>
      </c>
      <c r="E11" s="176" t="str">
        <f>VLOOKUP(D11,'[1]Base Produits'!$A$1:$E$40,3,FALSE)</f>
        <v>F01</v>
      </c>
      <c r="F11" s="177" t="str">
        <f t="shared" si="0"/>
        <v>D12 RB500</v>
      </c>
      <c r="G11" s="219" t="str">
        <f>IFERROR(G86/'[1]Vente Volume'!G85,"-")</f>
        <v>-</v>
      </c>
      <c r="H11" s="219">
        <f>IFERROR(H86/'[1]Vente Volume'!H85,"-")</f>
        <v>1564.2049976345206</v>
      </c>
      <c r="I11" s="219">
        <f>IFERROR(I86/'[1]Vente Volume'!I85,"-")</f>
        <v>1564.2049983881777</v>
      </c>
      <c r="J11" s="219">
        <f>IFERROR(J86/'[1]Vente Volume'!J85,"-")</f>
        <v>1564.2049991657429</v>
      </c>
      <c r="K11" s="219">
        <f>IFERROR(K86/'[1]Vente Volume'!K85,"-")</f>
        <v>1564.2049986564539</v>
      </c>
      <c r="L11" s="219">
        <f>IFERROR(L86/'[1]Vente Volume'!L85,"-")</f>
        <v>1564.2049991860777</v>
      </c>
      <c r="M11" s="219">
        <f>IFERROR(M86/'[1]Vente Volume'!M85,"-")</f>
        <v>1564.2050032243153</v>
      </c>
      <c r="N11" s="219">
        <f>IFERROR(N86/'[1]Vente Volume'!N85,"-")</f>
        <v>1627.2088608354143</v>
      </c>
      <c r="O11" s="219">
        <f>IFERROR(O86/'[1]Vente Volume'!O85,"-")</f>
        <v>1720.6250046026662</v>
      </c>
      <c r="P11" s="220">
        <f>IFERROR(P86/'[1]Vente Volume'!P85,"-")</f>
        <v>1611.4266168000001</v>
      </c>
      <c r="Q11" s="220">
        <f>IFERROR(Q86/'[1]Vente Volume'!Q85,"-")</f>
        <v>1611.4266168000001</v>
      </c>
      <c r="R11" s="220">
        <f>IFERROR(R86/'[1]Vente Volume'!R85,"-")</f>
        <v>1611.4266168000001</v>
      </c>
      <c r="S11" s="179">
        <f t="shared" si="1"/>
        <v>1458.731292688251</v>
      </c>
      <c r="U11" s="178"/>
      <c r="V11" s="221"/>
      <c r="W11" s="221"/>
      <c r="X11" s="221"/>
      <c r="Y11" s="221"/>
    </row>
    <row r="12" spans="2:25" s="180" customFormat="1" ht="13.15" customHeight="1" outlineLevel="1">
      <c r="B12" s="176" t="str">
        <f t="shared" si="2"/>
        <v>F01-PV01</v>
      </c>
      <c r="C12" s="176" t="s">
        <v>127</v>
      </c>
      <c r="D12" s="176" t="s">
        <v>121</v>
      </c>
      <c r="E12" s="176" t="str">
        <f>VLOOKUP(D12,'[1]Base Produits'!$A$1:$E$40,3,FALSE)</f>
        <v>F01</v>
      </c>
      <c r="F12" s="177" t="str">
        <f t="shared" si="0"/>
        <v>D14 RB500</v>
      </c>
      <c r="G12" s="219">
        <f>IFERROR(G87/'[1]Vente Volume'!G86,"-")</f>
        <v>1471.3029997072636</v>
      </c>
      <c r="H12" s="219">
        <f>IFERROR(H87/'[1]Vente Volume'!H86,"-")</f>
        <v>1559.5809992982772</v>
      </c>
      <c r="I12" s="219">
        <f>IFERROR(I87/'[1]Vente Volume'!I86,"-")</f>
        <v>1559.5810041106215</v>
      </c>
      <c r="J12" s="219">
        <f>IFERROR(J87/'[1]Vente Volume'!J86,"-")</f>
        <v>1559.5810032564332</v>
      </c>
      <c r="K12" s="219">
        <f>IFERROR(K87/'[1]Vente Volume'!K86,"-")</f>
        <v>1559.5809996807093</v>
      </c>
      <c r="L12" s="219">
        <f>IFERROR(L87/'[1]Vente Volume'!L86,"-")</f>
        <v>1559.5810033453204</v>
      </c>
      <c r="M12" s="219">
        <f>IFERROR(M87/'[1]Vente Volume'!M86,"-")</f>
        <v>1559.5809967328228</v>
      </c>
      <c r="N12" s="219">
        <f>IFERROR(N87/'[1]Vente Volume'!N86,"-")</f>
        <v>1610.8293977217643</v>
      </c>
      <c r="O12" s="219">
        <f>IFERROR(O87/'[1]Vente Volume'!O86,"-")</f>
        <v>1715.5389968662339</v>
      </c>
      <c r="P12" s="220">
        <f>IFERROR(P87/'[1]Vente Volume'!P86,"-")</f>
        <v>1606.6626576000003</v>
      </c>
      <c r="Q12" s="220">
        <f>IFERROR(Q87/'[1]Vente Volume'!Q86,"-")</f>
        <v>1606.6626576000003</v>
      </c>
      <c r="R12" s="220">
        <f>IFERROR(R87/'[1]Vente Volume'!R86,"-")</f>
        <v>1606.6626576000003</v>
      </c>
      <c r="S12" s="179">
        <f t="shared" si="1"/>
        <v>1580.9678544786334</v>
      </c>
      <c r="U12" s="178"/>
      <c r="V12" s="221"/>
      <c r="W12" s="221"/>
      <c r="X12" s="221"/>
      <c r="Y12" s="221"/>
    </row>
    <row r="13" spans="2:25" s="180" customFormat="1" ht="13.15" customHeight="1" outlineLevel="1">
      <c r="B13" s="176" t="str">
        <f t="shared" si="2"/>
        <v>F01-PV01</v>
      </c>
      <c r="C13" s="176" t="s">
        <v>127</v>
      </c>
      <c r="D13" s="176" t="s">
        <v>122</v>
      </c>
      <c r="E13" s="176" t="str">
        <f>VLOOKUP(D13,'[1]Base Produits'!$A$1:$E$40,3,FALSE)</f>
        <v>F01</v>
      </c>
      <c r="F13" s="177" t="str">
        <f t="shared" si="0"/>
        <v>D16 RB500</v>
      </c>
      <c r="G13" s="219">
        <f>IFERROR(G88/'[1]Vente Volume'!G87,"-")</f>
        <v>1456.2759911107182</v>
      </c>
      <c r="H13" s="219">
        <f>IFERROR(H88/'[1]Vente Volume'!H87,"-")</f>
        <v>1543.6532438478748</v>
      </c>
      <c r="I13" s="219" t="str">
        <f>IFERROR(I88/'[1]Vente Volume'!I87,"-")</f>
        <v>-</v>
      </c>
      <c r="J13" s="219">
        <f>IFERROR(J88/'[1]Vente Volume'!J87,"-")</f>
        <v>1543.6530003095813</v>
      </c>
      <c r="K13" s="219">
        <f>IFERROR(K88/'[1]Vente Volume'!K87,"-")</f>
        <v>1543.6529954943178</v>
      </c>
      <c r="L13" s="219">
        <f>IFERROR(L88/'[1]Vente Volume'!L87,"-")</f>
        <v>1543.6530024800563</v>
      </c>
      <c r="M13" s="219">
        <f>IFERROR(M88/'[1]Vente Volume'!M87,"-")</f>
        <v>1543.652966151669</v>
      </c>
      <c r="N13" s="219">
        <f>IFERROR(N88/'[1]Vente Volume'!N87,"-")</f>
        <v>1613.4577038170339</v>
      </c>
      <c r="O13" s="219">
        <f>IFERROR(O88/'[1]Vente Volume'!O87,"-")</f>
        <v>1698.0179950597828</v>
      </c>
      <c r="P13" s="220">
        <f>IFERROR(P88/'[1]Vente Volume'!P87,"-")</f>
        <v>1590.2530644000003</v>
      </c>
      <c r="Q13" s="220">
        <f>IFERROR(Q88/'[1]Vente Volume'!Q87,"-")</f>
        <v>1590.2530644000003</v>
      </c>
      <c r="R13" s="220">
        <f>IFERROR(R88/'[1]Vente Volume'!R87,"-")</f>
        <v>1590.2530644000003</v>
      </c>
      <c r="S13" s="179">
        <f t="shared" si="1"/>
        <v>1432.6279051394574</v>
      </c>
      <c r="U13" s="178"/>
      <c r="V13" s="221"/>
      <c r="W13" s="221"/>
      <c r="X13" s="221"/>
      <c r="Y13" s="221"/>
    </row>
    <row r="14" spans="2:25" s="180" customFormat="1" ht="13.15" customHeight="1" outlineLevel="1">
      <c r="B14" s="176" t="str">
        <f t="shared" si="2"/>
        <v>F01-PV01</v>
      </c>
      <c r="C14" s="176" t="s">
        <v>127</v>
      </c>
      <c r="D14" s="176" t="s">
        <v>123</v>
      </c>
      <c r="E14" s="176" t="str">
        <f>VLOOKUP(D14,'[1]Base Produits'!$A$1:$E$40,3,FALSE)</f>
        <v>F01</v>
      </c>
      <c r="F14" s="177" t="str">
        <f t="shared" si="0"/>
        <v>D20 RB500</v>
      </c>
      <c r="G14" s="219" t="str">
        <f>IFERROR(G89/'[1]Vente Volume'!G88,"-")</f>
        <v>-</v>
      </c>
      <c r="H14" s="219" t="str">
        <f>IFERROR(H89/'[1]Vente Volume'!H88,"-")</f>
        <v>-</v>
      </c>
      <c r="I14" s="219" t="str">
        <f>IFERROR(I89/'[1]Vente Volume'!I88,"-")</f>
        <v>-</v>
      </c>
      <c r="J14" s="219" t="str">
        <f>IFERROR(J89/'[1]Vente Volume'!J88,"-")</f>
        <v>-</v>
      </c>
      <c r="K14" s="219" t="str">
        <f>IFERROR(K89/'[1]Vente Volume'!K88,"-")</f>
        <v>-</v>
      </c>
      <c r="L14" s="219" t="str">
        <f>IFERROR(L89/'[1]Vente Volume'!L88,"-")</f>
        <v>-</v>
      </c>
      <c r="M14" s="219" t="str">
        <f>IFERROR(M89/'[1]Vente Volume'!M88,"-")</f>
        <v>-</v>
      </c>
      <c r="N14" s="219" t="str">
        <f>IFERROR(N89/'[1]Vente Volume'!N88,"-")</f>
        <v>-</v>
      </c>
      <c r="O14" s="219" t="str">
        <f>IFERROR(O89/'[1]Vente Volume'!O88,"-")</f>
        <v>-</v>
      </c>
      <c r="P14" s="220">
        <f>IFERROR(P89/'[1]Vente Volume'!P88,"-")</f>
        <v>1580.3059272</v>
      </c>
      <c r="Q14" s="220">
        <f>IFERROR(Q89/'[1]Vente Volume'!Q88,"-")</f>
        <v>1580.3059272</v>
      </c>
      <c r="R14" s="220">
        <f>IFERROR(R89/'[1]Vente Volume'!R88,"-")</f>
        <v>1580.3059272</v>
      </c>
      <c r="S14" s="179">
        <f t="shared" si="1"/>
        <v>395.07648180000001</v>
      </c>
      <c r="U14" s="178"/>
      <c r="V14" s="221"/>
      <c r="W14" s="221"/>
      <c r="X14" s="221"/>
      <c r="Y14" s="221"/>
    </row>
    <row r="15" spans="2:25" s="180" customFormat="1" ht="13.15" customHeight="1" outlineLevel="1">
      <c r="B15" s="176" t="str">
        <f t="shared" si="2"/>
        <v>F01-PV01</v>
      </c>
      <c r="C15" s="176" t="s">
        <v>127</v>
      </c>
      <c r="D15" s="176" t="s">
        <v>124</v>
      </c>
      <c r="E15" s="176" t="str">
        <f>VLOOKUP(D15,'[1]Base Produits'!$A$1:$E$40,3,FALSE)</f>
        <v>F01</v>
      </c>
      <c r="F15" s="177" t="str">
        <f t="shared" si="0"/>
        <v>D25 RB500</v>
      </c>
      <c r="G15" s="219">
        <f>IFERROR(G90/'[1]Vente Volume'!G89,"-")</f>
        <v>1443.2810026335942</v>
      </c>
      <c r="H15" s="219" t="str">
        <f>IFERROR(H90/'[1]Vente Volume'!H89,"-")</f>
        <v>-</v>
      </c>
      <c r="I15" s="219" t="str">
        <f>IFERROR(I90/'[1]Vente Volume'!I89,"-")</f>
        <v>-</v>
      </c>
      <c r="J15" s="219" t="str">
        <f>IFERROR(J90/'[1]Vente Volume'!J89,"-")</f>
        <v>-</v>
      </c>
      <c r="K15" s="219" t="str">
        <f>IFERROR(K90/'[1]Vente Volume'!K89,"-")</f>
        <v>-</v>
      </c>
      <c r="L15" s="219" t="str">
        <f>IFERROR(L90/'[1]Vente Volume'!L89,"-")</f>
        <v>-</v>
      </c>
      <c r="M15" s="219" t="str">
        <f>IFERROR(M90/'[1]Vente Volume'!M89,"-")</f>
        <v>-</v>
      </c>
      <c r="N15" s="219" t="str">
        <f>IFERROR(N90/'[1]Vente Volume'!N89,"-")</f>
        <v>-</v>
      </c>
      <c r="O15" s="219" t="str">
        <f>IFERROR(O90/'[1]Vente Volume'!O89,"-")</f>
        <v>-</v>
      </c>
      <c r="P15" s="220">
        <f>IFERROR(P90/'[1]Vente Volume'!P89,"-")</f>
        <v>1576.0620876000003</v>
      </c>
      <c r="Q15" s="220">
        <f>IFERROR(Q90/'[1]Vente Volume'!Q89,"-")</f>
        <v>1576.0620876000003</v>
      </c>
      <c r="R15" s="220">
        <f>IFERROR(R90/'[1]Vente Volume'!R89,"-")</f>
        <v>1576.0620876000003</v>
      </c>
      <c r="S15" s="179">
        <f t="shared" si="1"/>
        <v>519.09987546157834</v>
      </c>
      <c r="U15" s="178"/>
      <c r="V15" s="221"/>
      <c r="W15" s="221"/>
      <c r="X15" s="221"/>
      <c r="Y15" s="221"/>
    </row>
    <row r="16" spans="2:25" s="180" customFormat="1" ht="13.15" customHeight="1" outlineLevel="1">
      <c r="B16" s="176" t="str">
        <f t="shared" si="2"/>
        <v>F01-PV01</v>
      </c>
      <c r="C16" s="176" t="s">
        <v>127</v>
      </c>
      <c r="D16" s="176" t="s">
        <v>125</v>
      </c>
      <c r="E16" s="176" t="str">
        <f>VLOOKUP(D16,'[1]Base Produits'!$A$1:$E$40,3,FALSE)</f>
        <v>F01</v>
      </c>
      <c r="F16" s="177" t="str">
        <f t="shared" si="0"/>
        <v>D32 RB500</v>
      </c>
      <c r="G16" s="219" t="str">
        <f>IFERROR(G91/'[1]Vente Volume'!G90,"-")</f>
        <v>-</v>
      </c>
      <c r="H16" s="219" t="str">
        <f>IFERROR(H91/'[1]Vente Volume'!H90,"-")</f>
        <v>-</v>
      </c>
      <c r="I16" s="219" t="str">
        <f>IFERROR(I91/'[1]Vente Volume'!I90,"-")</f>
        <v>-</v>
      </c>
      <c r="J16" s="219" t="str">
        <f>IFERROR(J91/'[1]Vente Volume'!J90,"-")</f>
        <v>-</v>
      </c>
      <c r="K16" s="219" t="str">
        <f>IFERROR(K91/'[1]Vente Volume'!K90,"-")</f>
        <v>-</v>
      </c>
      <c r="L16" s="219" t="str">
        <f>IFERROR(L91/'[1]Vente Volume'!L90,"-")</f>
        <v>-</v>
      </c>
      <c r="M16" s="219" t="str">
        <f>IFERROR(M91/'[1]Vente Volume'!M90,"-")</f>
        <v>-</v>
      </c>
      <c r="N16" s="219" t="str">
        <f>IFERROR(N91/'[1]Vente Volume'!N90,"-")</f>
        <v>-</v>
      </c>
      <c r="O16" s="219" t="str">
        <f>IFERROR(O91/'[1]Vente Volume'!O90,"-")</f>
        <v>-</v>
      </c>
      <c r="P16" s="220">
        <f>IFERROR(P91/'[1]Vente Volume'!P90,"-")</f>
        <v>1569.0434760000003</v>
      </c>
      <c r="Q16" s="220">
        <f>IFERROR(Q91/'[1]Vente Volume'!Q90,"-")</f>
        <v>1569.0434760000003</v>
      </c>
      <c r="R16" s="220">
        <f>IFERROR(R91/'[1]Vente Volume'!R90,"-")</f>
        <v>1569.0434760000003</v>
      </c>
      <c r="S16" s="179">
        <f t="shared" si="1"/>
        <v>392.26086900000007</v>
      </c>
      <c r="U16" s="178"/>
      <c r="V16" s="221"/>
      <c r="W16" s="221"/>
      <c r="X16" s="221"/>
      <c r="Y16" s="221"/>
    </row>
    <row r="17" spans="2:25" ht="6.75" customHeight="1">
      <c r="B17" s="181"/>
      <c r="C17" s="181"/>
      <c r="D17" s="181"/>
      <c r="E17" s="181"/>
      <c r="F17" s="181"/>
      <c r="G17" s="219"/>
      <c r="H17" s="219"/>
      <c r="I17" s="219"/>
      <c r="J17" s="219"/>
      <c r="K17" s="219"/>
      <c r="L17" s="219"/>
      <c r="M17" s="219"/>
      <c r="N17" s="219"/>
      <c r="O17" s="219"/>
      <c r="P17" s="182"/>
      <c r="Q17" s="182"/>
      <c r="R17" s="182"/>
      <c r="S17" s="175"/>
      <c r="U17" s="178"/>
      <c r="V17" s="182"/>
      <c r="W17" s="182"/>
      <c r="X17" s="182"/>
      <c r="Y17" s="182"/>
    </row>
    <row r="18" spans="2:25" s="180" customFormat="1" ht="21" customHeight="1" thickBot="1">
      <c r="B18" s="183"/>
      <c r="C18" s="183"/>
      <c r="D18" s="183" t="str">
        <f>VLOOKUP(D9,Hierarchie_PF,3,FALSE)</f>
        <v>F01</v>
      </c>
      <c r="E18" s="183"/>
      <c r="F18" s="183" t="str">
        <f>VLOOKUP(D9,Hierarchie_PF,4,FALSE)</f>
        <v>Rond à Beton en Barre</v>
      </c>
      <c r="G18" s="222">
        <f>AVERAGE(G9:G16)</f>
        <v>1474.0242068462219</v>
      </c>
      <c r="H18" s="222">
        <f t="shared" ref="H18:R18" si="3">AVERAGE(H9:H16)</f>
        <v>1565.8521362266733</v>
      </c>
      <c r="I18" s="222">
        <f t="shared" si="3"/>
        <v>1575.7505007187435</v>
      </c>
      <c r="J18" s="222">
        <f t="shared" si="3"/>
        <v>1569.3310008243784</v>
      </c>
      <c r="K18" s="222">
        <f t="shared" si="3"/>
        <v>1569.3310009298264</v>
      </c>
      <c r="L18" s="222">
        <f t="shared" si="3"/>
        <v>1569.3310007433752</v>
      </c>
      <c r="M18" s="222">
        <f t="shared" si="3"/>
        <v>1569.3309941984348</v>
      </c>
      <c r="N18" s="222">
        <f t="shared" si="3"/>
        <v>1619.5356856778824</v>
      </c>
      <c r="O18" s="222">
        <f t="shared" si="3"/>
        <v>1726.2641979029243</v>
      </c>
      <c r="P18" s="184">
        <f>AVERAGE(P9:P16)</f>
        <v>1601.1182187000002</v>
      </c>
      <c r="Q18" s="184">
        <f t="shared" si="3"/>
        <v>1601.1182187000002</v>
      </c>
      <c r="R18" s="184">
        <f t="shared" si="3"/>
        <v>1601.1182187000002</v>
      </c>
      <c r="S18" s="185">
        <f>SUMPRODUCT(G18:R18,G$77:R$77)/$S$77</f>
        <v>1586.5806126800876</v>
      </c>
      <c r="U18" s="184"/>
      <c r="V18" s="184"/>
      <c r="W18" s="184"/>
      <c r="X18" s="184"/>
      <c r="Y18" s="184"/>
    </row>
    <row r="19" spans="2:25" ht="6.75" customHeight="1" thickTop="1">
      <c r="B19" s="173"/>
      <c r="C19" s="173"/>
      <c r="D19" s="173"/>
      <c r="E19" s="173"/>
      <c r="F19" s="173"/>
      <c r="G19" s="223"/>
      <c r="H19" s="223"/>
      <c r="I19" s="223"/>
      <c r="J19" s="223"/>
      <c r="K19" s="223"/>
      <c r="L19" s="223"/>
      <c r="M19" s="223"/>
      <c r="N19" s="223"/>
      <c r="O19" s="223"/>
      <c r="P19" s="174"/>
      <c r="Q19" s="174"/>
      <c r="R19" s="174"/>
      <c r="S19" s="175"/>
      <c r="U19" s="182"/>
      <c r="V19" s="174"/>
      <c r="W19" s="174"/>
      <c r="X19" s="174"/>
      <c r="Y19" s="174"/>
    </row>
    <row r="20" spans="2:25" outlineLevel="1">
      <c r="B20" s="176" t="s">
        <v>126</v>
      </c>
      <c r="C20" s="176" t="s">
        <v>127</v>
      </c>
      <c r="D20" s="181" t="s">
        <v>128</v>
      </c>
      <c r="E20" s="176" t="s">
        <v>129</v>
      </c>
      <c r="F20" s="224" t="s">
        <v>130</v>
      </c>
      <c r="G20" s="219">
        <f>IFERROR(G95/'[1]Vente Volume'!G94,"-")</f>
        <v>1656.5547064434368</v>
      </c>
      <c r="H20" s="219">
        <f>IFERROR(H95/'[1]Vente Volume'!H94,"-")</f>
        <v>1700.0000000000005</v>
      </c>
      <c r="I20" s="219">
        <f>IFERROR(I95/'[1]Vente Volume'!I94,"-")</f>
        <v>1699.9999999999995</v>
      </c>
      <c r="J20" s="219">
        <f>IFERROR(J95/'[1]Vente Volume'!J94,"-")</f>
        <v>1699.9999999999991</v>
      </c>
      <c r="K20" s="219">
        <f>IFERROR(K95/'[1]Vente Volume'!K94,"-")</f>
        <v>1700</v>
      </c>
      <c r="L20" s="219">
        <f>IFERROR(L95/'[1]Vente Volume'!L94,"-")</f>
        <v>1800.0000000000005</v>
      </c>
      <c r="M20" s="219">
        <f>IFERROR(M95/'[1]Vente Volume'!M94,"-")</f>
        <v>1800.0000000000014</v>
      </c>
      <c r="N20" s="219">
        <f>IFERROR(N95/'[1]Vente Volume'!N94,"-")</f>
        <v>1800</v>
      </c>
      <c r="O20" s="219">
        <f>IFERROR(O95/'[1]Vente Volume'!O94,"-")</f>
        <v>1816.3786541249647</v>
      </c>
      <c r="P20" s="220">
        <f>IFERROR(P95/'[1]Vente Volume'!P94,"-")</f>
        <v>1850</v>
      </c>
      <c r="Q20" s="220">
        <f>IFERROR(Q95/'[1]Vente Volume'!Q94,"-")</f>
        <v>1850</v>
      </c>
      <c r="R20" s="220">
        <f>IFERROR(R95/'[1]Vente Volume'!R94,"-")</f>
        <v>1850</v>
      </c>
      <c r="S20" s="179">
        <f>SUMPRODUCT(G20:R20,G$77:R$77)/$S$77</f>
        <v>1768.4329624021782</v>
      </c>
      <c r="U20" s="182"/>
      <c r="V20" s="225"/>
      <c r="W20" s="225"/>
      <c r="X20" s="225"/>
      <c r="Y20" s="225"/>
    </row>
    <row r="21" spans="2:25" outlineLevel="1">
      <c r="B21" s="176" t="s">
        <v>126</v>
      </c>
      <c r="C21" s="176" t="s">
        <v>127</v>
      </c>
      <c r="D21" s="181" t="s">
        <v>131</v>
      </c>
      <c r="E21" s="176" t="s">
        <v>129</v>
      </c>
      <c r="F21" s="224" t="s">
        <v>132</v>
      </c>
      <c r="G21" s="219">
        <f>IFERROR(G96/'[1]Vente Volume'!G95,"-")</f>
        <v>1599.9999999999998</v>
      </c>
      <c r="H21" s="219" t="str">
        <f>IFERROR(H96/'[1]Vente Volume'!H95,"-")</f>
        <v>-</v>
      </c>
      <c r="I21" s="219">
        <f>IFERROR(I96/'[1]Vente Volume'!I95,"-")</f>
        <v>1700</v>
      </c>
      <c r="J21" s="219">
        <f>IFERROR(J96/'[1]Vente Volume'!J95,"-")</f>
        <v>1699.9999999999998</v>
      </c>
      <c r="K21" s="219" t="str">
        <f>IFERROR(K96/'[1]Vente Volume'!K95,"-")</f>
        <v>-</v>
      </c>
      <c r="L21" s="219" t="str">
        <f>IFERROR(L96/'[1]Vente Volume'!L95,"-")</f>
        <v>-</v>
      </c>
      <c r="M21" s="219" t="str">
        <f>IFERROR(M96/'[1]Vente Volume'!M95,"-")</f>
        <v>-</v>
      </c>
      <c r="N21" s="219" t="str">
        <f>IFERROR(N96/'[1]Vente Volume'!N95,"-")</f>
        <v>-</v>
      </c>
      <c r="O21" s="219" t="str">
        <f>IFERROR(O96/'[1]Vente Volume'!O95,"-")</f>
        <v>-</v>
      </c>
      <c r="P21" s="220">
        <f>IFERROR(P96/'[1]Vente Volume'!P95,"-")</f>
        <v>1850</v>
      </c>
      <c r="Q21" s="220">
        <f>IFERROR(Q96/'[1]Vente Volume'!Q95,"-")</f>
        <v>1850</v>
      </c>
      <c r="R21" s="220">
        <f>IFERROR(R96/'[1]Vente Volume'!R95,"-")</f>
        <v>1850</v>
      </c>
      <c r="S21" s="179">
        <f>SUMPRODUCT(G21:R21,G$77:R$77)/$S$77</f>
        <v>890.16666666666663</v>
      </c>
      <c r="U21" s="182"/>
      <c r="V21" s="225"/>
      <c r="W21" s="225"/>
      <c r="X21" s="225"/>
      <c r="Y21" s="225"/>
    </row>
    <row r="22" spans="2:25" outlineLevel="1">
      <c r="B22" s="176" t="s">
        <v>126</v>
      </c>
      <c r="C22" s="176" t="s">
        <v>127</v>
      </c>
      <c r="D22" s="181" t="s">
        <v>133</v>
      </c>
      <c r="E22" s="176" t="s">
        <v>129</v>
      </c>
      <c r="F22" s="224" t="s">
        <v>134</v>
      </c>
      <c r="G22" s="219" t="str">
        <f>IFERROR(G97/'[1]Vente Volume'!G96,"-")</f>
        <v>-</v>
      </c>
      <c r="H22" s="219" t="str">
        <f>IFERROR(H97/'[1]Vente Volume'!H96,"-")</f>
        <v>-</v>
      </c>
      <c r="I22" s="219" t="str">
        <f>IFERROR(I97/'[1]Vente Volume'!I96,"-")</f>
        <v>-</v>
      </c>
      <c r="J22" s="219">
        <f>IFERROR(J97/'[1]Vente Volume'!J96,"-")</f>
        <v>1696.7139067535613</v>
      </c>
      <c r="K22" s="219">
        <f>IFERROR(K97/'[1]Vente Volume'!K96,"-")</f>
        <v>1698.9656015704986</v>
      </c>
      <c r="L22" s="219">
        <f>IFERROR(L97/'[1]Vente Volume'!L96,"-")</f>
        <v>1795.0576351512057</v>
      </c>
      <c r="M22" s="219">
        <f>IFERROR(M97/'[1]Vente Volume'!M96,"-")</f>
        <v>1796.90827917003</v>
      </c>
      <c r="N22" s="219">
        <f>IFERROR(N97/'[1]Vente Volume'!N96,"-")</f>
        <v>1800.0000000000002</v>
      </c>
      <c r="O22" s="219">
        <f>IFERROR(O97/'[1]Vente Volume'!O96,"-")</f>
        <v>1800.0000000000011</v>
      </c>
      <c r="P22" s="220" t="str">
        <f>IFERROR(P97/'[1]Vente Volume'!P96,"-")</f>
        <v>-</v>
      </c>
      <c r="Q22" s="220" t="str">
        <f>IFERROR(Q97/'[1]Vente Volume'!Q96,"-")</f>
        <v>-</v>
      </c>
      <c r="R22" s="220" t="str">
        <f>IFERROR(R97/'[1]Vente Volume'!R96,"-")</f>
        <v>-</v>
      </c>
      <c r="S22" s="179">
        <f>SUMPRODUCT(G22:R22,G$77:R$77)/$S$77</f>
        <v>887.96700389234309</v>
      </c>
      <c r="U22" s="182"/>
      <c r="V22" s="225"/>
      <c r="W22" s="225"/>
      <c r="X22" s="225"/>
      <c r="Y22" s="225"/>
    </row>
    <row r="23" spans="2:25" outlineLevel="1">
      <c r="B23" s="176" t="s">
        <v>136</v>
      </c>
      <c r="C23" s="176" t="s">
        <v>137</v>
      </c>
      <c r="D23" s="181" t="s">
        <v>138</v>
      </c>
      <c r="E23" s="176" t="s">
        <v>129</v>
      </c>
      <c r="F23" s="224" t="s">
        <v>135</v>
      </c>
      <c r="G23" s="219">
        <f>IFERROR(G98/'[1]Vente Volume'!G97,"-")</f>
        <v>1512.3769978149196</v>
      </c>
      <c r="H23" s="219">
        <f>IFERROR(H98/'[1]Vente Volume'!H97,"-")</f>
        <v>1603.1199982055002</v>
      </c>
      <c r="I23" s="219">
        <f>IFERROR(I98/'[1]Vente Volume'!I97,"-")</f>
        <v>801.55936675461737</v>
      </c>
      <c r="J23" s="219">
        <f>IFERROR(J98/'[1]Vente Volume'!J97,"-")</f>
        <v>1603.1199976890002</v>
      </c>
      <c r="K23" s="219">
        <f>IFERROR(K98/'[1]Vente Volume'!K97,"-")</f>
        <v>1603.1200005994037</v>
      </c>
      <c r="L23" s="219" t="str">
        <f>IFERROR(L98/'[1]Vente Volume'!L97,"-")</f>
        <v>-</v>
      </c>
      <c r="M23" s="219" t="str">
        <f>IFERROR(M98/'[1]Vente Volume'!M97,"-")</f>
        <v>-</v>
      </c>
      <c r="N23" s="219" t="str">
        <f>IFERROR(N98/'[1]Vente Volume'!N97,"-")</f>
        <v>-</v>
      </c>
      <c r="O23" s="219" t="str">
        <f>IFERROR(O98/'[1]Vente Volume'!O97,"-")</f>
        <v>-</v>
      </c>
      <c r="P23" s="220">
        <f>IFERROR(P98/'[1]Vente Volume'!P97,"-")</f>
        <v>1651.5154656000002</v>
      </c>
      <c r="Q23" s="220">
        <f>IFERROR(Q98/'[1]Vente Volume'!Q97,"-")</f>
        <v>1651.5154656000002</v>
      </c>
      <c r="R23" s="220">
        <f>IFERROR(R98/'[1]Vente Volume'!R97,"-")</f>
        <v>1651.5154656000002</v>
      </c>
      <c r="S23" s="179">
        <f>SUMPRODUCT(G23:R23,G$77:R$77)/$S$77</f>
        <v>1003.5125510571282</v>
      </c>
      <c r="U23" s="182"/>
      <c r="V23" s="225"/>
      <c r="W23" s="225"/>
      <c r="X23" s="225"/>
      <c r="Y23" s="225"/>
    </row>
    <row r="24" spans="2:25" outlineLevel="1">
      <c r="B24" s="176" t="s">
        <v>181</v>
      </c>
      <c r="C24" s="176" t="s">
        <v>182</v>
      </c>
      <c r="D24" s="181" t="s">
        <v>183</v>
      </c>
      <c r="E24" s="176" t="s">
        <v>129</v>
      </c>
      <c r="F24" s="224" t="s">
        <v>139</v>
      </c>
      <c r="G24" s="219" t="str">
        <f>IFERROR(G99/'[1]Vente Volume'!G98,"-")</f>
        <v>-</v>
      </c>
      <c r="H24" s="219" t="str">
        <f>IFERROR(H99/'[1]Vente Volume'!H98,"-")</f>
        <v>-</v>
      </c>
      <c r="I24" s="219" t="str">
        <f>IFERROR(I99/'[1]Vente Volume'!I98,"-")</f>
        <v>-</v>
      </c>
      <c r="J24" s="219" t="str">
        <f>IFERROR(J99/'[1]Vente Volume'!J98,"-")</f>
        <v>-</v>
      </c>
      <c r="K24" s="219" t="str">
        <f>IFERROR(K99/'[1]Vente Volume'!K98,"-")</f>
        <v>-</v>
      </c>
      <c r="L24" s="219" t="str">
        <f>IFERROR(L99/'[1]Vente Volume'!L98,"-")</f>
        <v>-</v>
      </c>
      <c r="M24" s="219" t="str">
        <f>IFERROR(M99/'[1]Vente Volume'!M98,"-")</f>
        <v>-</v>
      </c>
      <c r="N24" s="219" t="str">
        <f>IFERROR(N99/'[1]Vente Volume'!N98,"-")</f>
        <v>-</v>
      </c>
      <c r="O24" s="219" t="str">
        <f>IFERROR(O99/'[1]Vente Volume'!O98,"-")</f>
        <v>-</v>
      </c>
      <c r="P24" s="220" t="str">
        <f>IFERROR(P99/'[1]Vente Volume'!P98,"-")</f>
        <v>-</v>
      </c>
      <c r="Q24" s="220" t="str">
        <f>IFERROR(Q99/'[1]Vente Volume'!Q98,"-")</f>
        <v>-</v>
      </c>
      <c r="R24" s="220" t="str">
        <f>IFERROR(R99/'[1]Vente Volume'!R98,"-")</f>
        <v>-</v>
      </c>
      <c r="S24" s="179">
        <f>SUMPRODUCT(G24:R24,G$77:R$77)/$S$77</f>
        <v>0</v>
      </c>
      <c r="U24" s="182"/>
      <c r="V24" s="225"/>
      <c r="W24" s="225"/>
      <c r="X24" s="225"/>
      <c r="Y24" s="225"/>
    </row>
    <row r="25" spans="2:25" outlineLevel="1">
      <c r="B25" s="176" t="s">
        <v>140</v>
      </c>
      <c r="C25" s="176" t="s">
        <v>141</v>
      </c>
      <c r="D25" s="181" t="s">
        <v>142</v>
      </c>
      <c r="E25" s="176" t="s">
        <v>129</v>
      </c>
      <c r="F25" s="224" t="s">
        <v>143</v>
      </c>
      <c r="G25" s="219" t="str">
        <f>IFERROR(G100/'[1]Vente Volume'!G99,"-")</f>
        <v>-</v>
      </c>
      <c r="H25" s="219" t="str">
        <f>IFERROR(H100/'[1]Vente Volume'!H99,"-")</f>
        <v>-</v>
      </c>
      <c r="I25" s="219" t="str">
        <f>IFERROR(I100/'[1]Vente Volume'!I99,"-")</f>
        <v>-</v>
      </c>
      <c r="J25" s="219">
        <f>IFERROR(J100/'[1]Vente Volume'!J99,"-")</f>
        <v>1602.0162906458079</v>
      </c>
      <c r="K25" s="219">
        <f>IFERROR(K100/'[1]Vente Volume'!K99,"-")</f>
        <v>1610.0000000000002</v>
      </c>
      <c r="L25" s="219">
        <f>IFERROR(L100/'[1]Vente Volume'!L99,"-")</f>
        <v>1608.5173484800137</v>
      </c>
      <c r="M25" s="219">
        <f>IFERROR(M100/'[1]Vente Volume'!M99,"-")</f>
        <v>1600</v>
      </c>
      <c r="N25" s="219" t="str">
        <f>IFERROR(N100/'[1]Vente Volume'!N99,"-")</f>
        <v>-</v>
      </c>
      <c r="O25" s="219" t="str">
        <f>IFERROR(O100/'[1]Vente Volume'!O99,"-")</f>
        <v>-</v>
      </c>
      <c r="P25" s="220" t="str">
        <f>IFERROR(P100/'[1]Vente Volume'!P99,"-")</f>
        <v>-</v>
      </c>
      <c r="Q25" s="220" t="str">
        <f>IFERROR(Q100/'[1]Vente Volume'!Q99,"-")</f>
        <v>-</v>
      </c>
      <c r="R25" s="220" t="str">
        <f>IFERROR(R100/'[1]Vente Volume'!R99,"-")</f>
        <v>-</v>
      </c>
      <c r="S25" s="179">
        <f t="shared" ref="S25:S27" si="4">SUMPRODUCT(G25:R25,G$77:R$77)/$S$77</f>
        <v>540.41113659381847</v>
      </c>
      <c r="U25" s="182"/>
      <c r="V25" s="225"/>
      <c r="W25" s="225"/>
      <c r="X25" s="225"/>
      <c r="Y25" s="225"/>
    </row>
    <row r="26" spans="2:25" outlineLevel="1">
      <c r="B26" s="176" t="s">
        <v>144</v>
      </c>
      <c r="C26" s="176" t="s">
        <v>145</v>
      </c>
      <c r="D26" s="181" t="s">
        <v>146</v>
      </c>
      <c r="E26" s="176" t="s">
        <v>129</v>
      </c>
      <c r="F26" s="224" t="s">
        <v>147</v>
      </c>
      <c r="G26" s="219" t="str">
        <f>IFERROR(G101/'[1]Vente Volume'!G100,"-")</f>
        <v>-</v>
      </c>
      <c r="H26" s="219" t="str">
        <f>IFERROR(H101/'[1]Vente Volume'!H100,"-")</f>
        <v>-</v>
      </c>
      <c r="I26" s="219">
        <f>IFERROR(I101/'[1]Vente Volume'!I100,"-")</f>
        <v>1700</v>
      </c>
      <c r="J26" s="219" t="str">
        <f>IFERROR(J101/'[1]Vente Volume'!J100,"-")</f>
        <v>-</v>
      </c>
      <c r="K26" s="219" t="str">
        <f>IFERROR(K101/'[1]Vente Volume'!K100,"-")</f>
        <v>-</v>
      </c>
      <c r="L26" s="219" t="str">
        <f>IFERROR(L101/'[1]Vente Volume'!L100,"-")</f>
        <v>-</v>
      </c>
      <c r="M26" s="219" t="str">
        <f>IFERROR(M101/'[1]Vente Volume'!M100,"-")</f>
        <v>-</v>
      </c>
      <c r="N26" s="219" t="str">
        <f>IFERROR(N101/'[1]Vente Volume'!N100,"-")</f>
        <v>-</v>
      </c>
      <c r="O26" s="219" t="str">
        <f>IFERROR(O101/'[1]Vente Volume'!O100,"-")</f>
        <v>-</v>
      </c>
      <c r="P26" s="220" t="str">
        <f>IFERROR(P101/'[1]Vente Volume'!P100,"-")</f>
        <v>-</v>
      </c>
      <c r="Q26" s="220" t="str">
        <f>IFERROR(Q101/'[1]Vente Volume'!Q100,"-")</f>
        <v>-</v>
      </c>
      <c r="R26" s="220" t="str">
        <f>IFERROR(R101/'[1]Vente Volume'!R100,"-")</f>
        <v>-</v>
      </c>
      <c r="S26" s="179">
        <f t="shared" si="4"/>
        <v>147.33333333333334</v>
      </c>
      <c r="U26" s="182"/>
      <c r="V26" s="225"/>
      <c r="W26" s="225"/>
      <c r="X26" s="225"/>
      <c r="Y26" s="225"/>
    </row>
    <row r="27" spans="2:25" outlineLevel="1">
      <c r="B27" s="176" t="s">
        <v>148</v>
      </c>
      <c r="C27" s="176" t="s">
        <v>149</v>
      </c>
      <c r="D27" s="181" t="s">
        <v>150</v>
      </c>
      <c r="E27" s="176" t="s">
        <v>129</v>
      </c>
      <c r="F27" s="224" t="s">
        <v>151</v>
      </c>
      <c r="G27" s="219" t="str">
        <f>IFERROR(G102/'[1]Vente Volume'!G101,"-")</f>
        <v>-</v>
      </c>
      <c r="H27" s="219" t="str">
        <f>IFERROR(H102/'[1]Vente Volume'!H101,"-")</f>
        <v>-</v>
      </c>
      <c r="I27" s="219" t="str">
        <f>IFERROR(I102/'[1]Vente Volume'!I101,"-")</f>
        <v>-</v>
      </c>
      <c r="J27" s="219">
        <f>IFERROR(J102/'[1]Vente Volume'!J101,"-")</f>
        <v>1610</v>
      </c>
      <c r="K27" s="219">
        <f>IFERROR(K102/'[1]Vente Volume'!K101,"-")</f>
        <v>1609.0219610167258</v>
      </c>
      <c r="L27" s="219">
        <f>IFERROR(L102/'[1]Vente Volume'!L101,"-")</f>
        <v>1609.9999999999998</v>
      </c>
      <c r="M27" s="219" t="str">
        <f>IFERROR(M102/'[1]Vente Volume'!M101,"-")</f>
        <v>-</v>
      </c>
      <c r="N27" s="219" t="str">
        <f>IFERROR(N102/'[1]Vente Volume'!N101,"-")</f>
        <v>-</v>
      </c>
      <c r="O27" s="219" t="str">
        <f>IFERROR(O102/'[1]Vente Volume'!O101,"-")</f>
        <v>-</v>
      </c>
      <c r="P27" s="220" t="str">
        <f>IFERROR(P102/'[1]Vente Volume'!P101,"-")</f>
        <v>-</v>
      </c>
      <c r="Q27" s="220" t="str">
        <f>IFERROR(Q102/'[1]Vente Volume'!Q101,"-")</f>
        <v>-</v>
      </c>
      <c r="R27" s="220" t="str">
        <f>IFERROR(R102/'[1]Vente Volume'!R101,"-")</f>
        <v>-</v>
      </c>
      <c r="S27" s="179">
        <f t="shared" si="4"/>
        <v>407.78190328811627</v>
      </c>
      <c r="U27" s="182"/>
      <c r="V27" s="225"/>
      <c r="W27" s="225"/>
      <c r="X27" s="225"/>
      <c r="Y27" s="225"/>
    </row>
    <row r="28" spans="2:25" ht="6.75" customHeight="1" outlineLevel="1">
      <c r="B28" s="181"/>
      <c r="C28" s="181"/>
      <c r="D28" s="181"/>
      <c r="E28" s="181"/>
      <c r="F28" s="181"/>
      <c r="G28" s="223"/>
      <c r="H28" s="223"/>
      <c r="I28" s="223"/>
      <c r="J28" s="223"/>
      <c r="K28" s="223"/>
      <c r="L28" s="223"/>
      <c r="M28" s="223"/>
      <c r="N28" s="223"/>
      <c r="O28" s="223"/>
      <c r="P28" s="182"/>
      <c r="Q28" s="182"/>
      <c r="R28" s="182"/>
      <c r="S28" s="175"/>
      <c r="U28" s="182"/>
      <c r="V28" s="182"/>
      <c r="W28" s="182"/>
      <c r="X28" s="182"/>
      <c r="Y28" s="182"/>
    </row>
    <row r="29" spans="2:25" s="180" customFormat="1" ht="21" customHeight="1" thickBot="1">
      <c r="B29" s="183"/>
      <c r="C29" s="183"/>
      <c r="D29" s="183" t="str">
        <f>VLOOKUP(D20,Hierarchie_PF,3,FALSE)</f>
        <v>F02</v>
      </c>
      <c r="E29" s="183"/>
      <c r="F29" s="183" t="str">
        <f>VLOOKUP(D20,Hierarchie_PF,4,FALSE)</f>
        <v xml:space="preserve">Fil  Machine en bobine </v>
      </c>
      <c r="G29" s="222">
        <f>AVERAGE(G20:G27)</f>
        <v>1589.643901419452</v>
      </c>
      <c r="H29" s="222">
        <f t="shared" ref="H29:S29" si="5">AVERAGE(H20:H27)</f>
        <v>1651.5599991027502</v>
      </c>
      <c r="I29" s="222">
        <f t="shared" si="5"/>
        <v>1475.3898416886543</v>
      </c>
      <c r="J29" s="222">
        <f t="shared" si="5"/>
        <v>1651.9750325147281</v>
      </c>
      <c r="K29" s="222">
        <f t="shared" si="5"/>
        <v>1644.2215126373255</v>
      </c>
      <c r="L29" s="222">
        <f t="shared" si="5"/>
        <v>1703.3937459078049</v>
      </c>
      <c r="M29" s="222">
        <f t="shared" si="5"/>
        <v>1732.3027597233438</v>
      </c>
      <c r="N29" s="222">
        <f t="shared" si="5"/>
        <v>1800</v>
      </c>
      <c r="O29" s="222">
        <f t="shared" si="5"/>
        <v>1808.1893270624828</v>
      </c>
      <c r="P29" s="184">
        <f t="shared" si="5"/>
        <v>1783.8384885333335</v>
      </c>
      <c r="Q29" s="184">
        <f t="shared" si="5"/>
        <v>1783.8384885333335</v>
      </c>
      <c r="R29" s="184">
        <f t="shared" si="5"/>
        <v>1783.8384885333335</v>
      </c>
      <c r="S29" s="185">
        <f t="shared" si="5"/>
        <v>705.70069465419806</v>
      </c>
      <c r="U29" s="184"/>
      <c r="V29" s="184"/>
      <c r="W29" s="184"/>
      <c r="X29" s="184"/>
      <c r="Y29" s="184"/>
    </row>
    <row r="30" spans="2:25" ht="6.75" customHeight="1" thickTop="1">
      <c r="B30" s="173"/>
      <c r="C30" s="173"/>
      <c r="D30" s="173"/>
      <c r="E30" s="173"/>
      <c r="F30" s="173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  <c r="U30" s="174"/>
      <c r="V30" s="174"/>
      <c r="W30" s="174"/>
      <c r="X30" s="174"/>
      <c r="Y30" s="174"/>
    </row>
    <row r="31" spans="2:25" s="180" customFormat="1" ht="30.65" customHeight="1" thickBot="1">
      <c r="B31" s="187"/>
      <c r="C31" s="187"/>
      <c r="D31" s="187" t="str">
        <f>VLOOKUP(D20,Hierarchie_PF,5,FALSE)</f>
        <v>M02</v>
      </c>
      <c r="E31" s="187"/>
      <c r="F31" s="187" t="str">
        <f>VLOOKUP(D15,Hierarchie_PF,6,FALSE)</f>
        <v>Ligne Laminoire à Chaud</v>
      </c>
      <c r="G31" s="188">
        <f>AVERAGE(G29,G18)</f>
        <v>1531.8340541328371</v>
      </c>
      <c r="H31" s="188">
        <f t="shared" ref="H31:Q31" si="6">AVERAGE(H29,H18)</f>
        <v>1608.7060676647118</v>
      </c>
      <c r="I31" s="188">
        <f t="shared" si="6"/>
        <v>1525.5701712036989</v>
      </c>
      <c r="J31" s="188">
        <f t="shared" si="6"/>
        <v>1610.6530166695534</v>
      </c>
      <c r="K31" s="188">
        <f t="shared" si="6"/>
        <v>1606.7762567835759</v>
      </c>
      <c r="L31" s="188">
        <f t="shared" si="6"/>
        <v>1636.3623733255899</v>
      </c>
      <c r="M31" s="188">
        <f t="shared" si="6"/>
        <v>1650.8168769608892</v>
      </c>
      <c r="N31" s="188">
        <f t="shared" si="6"/>
        <v>1709.7678428389413</v>
      </c>
      <c r="O31" s="188">
        <f t="shared" si="6"/>
        <v>1767.2267624827036</v>
      </c>
      <c r="P31" s="189">
        <f>AVERAGE(P29,P18)</f>
        <v>1692.4783536166669</v>
      </c>
      <c r="Q31" s="189">
        <f t="shared" si="6"/>
        <v>1692.4783536166669</v>
      </c>
      <c r="R31" s="189">
        <f>AVERAGE(R29,R18)</f>
        <v>1692.4783536166669</v>
      </c>
      <c r="S31" s="190">
        <f>SUMPRODUCT(G31:R31,G$77:R$77)/$S$77</f>
        <v>1643.2225811731284</v>
      </c>
      <c r="U31" s="188">
        <f>SUM(U29,U18)</f>
        <v>0</v>
      </c>
      <c r="V31" s="188">
        <f t="shared" ref="V31:Y31" si="7">SUM(V29,V18)</f>
        <v>0</v>
      </c>
      <c r="W31" s="188">
        <f t="shared" si="7"/>
        <v>0</v>
      </c>
      <c r="X31" s="188">
        <f t="shared" si="7"/>
        <v>0</v>
      </c>
      <c r="Y31" s="188">
        <f t="shared" si="7"/>
        <v>0</v>
      </c>
    </row>
    <row r="32" spans="2:25" ht="6.75" customHeight="1" thickTop="1">
      <c r="B32" s="173"/>
      <c r="C32" s="173"/>
      <c r="D32" s="173"/>
      <c r="E32" s="173"/>
      <c r="F32" s="173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U32" s="174"/>
      <c r="V32" s="174"/>
      <c r="W32" s="174"/>
      <c r="X32" s="174"/>
      <c r="Y32" s="174"/>
    </row>
    <row r="33" spans="2:25" outlineLevel="2">
      <c r="B33" s="176" t="str">
        <f t="shared" ref="B33:B39" si="8">$E33&amp;"-"&amp;$C33</f>
        <v>F03-PV01</v>
      </c>
      <c r="C33" s="176" t="s">
        <v>127</v>
      </c>
      <c r="D33" s="181" t="s">
        <v>152</v>
      </c>
      <c r="E33" s="176" t="str">
        <f>VLOOKUP(D33,'[1]Base Produits'!$A$1:$E$40,3,FALSE)</f>
        <v>F03</v>
      </c>
      <c r="F33" s="186" t="str">
        <f t="shared" ref="F33:F39" si="9">+VLOOKUP($D33,Hierarchie_PF,2,FALSE)</f>
        <v>D06 lisse  en   Bobine</v>
      </c>
      <c r="G33" s="178">
        <f>VLOOKUP(D33,'[1]Base Produits'!$A$2:$P$40,16,FALSE)</f>
        <v>1542.8899160000001</v>
      </c>
      <c r="H33" s="178">
        <f t="shared" ref="H33:K39" si="10">+G33*(1+V33)</f>
        <v>1697.1789076000002</v>
      </c>
      <c r="I33" s="178">
        <f t="shared" si="10"/>
        <v>1866.8967983600005</v>
      </c>
      <c r="J33" s="178">
        <f t="shared" si="10"/>
        <v>2053.5864781960008</v>
      </c>
      <c r="K33" s="178">
        <f t="shared" si="10"/>
        <v>2258.9451260156011</v>
      </c>
      <c r="L33" s="178">
        <f t="shared" ref="L33:R39" si="11">+K33*(1+L$6)</f>
        <v>2258.9451260156011</v>
      </c>
      <c r="M33" s="178">
        <f t="shared" si="11"/>
        <v>2258.9451260156011</v>
      </c>
      <c r="N33" s="178">
        <f t="shared" si="11"/>
        <v>2258.9451260156011</v>
      </c>
      <c r="O33" s="178">
        <f t="shared" si="11"/>
        <v>2258.9451260156011</v>
      </c>
      <c r="P33" s="182">
        <f t="shared" si="11"/>
        <v>2258.9451260156011</v>
      </c>
      <c r="Q33" s="182">
        <f t="shared" si="11"/>
        <v>2258.9451260156011</v>
      </c>
      <c r="R33" s="182">
        <f t="shared" si="11"/>
        <v>2258.9451260156011</v>
      </c>
      <c r="S33" s="192">
        <f t="shared" ref="S33:S39" si="12">SUMPRODUCT(G33:R33,G$77:R$77)/$S$77</f>
        <v>2104.6000760819857</v>
      </c>
      <c r="U33" s="182"/>
      <c r="V33" s="226">
        <f>'[1]Hypotheses '!Q$9</f>
        <v>0.1</v>
      </c>
      <c r="W33" s="226">
        <f>'[1]Hypotheses '!R$9</f>
        <v>0.1</v>
      </c>
      <c r="X33" s="226">
        <f>'[1]Hypotheses '!S$9</f>
        <v>0.1</v>
      </c>
      <c r="Y33" s="226">
        <f>'[1]Hypotheses '!T$9</f>
        <v>0.1</v>
      </c>
    </row>
    <row r="34" spans="2:25" outlineLevel="2">
      <c r="B34" s="176" t="str">
        <f t="shared" si="8"/>
        <v>F03-PV01</v>
      </c>
      <c r="C34" s="176" t="s">
        <v>127</v>
      </c>
      <c r="D34" s="181" t="s">
        <v>153</v>
      </c>
      <c r="E34" s="176" t="str">
        <f>VLOOKUP(D34,'[1]Base Produits'!$A$1:$E$40,3,FALSE)</f>
        <v>F03</v>
      </c>
      <c r="F34" s="186" t="str">
        <f t="shared" si="9"/>
        <v>D08 RB500  en Bobine</v>
      </c>
      <c r="G34" s="178">
        <f>VLOOKUP(D34,'[1]Base Produits'!$A$2:$P$40,16,FALSE)</f>
        <v>1680.6722689999999</v>
      </c>
      <c r="H34" s="178">
        <f t="shared" si="10"/>
        <v>1848.7394959000001</v>
      </c>
      <c r="I34" s="178">
        <f t="shared" si="10"/>
        <v>2033.6134454900002</v>
      </c>
      <c r="J34" s="178">
        <f t="shared" si="10"/>
        <v>2236.9747900390003</v>
      </c>
      <c r="K34" s="178">
        <f t="shared" si="10"/>
        <v>2460.6722690429006</v>
      </c>
      <c r="L34" s="178">
        <f t="shared" si="11"/>
        <v>2460.6722690429006</v>
      </c>
      <c r="M34" s="178">
        <f t="shared" si="11"/>
        <v>2460.6722690429006</v>
      </c>
      <c r="N34" s="178">
        <f t="shared" si="11"/>
        <v>2460.6722690429006</v>
      </c>
      <c r="O34" s="178">
        <f t="shared" si="11"/>
        <v>2460.6722690429006</v>
      </c>
      <c r="P34" s="182">
        <f t="shared" si="11"/>
        <v>2460.6722690429006</v>
      </c>
      <c r="Q34" s="182">
        <f t="shared" si="11"/>
        <v>2460.6722690429006</v>
      </c>
      <c r="R34" s="182">
        <f t="shared" si="11"/>
        <v>2460.6722690429006</v>
      </c>
      <c r="S34" s="192">
        <f t="shared" si="12"/>
        <v>2292.5439777171268</v>
      </c>
      <c r="U34" s="182"/>
      <c r="V34" s="226">
        <f>'[1]Hypotheses '!Q$9</f>
        <v>0.1</v>
      </c>
      <c r="W34" s="226">
        <f>'[1]Hypotheses '!R$9</f>
        <v>0.1</v>
      </c>
      <c r="X34" s="226">
        <f>'[1]Hypotheses '!S$9</f>
        <v>0.1</v>
      </c>
      <c r="Y34" s="226">
        <f>'[1]Hypotheses '!T$9</f>
        <v>0.1</v>
      </c>
    </row>
    <row r="35" spans="2:25" outlineLevel="2">
      <c r="B35" s="176" t="str">
        <f t="shared" si="8"/>
        <v>F03-PV01</v>
      </c>
      <c r="C35" s="176" t="s">
        <v>127</v>
      </c>
      <c r="D35" s="181" t="s">
        <v>154</v>
      </c>
      <c r="E35" s="176" t="str">
        <f>VLOOKUP(D35,'[1]Base Produits'!$A$1:$E$40,3,FALSE)</f>
        <v>F03</v>
      </c>
      <c r="F35" s="186" t="str">
        <f t="shared" si="9"/>
        <v>D10 RB500  en Bobine</v>
      </c>
      <c r="G35" s="178">
        <f>VLOOKUP(D35,'[1]Base Produits'!$A$2:$P$40,16,FALSE)</f>
        <v>1680.6722689999999</v>
      </c>
      <c r="H35" s="178">
        <f t="shared" si="10"/>
        <v>1848.7394959000001</v>
      </c>
      <c r="I35" s="178">
        <f t="shared" si="10"/>
        <v>2033.6134454900002</v>
      </c>
      <c r="J35" s="178">
        <f t="shared" si="10"/>
        <v>2236.9747900390003</v>
      </c>
      <c r="K35" s="178">
        <f t="shared" si="10"/>
        <v>2460.6722690429006</v>
      </c>
      <c r="L35" s="178">
        <f t="shared" si="11"/>
        <v>2460.6722690429006</v>
      </c>
      <c r="M35" s="178">
        <f t="shared" si="11"/>
        <v>2460.6722690429006</v>
      </c>
      <c r="N35" s="178">
        <f t="shared" si="11"/>
        <v>2460.6722690429006</v>
      </c>
      <c r="O35" s="178">
        <f t="shared" si="11"/>
        <v>2460.6722690429006</v>
      </c>
      <c r="P35" s="182">
        <f t="shared" si="11"/>
        <v>2460.6722690429006</v>
      </c>
      <c r="Q35" s="182">
        <f t="shared" si="11"/>
        <v>2460.6722690429006</v>
      </c>
      <c r="R35" s="182">
        <f t="shared" si="11"/>
        <v>2460.6722690429006</v>
      </c>
      <c r="S35" s="192">
        <f t="shared" si="12"/>
        <v>2292.5439777171268</v>
      </c>
      <c r="U35" s="182"/>
      <c r="V35" s="226">
        <f>'[1]Hypotheses '!Q$9</f>
        <v>0.1</v>
      </c>
      <c r="W35" s="226">
        <f>'[1]Hypotheses '!R$9</f>
        <v>0.1</v>
      </c>
      <c r="X35" s="226">
        <f>'[1]Hypotheses '!S$9</f>
        <v>0.1</v>
      </c>
      <c r="Y35" s="226">
        <f>'[1]Hypotheses '!T$9</f>
        <v>0.1</v>
      </c>
    </row>
    <row r="36" spans="2:25" outlineLevel="2">
      <c r="B36" s="176" t="str">
        <f t="shared" si="8"/>
        <v>F03-PV01</v>
      </c>
      <c r="C36" s="176" t="s">
        <v>127</v>
      </c>
      <c r="D36" s="181" t="s">
        <v>155</v>
      </c>
      <c r="E36" s="176" t="str">
        <f>VLOOKUP(D36,'[1]Base Produits'!$A$1:$E$40,3,FALSE)</f>
        <v>F03</v>
      </c>
      <c r="F36" s="186" t="str">
        <f t="shared" si="9"/>
        <v>D12 RB500 en Bobine</v>
      </c>
      <c r="G36" s="178">
        <f>VLOOKUP(D36,'[1]Base Produits'!$A$2:$P$40,16,FALSE)</f>
        <v>1680.6722689999999</v>
      </c>
      <c r="H36" s="178">
        <f t="shared" si="10"/>
        <v>1848.7394959000001</v>
      </c>
      <c r="I36" s="178">
        <f t="shared" si="10"/>
        <v>2033.6134454900002</v>
      </c>
      <c r="J36" s="178">
        <f t="shared" si="10"/>
        <v>2236.9747900390003</v>
      </c>
      <c r="K36" s="178">
        <f t="shared" si="10"/>
        <v>2460.6722690429006</v>
      </c>
      <c r="L36" s="178">
        <f t="shared" si="11"/>
        <v>2460.6722690429006</v>
      </c>
      <c r="M36" s="178">
        <f t="shared" si="11"/>
        <v>2460.6722690429006</v>
      </c>
      <c r="N36" s="178">
        <f t="shared" si="11"/>
        <v>2460.6722690429006</v>
      </c>
      <c r="O36" s="178">
        <f t="shared" si="11"/>
        <v>2460.6722690429006</v>
      </c>
      <c r="P36" s="182">
        <f t="shared" si="11"/>
        <v>2460.6722690429006</v>
      </c>
      <c r="Q36" s="182">
        <f t="shared" si="11"/>
        <v>2460.6722690429006</v>
      </c>
      <c r="R36" s="182">
        <f t="shared" si="11"/>
        <v>2460.6722690429006</v>
      </c>
      <c r="S36" s="192">
        <f t="shared" si="12"/>
        <v>2292.5439777171268</v>
      </c>
      <c r="U36" s="182"/>
      <c r="V36" s="226">
        <f>'[1]Hypotheses '!Q$9</f>
        <v>0.1</v>
      </c>
      <c r="W36" s="226">
        <f>'[1]Hypotheses '!R$9</f>
        <v>0.1</v>
      </c>
      <c r="X36" s="226">
        <f>'[1]Hypotheses '!S$9</f>
        <v>0.1</v>
      </c>
      <c r="Y36" s="226">
        <f>'[1]Hypotheses '!T$9</f>
        <v>0.1</v>
      </c>
    </row>
    <row r="37" spans="2:25" outlineLevel="2">
      <c r="B37" s="176" t="str">
        <f t="shared" si="8"/>
        <v>F03-PV01</v>
      </c>
      <c r="C37" s="176" t="s">
        <v>127</v>
      </c>
      <c r="D37" s="181" t="s">
        <v>156</v>
      </c>
      <c r="E37" s="176" t="str">
        <f>VLOOKUP(D37,'[1]Base Produits'!$A$1:$E$40,3,FALSE)</f>
        <v>F03</v>
      </c>
      <c r="F37" s="186" t="str">
        <f t="shared" si="9"/>
        <v>D14 RB500 en bobine</v>
      </c>
      <c r="G37" s="178">
        <f>VLOOKUP(D37,'[1]Base Produits'!$A$2:$P$40,16,FALSE)</f>
        <v>1680.6722689999999</v>
      </c>
      <c r="H37" s="178">
        <f t="shared" si="10"/>
        <v>1848.7394959000001</v>
      </c>
      <c r="I37" s="178">
        <f t="shared" si="10"/>
        <v>2033.6134454900002</v>
      </c>
      <c r="J37" s="178">
        <f t="shared" si="10"/>
        <v>2236.9747900390003</v>
      </c>
      <c r="K37" s="178">
        <f t="shared" si="10"/>
        <v>2460.6722690429006</v>
      </c>
      <c r="L37" s="178">
        <f t="shared" si="11"/>
        <v>2460.6722690429006</v>
      </c>
      <c r="M37" s="178">
        <f t="shared" si="11"/>
        <v>2460.6722690429006</v>
      </c>
      <c r="N37" s="178">
        <f t="shared" si="11"/>
        <v>2460.6722690429006</v>
      </c>
      <c r="O37" s="178">
        <f t="shared" si="11"/>
        <v>2460.6722690429006</v>
      </c>
      <c r="P37" s="182">
        <f t="shared" si="11"/>
        <v>2460.6722690429006</v>
      </c>
      <c r="Q37" s="182">
        <f t="shared" si="11"/>
        <v>2460.6722690429006</v>
      </c>
      <c r="R37" s="182">
        <f t="shared" si="11"/>
        <v>2460.6722690429006</v>
      </c>
      <c r="S37" s="192">
        <f t="shared" si="12"/>
        <v>2292.5439777171268</v>
      </c>
      <c r="U37" s="182"/>
      <c r="V37" s="226">
        <f>'[1]Hypotheses '!Q$9</f>
        <v>0.1</v>
      </c>
      <c r="W37" s="226">
        <f>'[1]Hypotheses '!R$9</f>
        <v>0.1</v>
      </c>
      <c r="X37" s="226">
        <f>'[1]Hypotheses '!S$9</f>
        <v>0.1</v>
      </c>
      <c r="Y37" s="226">
        <f>'[1]Hypotheses '!T$9</f>
        <v>0.1</v>
      </c>
    </row>
    <row r="38" spans="2:25" outlineLevel="2">
      <c r="B38" s="176" t="str">
        <f t="shared" si="8"/>
        <v>F03-PV01</v>
      </c>
      <c r="C38" s="176" t="s">
        <v>127</v>
      </c>
      <c r="D38" s="181" t="s">
        <v>157</v>
      </c>
      <c r="E38" s="176" t="str">
        <f>VLOOKUP(D38,'[1]Base Produits'!$A$1:$E$40,3,FALSE)</f>
        <v>F03</v>
      </c>
      <c r="F38" s="186" t="str">
        <f t="shared" si="9"/>
        <v>D16 RB500 en bobine</v>
      </c>
      <c r="G38" s="178">
        <f>VLOOKUP(D38,'[1]Base Produits'!$A$2:$P$40,16,FALSE)</f>
        <v>1680.6722689999999</v>
      </c>
      <c r="H38" s="178">
        <f t="shared" si="10"/>
        <v>1848.7394959000001</v>
      </c>
      <c r="I38" s="178">
        <f t="shared" si="10"/>
        <v>2033.6134454900002</v>
      </c>
      <c r="J38" s="178">
        <f t="shared" si="10"/>
        <v>2236.9747900390003</v>
      </c>
      <c r="K38" s="178">
        <f t="shared" si="10"/>
        <v>2460.6722690429006</v>
      </c>
      <c r="L38" s="178">
        <f t="shared" si="11"/>
        <v>2460.6722690429006</v>
      </c>
      <c r="M38" s="178">
        <f t="shared" si="11"/>
        <v>2460.6722690429006</v>
      </c>
      <c r="N38" s="178">
        <f t="shared" si="11"/>
        <v>2460.6722690429006</v>
      </c>
      <c r="O38" s="178">
        <f t="shared" si="11"/>
        <v>2460.6722690429006</v>
      </c>
      <c r="P38" s="182">
        <f t="shared" si="11"/>
        <v>2460.6722690429006</v>
      </c>
      <c r="Q38" s="182">
        <f t="shared" si="11"/>
        <v>2460.6722690429006</v>
      </c>
      <c r="R38" s="182">
        <f t="shared" si="11"/>
        <v>2460.6722690429006</v>
      </c>
      <c r="S38" s="192">
        <f t="shared" si="12"/>
        <v>2292.5439777171268</v>
      </c>
      <c r="U38" s="182"/>
      <c r="V38" s="226">
        <f>'[1]Hypotheses '!Q$9</f>
        <v>0.1</v>
      </c>
      <c r="W38" s="226">
        <f>'[1]Hypotheses '!R$9</f>
        <v>0.1</v>
      </c>
      <c r="X38" s="226">
        <f>'[1]Hypotheses '!S$9</f>
        <v>0.1</v>
      </c>
      <c r="Y38" s="226">
        <f>'[1]Hypotheses '!T$9</f>
        <v>0.1</v>
      </c>
    </row>
    <row r="39" spans="2:25" outlineLevel="2">
      <c r="B39" s="176" t="str">
        <f t="shared" si="8"/>
        <v>F03-PV01</v>
      </c>
      <c r="C39" s="176" t="s">
        <v>127</v>
      </c>
      <c r="D39" s="181" t="s">
        <v>158</v>
      </c>
      <c r="E39" s="176" t="str">
        <f>VLOOKUP(D39,'[1]Base Produits'!$A$1:$E$40,3,FALSE)</f>
        <v>F03</v>
      </c>
      <c r="F39" s="186" t="str">
        <f t="shared" si="9"/>
        <v>D20 RB500 en bobine</v>
      </c>
      <c r="G39" s="178">
        <f>VLOOKUP(D39,'[1]Base Produits'!$A$2:$P$40,16,FALSE)</f>
        <v>1680.6722689999999</v>
      </c>
      <c r="H39" s="178">
        <f t="shared" si="10"/>
        <v>1848.7394959000001</v>
      </c>
      <c r="I39" s="178">
        <f t="shared" si="10"/>
        <v>2033.6134454900002</v>
      </c>
      <c r="J39" s="178">
        <f t="shared" si="10"/>
        <v>2236.9747900390003</v>
      </c>
      <c r="K39" s="178">
        <f t="shared" si="10"/>
        <v>2460.6722690429006</v>
      </c>
      <c r="L39" s="178">
        <f t="shared" si="11"/>
        <v>2460.6722690429006</v>
      </c>
      <c r="M39" s="178">
        <f t="shared" si="11"/>
        <v>2460.6722690429006</v>
      </c>
      <c r="N39" s="178">
        <f t="shared" si="11"/>
        <v>2460.6722690429006</v>
      </c>
      <c r="O39" s="178">
        <f t="shared" si="11"/>
        <v>2460.6722690429006</v>
      </c>
      <c r="P39" s="182">
        <f t="shared" si="11"/>
        <v>2460.6722690429006</v>
      </c>
      <c r="Q39" s="182">
        <f t="shared" si="11"/>
        <v>2460.6722690429006</v>
      </c>
      <c r="R39" s="182">
        <f t="shared" si="11"/>
        <v>2460.6722690429006</v>
      </c>
      <c r="S39" s="192">
        <f t="shared" si="12"/>
        <v>2292.5439777171268</v>
      </c>
      <c r="U39" s="182"/>
      <c r="V39" s="226">
        <f>'[1]Hypotheses '!Q$9</f>
        <v>0.1</v>
      </c>
      <c r="W39" s="226">
        <f>'[1]Hypotheses '!R$9</f>
        <v>0.1</v>
      </c>
      <c r="X39" s="226">
        <f>'[1]Hypotheses '!S$9</f>
        <v>0.1</v>
      </c>
      <c r="Y39" s="226">
        <f>'[1]Hypotheses '!T$9</f>
        <v>0.1</v>
      </c>
    </row>
    <row r="40" spans="2:25" ht="6.75" customHeight="1" outlineLevel="2">
      <c r="B40" s="181"/>
      <c r="C40" s="181"/>
      <c r="D40" s="181"/>
      <c r="E40" s="181"/>
      <c r="F40" s="181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75"/>
      <c r="U40" s="182"/>
      <c r="V40" s="182"/>
      <c r="W40" s="182"/>
      <c r="X40" s="182"/>
      <c r="Y40" s="182"/>
    </row>
    <row r="41" spans="2:25" s="180" customFormat="1" ht="21" customHeight="1" outlineLevel="1" thickBot="1">
      <c r="B41" s="183"/>
      <c r="C41" s="183"/>
      <c r="D41" s="183" t="str">
        <f>VLOOKUP(D33,Hierarchie_PF,3,FALSE)</f>
        <v>F03</v>
      </c>
      <c r="E41" s="183"/>
      <c r="F41" s="183" t="str">
        <f>VLOOKUP(D33,Hierarchie_PF,4,FALSE)</f>
        <v>Rond à Beton en Bobine Compact</v>
      </c>
      <c r="G41" s="184">
        <f>AVERAGE(G32:G40)</f>
        <v>1660.9890757142857</v>
      </c>
      <c r="H41" s="184">
        <f t="shared" ref="H41:R41" si="13">AVERAGE(H32:H40)</f>
        <v>1827.087983285714</v>
      </c>
      <c r="I41" s="184">
        <f t="shared" si="13"/>
        <v>2009.7967816142861</v>
      </c>
      <c r="J41" s="184">
        <f t="shared" si="13"/>
        <v>2210.7764597757146</v>
      </c>
      <c r="K41" s="184">
        <f t="shared" si="13"/>
        <v>2431.8541057532866</v>
      </c>
      <c r="L41" s="184">
        <f t="shared" si="13"/>
        <v>2431.8541057532866</v>
      </c>
      <c r="M41" s="184">
        <f t="shared" si="13"/>
        <v>2431.8541057532866</v>
      </c>
      <c r="N41" s="184">
        <f t="shared" si="13"/>
        <v>2431.8541057532866</v>
      </c>
      <c r="O41" s="184">
        <f t="shared" si="13"/>
        <v>2431.8541057532866</v>
      </c>
      <c r="P41" s="184">
        <f t="shared" si="13"/>
        <v>2431.8541057532866</v>
      </c>
      <c r="Q41" s="184">
        <f t="shared" si="13"/>
        <v>2431.8541057532866</v>
      </c>
      <c r="R41" s="184">
        <f t="shared" si="13"/>
        <v>2431.8541057532866</v>
      </c>
      <c r="S41" s="185">
        <f>SUMPRODUCT(G41:R41,G$77:R$77)/$S$77</f>
        <v>2265.6948489121073</v>
      </c>
      <c r="U41" s="184"/>
      <c r="V41" s="184"/>
      <c r="W41" s="184"/>
      <c r="X41" s="184"/>
      <c r="Y41" s="184"/>
    </row>
    <row r="42" spans="2:25" ht="6.75" customHeight="1" outlineLevel="1" thickTop="1">
      <c r="B42" s="173"/>
      <c r="C42" s="173"/>
      <c r="D42" s="173"/>
      <c r="E42" s="173"/>
      <c r="F42" s="173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5"/>
      <c r="U42" s="174"/>
      <c r="V42" s="174"/>
      <c r="W42" s="174"/>
      <c r="X42" s="174"/>
      <c r="Y42" s="174"/>
    </row>
    <row r="43" spans="2:25" s="180" customFormat="1" ht="30.65" customHeight="1" outlineLevel="1" thickBot="1">
      <c r="B43" s="187"/>
      <c r="C43" s="187"/>
      <c r="D43" s="187" t="str">
        <f>VLOOKUP(D34,Hierarchie_PF,5,FALSE)</f>
        <v>L3</v>
      </c>
      <c r="E43" s="187"/>
      <c r="F43" s="187" t="str">
        <f>VLOOKUP(D34,Hierarchie_PF,6,FALSE)</f>
        <v xml:space="preserve">Ligne Bobineuse </v>
      </c>
      <c r="G43" s="188">
        <f>G41</f>
        <v>1660.9890757142857</v>
      </c>
      <c r="H43" s="188">
        <f t="shared" ref="H43:K43" si="14">H41</f>
        <v>1827.087983285714</v>
      </c>
      <c r="I43" s="188">
        <f t="shared" si="14"/>
        <v>2009.7967816142861</v>
      </c>
      <c r="J43" s="188">
        <f t="shared" si="14"/>
        <v>2210.7764597757146</v>
      </c>
      <c r="K43" s="188">
        <f t="shared" si="14"/>
        <v>2431.8541057532866</v>
      </c>
      <c r="L43" s="188">
        <f t="shared" ref="L43:R43" si="15">SUM(L41)</f>
        <v>2431.8541057532866</v>
      </c>
      <c r="M43" s="188">
        <f t="shared" si="15"/>
        <v>2431.8541057532866</v>
      </c>
      <c r="N43" s="188">
        <f t="shared" si="15"/>
        <v>2431.8541057532866</v>
      </c>
      <c r="O43" s="188">
        <f t="shared" si="15"/>
        <v>2431.8541057532866</v>
      </c>
      <c r="P43" s="189">
        <f t="shared" si="15"/>
        <v>2431.8541057532866</v>
      </c>
      <c r="Q43" s="189">
        <f t="shared" si="15"/>
        <v>2431.8541057532866</v>
      </c>
      <c r="R43" s="189">
        <f t="shared" si="15"/>
        <v>2431.8541057532866</v>
      </c>
      <c r="S43" s="190">
        <f>SUMPRODUCT(G43:R43,G$77:R$77)/$S$77</f>
        <v>2265.6948489121073</v>
      </c>
      <c r="U43" s="188"/>
      <c r="V43" s="188"/>
      <c r="W43" s="188"/>
      <c r="X43" s="188"/>
      <c r="Y43" s="188"/>
    </row>
    <row r="44" spans="2:25" ht="6.75" customHeight="1" outlineLevel="1" thickTop="1"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5"/>
      <c r="U44" s="174"/>
      <c r="V44" s="174"/>
      <c r="W44" s="174"/>
      <c r="X44" s="174"/>
      <c r="Y44" s="174"/>
    </row>
    <row r="45" spans="2:25" outlineLevel="2">
      <c r="B45" s="176" t="str">
        <f t="shared" ref="B45:B48" si="16">$E45&amp;"-"&amp;$C45</f>
        <v>F04-PV01</v>
      </c>
      <c r="C45" s="176" t="s">
        <v>127</v>
      </c>
      <c r="D45" s="181" t="s">
        <v>159</v>
      </c>
      <c r="E45" s="176" t="str">
        <f>VLOOKUP(D45,'[1]Base Produits'!$A$1:$E$40,3,FALSE)</f>
        <v>F04</v>
      </c>
      <c r="F45" s="186" t="str">
        <f>+VLOOKUP($D45,Hierarchie_PF,2,FALSE)</f>
        <v>Armatures Diam8</v>
      </c>
      <c r="G45" s="178">
        <f>VLOOKUP(D45,'[1]Base Produits'!$A$2:$P$40,16,FALSE)</f>
        <v>1764.705882</v>
      </c>
      <c r="H45" s="178">
        <f t="shared" ref="H45:K48" si="17">+G45*(1+V45)</f>
        <v>1870.5882349200001</v>
      </c>
      <c r="I45" s="178">
        <f t="shared" si="17"/>
        <v>1982.8235290152002</v>
      </c>
      <c r="J45" s="178">
        <f t="shared" si="17"/>
        <v>2101.7929407561123</v>
      </c>
      <c r="K45" s="178">
        <f t="shared" si="17"/>
        <v>2227.900517201479</v>
      </c>
      <c r="L45" s="178">
        <f t="shared" ref="L45:R48" si="18">+K45*(1+L$6)</f>
        <v>2227.900517201479</v>
      </c>
      <c r="M45" s="178">
        <f t="shared" si="18"/>
        <v>2227.900517201479</v>
      </c>
      <c r="N45" s="178">
        <f t="shared" si="18"/>
        <v>2227.900517201479</v>
      </c>
      <c r="O45" s="178">
        <f t="shared" si="18"/>
        <v>2227.900517201479</v>
      </c>
      <c r="P45" s="182">
        <f t="shared" si="18"/>
        <v>2227.900517201479</v>
      </c>
      <c r="Q45" s="182">
        <f t="shared" si="18"/>
        <v>2227.900517201479</v>
      </c>
      <c r="R45" s="182">
        <f t="shared" si="18"/>
        <v>2227.900517201479</v>
      </c>
      <c r="S45" s="192">
        <f>SUMPRODUCT(G45:R45,G$77:R$77)/$S$77</f>
        <v>2129.8051111034515</v>
      </c>
      <c r="U45" s="182"/>
      <c r="V45" s="225">
        <f>'[1]Hypotheses '!Q$10</f>
        <v>0.06</v>
      </c>
      <c r="W45" s="225">
        <f>'[1]Hypotheses '!R$10</f>
        <v>0.06</v>
      </c>
      <c r="X45" s="225">
        <f>'[1]Hypotheses '!S$10</f>
        <v>0.06</v>
      </c>
      <c r="Y45" s="225">
        <f>'[1]Hypotheses '!T$10</f>
        <v>0.06</v>
      </c>
    </row>
    <row r="46" spans="2:25" outlineLevel="2">
      <c r="B46" s="176" t="str">
        <f t="shared" si="16"/>
        <v>F04-PV01</v>
      </c>
      <c r="C46" s="176" t="s">
        <v>127</v>
      </c>
      <c r="D46" s="181" t="s">
        <v>160</v>
      </c>
      <c r="E46" s="176" t="str">
        <f>VLOOKUP(D46,'[1]Base Produits'!$A$1:$E$40,3,FALSE)</f>
        <v>F04</v>
      </c>
      <c r="F46" s="186" t="str">
        <f>+VLOOKUP($D46,Hierarchie_PF,2,FALSE)</f>
        <v>Armatures Diam10</v>
      </c>
      <c r="G46" s="178">
        <f>VLOOKUP(D46,'[1]Base Produits'!$A$2:$P$40,16,FALSE)</f>
        <v>1764.705882</v>
      </c>
      <c r="H46" s="178">
        <f t="shared" si="17"/>
        <v>1870.5882349200001</v>
      </c>
      <c r="I46" s="178">
        <f t="shared" si="17"/>
        <v>1982.8235290152002</v>
      </c>
      <c r="J46" s="178">
        <f t="shared" si="17"/>
        <v>2101.7929407561123</v>
      </c>
      <c r="K46" s="178">
        <f t="shared" si="17"/>
        <v>2227.900517201479</v>
      </c>
      <c r="L46" s="178">
        <f t="shared" si="18"/>
        <v>2227.900517201479</v>
      </c>
      <c r="M46" s="178">
        <f t="shared" si="18"/>
        <v>2227.900517201479</v>
      </c>
      <c r="N46" s="178">
        <f t="shared" si="18"/>
        <v>2227.900517201479</v>
      </c>
      <c r="O46" s="178">
        <f t="shared" si="18"/>
        <v>2227.900517201479</v>
      </c>
      <c r="P46" s="182">
        <f t="shared" si="18"/>
        <v>2227.900517201479</v>
      </c>
      <c r="Q46" s="182">
        <f t="shared" si="18"/>
        <v>2227.900517201479</v>
      </c>
      <c r="R46" s="182">
        <f t="shared" si="18"/>
        <v>2227.900517201479</v>
      </c>
      <c r="S46" s="192">
        <f>SUMPRODUCT(G46:R46,G$77:R$77)/$S$77</f>
        <v>2129.8051111034515</v>
      </c>
      <c r="U46" s="182"/>
      <c r="V46" s="225">
        <f>'[1]Hypotheses '!Q$10</f>
        <v>0.06</v>
      </c>
      <c r="W46" s="225">
        <f>'[1]Hypotheses '!R$10</f>
        <v>0.06</v>
      </c>
      <c r="X46" s="225">
        <f>'[1]Hypotheses '!S$10</f>
        <v>0.06</v>
      </c>
      <c r="Y46" s="225">
        <f>'[1]Hypotheses '!T$10</f>
        <v>0.06</v>
      </c>
    </row>
    <row r="47" spans="2:25" outlineLevel="2">
      <c r="B47" s="176" t="str">
        <f t="shared" si="16"/>
        <v>F04-PV01</v>
      </c>
      <c r="C47" s="176" t="s">
        <v>127</v>
      </c>
      <c r="D47" s="181" t="s">
        <v>161</v>
      </c>
      <c r="E47" s="176" t="str">
        <f>VLOOKUP(D47,'[1]Base Produits'!$A$1:$E$40,3,FALSE)</f>
        <v>F04</v>
      </c>
      <c r="F47" s="186" t="str">
        <f>+VLOOKUP($D47,Hierarchie_PF,2,FALSE)</f>
        <v>Armatures Diam12</v>
      </c>
      <c r="G47" s="178">
        <f>VLOOKUP(D47,'[1]Base Produits'!$A$2:$P$40,16,FALSE)</f>
        <v>1764.705882</v>
      </c>
      <c r="H47" s="178">
        <f t="shared" si="17"/>
        <v>1870.5882349200001</v>
      </c>
      <c r="I47" s="178">
        <f t="shared" si="17"/>
        <v>1982.8235290152002</v>
      </c>
      <c r="J47" s="178">
        <f t="shared" si="17"/>
        <v>2101.7929407561123</v>
      </c>
      <c r="K47" s="178">
        <f t="shared" si="17"/>
        <v>2227.900517201479</v>
      </c>
      <c r="L47" s="178">
        <f t="shared" si="18"/>
        <v>2227.900517201479</v>
      </c>
      <c r="M47" s="178">
        <f t="shared" si="18"/>
        <v>2227.900517201479</v>
      </c>
      <c r="N47" s="178">
        <f t="shared" si="18"/>
        <v>2227.900517201479</v>
      </c>
      <c r="O47" s="178">
        <f t="shared" si="18"/>
        <v>2227.900517201479</v>
      </c>
      <c r="P47" s="182">
        <f t="shared" si="18"/>
        <v>2227.900517201479</v>
      </c>
      <c r="Q47" s="182">
        <f t="shared" si="18"/>
        <v>2227.900517201479</v>
      </c>
      <c r="R47" s="182">
        <f t="shared" si="18"/>
        <v>2227.900517201479</v>
      </c>
      <c r="S47" s="192">
        <f>SUMPRODUCT(G47:R47,G$77:R$77)/$S$77</f>
        <v>2129.8051111034515</v>
      </c>
      <c r="U47" s="182"/>
      <c r="V47" s="225">
        <f>'[1]Hypotheses '!Q$10</f>
        <v>0.06</v>
      </c>
      <c r="W47" s="225">
        <f>'[1]Hypotheses '!R$10</f>
        <v>0.06</v>
      </c>
      <c r="X47" s="225">
        <f>'[1]Hypotheses '!S$10</f>
        <v>0.06</v>
      </c>
      <c r="Y47" s="225">
        <f>'[1]Hypotheses '!T$10</f>
        <v>0.06</v>
      </c>
    </row>
    <row r="48" spans="2:25" outlineLevel="2">
      <c r="B48" s="176" t="str">
        <f t="shared" si="16"/>
        <v>F04-PV01</v>
      </c>
      <c r="C48" s="176" t="s">
        <v>127</v>
      </c>
      <c r="D48" s="181" t="s">
        <v>162</v>
      </c>
      <c r="E48" s="176" t="str">
        <f>VLOOKUP(D48,'[1]Base Produits'!$A$1:$E$40,3,FALSE)</f>
        <v>F04</v>
      </c>
      <c r="F48" s="186" t="str">
        <f>+VLOOKUP($D48,Hierarchie_PF,2,FALSE)</f>
        <v>Armatures Diam14</v>
      </c>
      <c r="G48" s="178">
        <f>VLOOKUP(D48,'[1]Base Produits'!$A$2:$P$40,16,FALSE)</f>
        <v>1764.705882</v>
      </c>
      <c r="H48" s="178">
        <f t="shared" si="17"/>
        <v>1870.5882349200001</v>
      </c>
      <c r="I48" s="178">
        <f t="shared" si="17"/>
        <v>1982.8235290152002</v>
      </c>
      <c r="J48" s="178">
        <f t="shared" si="17"/>
        <v>2101.7929407561123</v>
      </c>
      <c r="K48" s="178">
        <f t="shared" si="17"/>
        <v>2227.900517201479</v>
      </c>
      <c r="L48" s="178">
        <f t="shared" si="18"/>
        <v>2227.900517201479</v>
      </c>
      <c r="M48" s="178">
        <f t="shared" si="18"/>
        <v>2227.900517201479</v>
      </c>
      <c r="N48" s="178">
        <f t="shared" si="18"/>
        <v>2227.900517201479</v>
      </c>
      <c r="O48" s="178">
        <f t="shared" si="18"/>
        <v>2227.900517201479</v>
      </c>
      <c r="P48" s="182">
        <f t="shared" si="18"/>
        <v>2227.900517201479</v>
      </c>
      <c r="Q48" s="182">
        <f t="shared" si="18"/>
        <v>2227.900517201479</v>
      </c>
      <c r="R48" s="182">
        <f t="shared" si="18"/>
        <v>2227.900517201479</v>
      </c>
      <c r="S48" s="192">
        <f>SUMPRODUCT(G48:R48,G$77:R$77)/$S$77</f>
        <v>2129.8051111034515</v>
      </c>
      <c r="U48" s="182"/>
      <c r="V48" s="225">
        <f>'[1]Hypotheses '!Q$10</f>
        <v>0.06</v>
      </c>
      <c r="W48" s="225">
        <f>'[1]Hypotheses '!R$10</f>
        <v>0.06</v>
      </c>
      <c r="X48" s="225">
        <f>'[1]Hypotheses '!S$10</f>
        <v>0.06</v>
      </c>
      <c r="Y48" s="225">
        <f>'[1]Hypotheses '!T$10</f>
        <v>0.06</v>
      </c>
    </row>
    <row r="49" spans="2:25" outlineLevel="2">
      <c r="B49" s="181"/>
      <c r="C49" s="181"/>
      <c r="D49" s="181"/>
      <c r="E49" s="181"/>
      <c r="F49" s="181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75"/>
      <c r="U49" s="182"/>
      <c r="V49" s="182"/>
      <c r="W49" s="182"/>
      <c r="X49" s="182"/>
      <c r="Y49" s="182"/>
    </row>
    <row r="50" spans="2:25" s="180" customFormat="1" ht="21" customHeight="1" outlineLevel="1" thickBot="1">
      <c r="B50" s="183"/>
      <c r="C50" s="183"/>
      <c r="D50" s="183" t="str">
        <f>VLOOKUP(D45,Hierarchie_PF,3,FALSE)</f>
        <v>F04</v>
      </c>
      <c r="E50" s="183"/>
      <c r="F50" s="183" t="str">
        <f>VLOOKUP(D45,Hierarchie_PF,4,FALSE)</f>
        <v>Armatures Pré-Fabriqués</v>
      </c>
      <c r="G50" s="184">
        <f>AVERAGE(G44:G49)</f>
        <v>1764.705882</v>
      </c>
      <c r="H50" s="184">
        <f t="shared" ref="H50:R50" si="19">AVERAGE(H44:H49)</f>
        <v>1870.5882349200001</v>
      </c>
      <c r="I50" s="184">
        <f t="shared" si="19"/>
        <v>1982.8235290152002</v>
      </c>
      <c r="J50" s="184">
        <f t="shared" si="19"/>
        <v>2101.7929407561123</v>
      </c>
      <c r="K50" s="184">
        <f t="shared" si="19"/>
        <v>2227.900517201479</v>
      </c>
      <c r="L50" s="184">
        <f t="shared" si="19"/>
        <v>2227.900517201479</v>
      </c>
      <c r="M50" s="184">
        <f t="shared" si="19"/>
        <v>2227.900517201479</v>
      </c>
      <c r="N50" s="184">
        <f t="shared" si="19"/>
        <v>2227.900517201479</v>
      </c>
      <c r="O50" s="184">
        <f t="shared" si="19"/>
        <v>2227.900517201479</v>
      </c>
      <c r="P50" s="184">
        <f t="shared" si="19"/>
        <v>2227.900517201479</v>
      </c>
      <c r="Q50" s="184">
        <f t="shared" si="19"/>
        <v>2227.900517201479</v>
      </c>
      <c r="R50" s="184">
        <f t="shared" si="19"/>
        <v>2227.900517201479</v>
      </c>
      <c r="S50" s="185">
        <f>SUMPRODUCT(G50:R50,G$77:R$77)/$S$77</f>
        <v>2129.8051111034515</v>
      </c>
      <c r="U50" s="184"/>
      <c r="V50" s="184"/>
      <c r="W50" s="184"/>
      <c r="X50" s="184"/>
      <c r="Y50" s="184"/>
    </row>
    <row r="51" spans="2:25" ht="13.5" outlineLevel="1" thickTop="1">
      <c r="B51" s="173"/>
      <c r="C51" s="173"/>
      <c r="D51" s="173"/>
      <c r="E51" s="173"/>
      <c r="F51" s="173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5"/>
      <c r="U51" s="174"/>
      <c r="V51" s="174"/>
      <c r="W51" s="174"/>
      <c r="X51" s="174"/>
      <c r="Y51" s="174"/>
    </row>
    <row r="52" spans="2:25" outlineLevel="2">
      <c r="B52" s="176" t="str">
        <f t="shared" ref="B52:B55" si="20">$E52&amp;"-"&amp;$C52</f>
        <v>F07-PV01</v>
      </c>
      <c r="C52" s="176" t="s">
        <v>127</v>
      </c>
      <c r="D52" s="181" t="s">
        <v>163</v>
      </c>
      <c r="E52" s="176" t="str">
        <f>VLOOKUP(D52,'[1]Base Produits'!$A$1:$E$40,3,FALSE)</f>
        <v>F07</v>
      </c>
      <c r="F52" s="186" t="str">
        <f>+VLOOKUP($D52,Hierarchie_PF,2,FALSE)</f>
        <v>Produits FAS 1</v>
      </c>
      <c r="G52" s="178">
        <f>VLOOKUP(D52,'[1]Base Produits'!$A$2:$P$40,16,FALSE)</f>
        <v>1764.705882</v>
      </c>
      <c r="H52" s="178">
        <f t="shared" ref="H52:K55" si="21">+G52*(1+V52)</f>
        <v>2029.4117642999997</v>
      </c>
      <c r="I52" s="178">
        <f t="shared" si="21"/>
        <v>2333.8235289449995</v>
      </c>
      <c r="J52" s="178">
        <f t="shared" si="21"/>
        <v>2683.8970582867491</v>
      </c>
      <c r="K52" s="178">
        <f t="shared" si="21"/>
        <v>3086.4816170297613</v>
      </c>
      <c r="L52" s="178">
        <f t="shared" ref="L52:R55" si="22">+K52*(1+L$6)</f>
        <v>3086.4816170297613</v>
      </c>
      <c r="M52" s="178">
        <f t="shared" si="22"/>
        <v>3086.4816170297613</v>
      </c>
      <c r="N52" s="178">
        <f t="shared" si="22"/>
        <v>3086.4816170297613</v>
      </c>
      <c r="O52" s="178">
        <f t="shared" si="22"/>
        <v>3086.4816170297613</v>
      </c>
      <c r="P52" s="182">
        <f t="shared" si="22"/>
        <v>3086.4816170297613</v>
      </c>
      <c r="Q52" s="182">
        <f t="shared" si="22"/>
        <v>3086.4816170297613</v>
      </c>
      <c r="R52" s="182">
        <f t="shared" si="22"/>
        <v>3086.4816170297613</v>
      </c>
      <c r="S52" s="192">
        <f>SUMPRODUCT(G52:R52,G$77:R$77)/$S$77</f>
        <v>2795.6301832644026</v>
      </c>
      <c r="U52" s="182"/>
      <c r="V52" s="225">
        <f>'[1]Hypotheses '!Q$13</f>
        <v>0.15</v>
      </c>
      <c r="W52" s="225">
        <f>'[1]Hypotheses '!R$13</f>
        <v>0.15</v>
      </c>
      <c r="X52" s="225">
        <f>'[1]Hypotheses '!S$13</f>
        <v>0.15</v>
      </c>
      <c r="Y52" s="225">
        <f>'[1]Hypotheses '!T$13</f>
        <v>0.15</v>
      </c>
    </row>
    <row r="53" spans="2:25" outlineLevel="2">
      <c r="B53" s="176" t="str">
        <f t="shared" si="20"/>
        <v>F07-PV01</v>
      </c>
      <c r="C53" s="176" t="s">
        <v>127</v>
      </c>
      <c r="D53" s="181" t="s">
        <v>164</v>
      </c>
      <c r="E53" s="176" t="str">
        <f>VLOOKUP(D53,'[1]Base Produits'!$A$1:$E$40,3,FALSE)</f>
        <v>F07</v>
      </c>
      <c r="F53" s="186" t="str">
        <f>+VLOOKUP($D53,Hierarchie_PF,2,FALSE)</f>
        <v>Produits FAS 2</v>
      </c>
      <c r="G53" s="178">
        <f>VLOOKUP(D53,'[1]Base Produits'!$A$2:$P$40,16,FALSE)</f>
        <v>1764.705882</v>
      </c>
      <c r="H53" s="178">
        <f t="shared" si="21"/>
        <v>2029.4117642999997</v>
      </c>
      <c r="I53" s="178">
        <f t="shared" si="21"/>
        <v>2333.8235289449995</v>
      </c>
      <c r="J53" s="178">
        <f t="shared" si="21"/>
        <v>2683.8970582867491</v>
      </c>
      <c r="K53" s="178">
        <f t="shared" si="21"/>
        <v>3086.4816170297613</v>
      </c>
      <c r="L53" s="178">
        <f t="shared" si="22"/>
        <v>3086.4816170297613</v>
      </c>
      <c r="M53" s="178">
        <f t="shared" si="22"/>
        <v>3086.4816170297613</v>
      </c>
      <c r="N53" s="178">
        <f t="shared" si="22"/>
        <v>3086.4816170297613</v>
      </c>
      <c r="O53" s="178">
        <f t="shared" si="22"/>
        <v>3086.4816170297613</v>
      </c>
      <c r="P53" s="182">
        <f t="shared" si="22"/>
        <v>3086.4816170297613</v>
      </c>
      <c r="Q53" s="182">
        <f t="shared" si="22"/>
        <v>3086.4816170297613</v>
      </c>
      <c r="R53" s="182">
        <f t="shared" si="22"/>
        <v>3086.4816170297613</v>
      </c>
      <c r="S53" s="192">
        <f>SUMPRODUCT(G53:R53,G$77:R$77)/$S$77</f>
        <v>2795.6301832644026</v>
      </c>
      <c r="U53" s="182"/>
      <c r="V53" s="225">
        <f>'[1]Hypotheses '!Q$13</f>
        <v>0.15</v>
      </c>
      <c r="W53" s="225">
        <f>'[1]Hypotheses '!R$13</f>
        <v>0.15</v>
      </c>
      <c r="X53" s="225">
        <f>'[1]Hypotheses '!S$13</f>
        <v>0.15</v>
      </c>
      <c r="Y53" s="225">
        <f>'[1]Hypotheses '!T$13</f>
        <v>0.15</v>
      </c>
    </row>
    <row r="54" spans="2:25" outlineLevel="2">
      <c r="B54" s="176" t="str">
        <f t="shared" si="20"/>
        <v>F07-PV01</v>
      </c>
      <c r="C54" s="176" t="s">
        <v>127</v>
      </c>
      <c r="D54" s="181" t="s">
        <v>165</v>
      </c>
      <c r="E54" s="176" t="str">
        <f>VLOOKUP(D54,'[1]Base Produits'!$A$1:$E$40,3,FALSE)</f>
        <v>F07</v>
      </c>
      <c r="F54" s="186" t="str">
        <f>+VLOOKUP($D54,Hierarchie_PF,2,FALSE)</f>
        <v>Produits FAS 3</v>
      </c>
      <c r="G54" s="178">
        <f>VLOOKUP(D54,'[1]Base Produits'!$A$2:$P$40,16,FALSE)</f>
        <v>1764.705882</v>
      </c>
      <c r="H54" s="178">
        <f t="shared" si="21"/>
        <v>2029.4117642999997</v>
      </c>
      <c r="I54" s="178">
        <f t="shared" si="21"/>
        <v>2333.8235289449995</v>
      </c>
      <c r="J54" s="178">
        <f t="shared" si="21"/>
        <v>2683.8970582867491</v>
      </c>
      <c r="K54" s="178">
        <f t="shared" si="21"/>
        <v>3086.4816170297613</v>
      </c>
      <c r="L54" s="178">
        <f t="shared" si="22"/>
        <v>3086.4816170297613</v>
      </c>
      <c r="M54" s="178">
        <f t="shared" si="22"/>
        <v>3086.4816170297613</v>
      </c>
      <c r="N54" s="178">
        <f t="shared" si="22"/>
        <v>3086.4816170297613</v>
      </c>
      <c r="O54" s="178">
        <f t="shared" si="22"/>
        <v>3086.4816170297613</v>
      </c>
      <c r="P54" s="182">
        <f t="shared" si="22"/>
        <v>3086.4816170297613</v>
      </c>
      <c r="Q54" s="182">
        <f t="shared" si="22"/>
        <v>3086.4816170297613</v>
      </c>
      <c r="R54" s="182">
        <f t="shared" si="22"/>
        <v>3086.4816170297613</v>
      </c>
      <c r="S54" s="192">
        <f>SUMPRODUCT(G54:R54,G$77:R$77)/$S$77</f>
        <v>2795.6301832644026</v>
      </c>
      <c r="U54" s="182"/>
      <c r="V54" s="225">
        <f>'[1]Hypotheses '!Q$13</f>
        <v>0.15</v>
      </c>
      <c r="W54" s="225">
        <f>'[1]Hypotheses '!R$13</f>
        <v>0.15</v>
      </c>
      <c r="X54" s="225">
        <f>'[1]Hypotheses '!S$13</f>
        <v>0.15</v>
      </c>
      <c r="Y54" s="225">
        <f>'[1]Hypotheses '!T$13</f>
        <v>0.15</v>
      </c>
    </row>
    <row r="55" spans="2:25" outlineLevel="2">
      <c r="B55" s="176" t="str">
        <f t="shared" si="20"/>
        <v>F07-PV01</v>
      </c>
      <c r="C55" s="176" t="s">
        <v>127</v>
      </c>
      <c r="D55" s="181" t="s">
        <v>166</v>
      </c>
      <c r="E55" s="176" t="str">
        <f>VLOOKUP(D55,'[1]Base Produits'!$A$1:$E$40,3,FALSE)</f>
        <v>F07</v>
      </c>
      <c r="F55" s="186" t="str">
        <f>+VLOOKUP($D55,Hierarchie_PF,2,FALSE)</f>
        <v>Produits FAS 4</v>
      </c>
      <c r="G55" s="178">
        <f>VLOOKUP(D55,'[1]Base Produits'!$A$2:$P$40,16,FALSE)</f>
        <v>1764.705882</v>
      </c>
      <c r="H55" s="178">
        <f t="shared" si="21"/>
        <v>2029.4117642999997</v>
      </c>
      <c r="I55" s="178">
        <f t="shared" si="21"/>
        <v>2333.8235289449995</v>
      </c>
      <c r="J55" s="178">
        <f t="shared" si="21"/>
        <v>2683.8970582867491</v>
      </c>
      <c r="K55" s="178">
        <f t="shared" si="21"/>
        <v>3086.4816170297613</v>
      </c>
      <c r="L55" s="178">
        <f t="shared" si="22"/>
        <v>3086.4816170297613</v>
      </c>
      <c r="M55" s="178">
        <f t="shared" si="22"/>
        <v>3086.4816170297613</v>
      </c>
      <c r="N55" s="178">
        <f t="shared" si="22"/>
        <v>3086.4816170297613</v>
      </c>
      <c r="O55" s="178">
        <f t="shared" si="22"/>
        <v>3086.4816170297613</v>
      </c>
      <c r="P55" s="182">
        <f t="shared" si="22"/>
        <v>3086.4816170297613</v>
      </c>
      <c r="Q55" s="182">
        <f t="shared" si="22"/>
        <v>3086.4816170297613</v>
      </c>
      <c r="R55" s="182">
        <f t="shared" si="22"/>
        <v>3086.4816170297613</v>
      </c>
      <c r="S55" s="192">
        <f>SUMPRODUCT(G55:R55,G$77:R$77)/$S$77</f>
        <v>2795.6301832644026</v>
      </c>
      <c r="U55" s="182"/>
      <c r="V55" s="225">
        <f>'[1]Hypotheses '!Q$13</f>
        <v>0.15</v>
      </c>
      <c r="W55" s="225">
        <f>'[1]Hypotheses '!R$13</f>
        <v>0.15</v>
      </c>
      <c r="X55" s="225">
        <f>'[1]Hypotheses '!S$13</f>
        <v>0.15</v>
      </c>
      <c r="Y55" s="225">
        <f>'[1]Hypotheses '!T$13</f>
        <v>0.15</v>
      </c>
    </row>
    <row r="56" spans="2:25" outlineLevel="2">
      <c r="B56" s="181"/>
      <c r="C56" s="181"/>
      <c r="D56" s="181"/>
      <c r="E56" s="181"/>
      <c r="F56" s="181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75"/>
      <c r="U56" s="182"/>
      <c r="V56" s="182"/>
      <c r="W56" s="182"/>
      <c r="X56" s="182"/>
      <c r="Y56" s="182"/>
    </row>
    <row r="57" spans="2:25" s="180" customFormat="1" ht="21" customHeight="1" outlineLevel="1" thickBot="1">
      <c r="B57" s="183"/>
      <c r="C57" s="183"/>
      <c r="D57" s="183" t="str">
        <f>VLOOKUP(D52,Hierarchie_PF,3,FALSE)</f>
        <v>F07</v>
      </c>
      <c r="E57" s="183"/>
      <c r="F57" s="183" t="str">
        <f>VLOOKUP(D52,Hierarchie_PF,4,FALSE)</f>
        <v>Amataures façconnés_Assemblé_Soudé</v>
      </c>
      <c r="G57" s="184">
        <f>AVERAGE(G51:G56)</f>
        <v>1764.705882</v>
      </c>
      <c r="H57" s="184">
        <f t="shared" ref="H57:R57" si="23">AVERAGE(H51:H56)</f>
        <v>2029.4117642999997</v>
      </c>
      <c r="I57" s="184">
        <f t="shared" si="23"/>
        <v>2333.8235289449995</v>
      </c>
      <c r="J57" s="184">
        <f t="shared" si="23"/>
        <v>2683.8970582867491</v>
      </c>
      <c r="K57" s="184">
        <f t="shared" si="23"/>
        <v>3086.4816170297613</v>
      </c>
      <c r="L57" s="184">
        <f t="shared" si="23"/>
        <v>3086.4816170297613</v>
      </c>
      <c r="M57" s="184">
        <f t="shared" si="23"/>
        <v>3086.4816170297613</v>
      </c>
      <c r="N57" s="184">
        <f t="shared" si="23"/>
        <v>3086.4816170297613</v>
      </c>
      <c r="O57" s="184">
        <f t="shared" si="23"/>
        <v>3086.4816170297613</v>
      </c>
      <c r="P57" s="184">
        <f t="shared" si="23"/>
        <v>3086.4816170297613</v>
      </c>
      <c r="Q57" s="184">
        <f t="shared" si="23"/>
        <v>3086.4816170297613</v>
      </c>
      <c r="R57" s="184">
        <f t="shared" si="23"/>
        <v>3086.4816170297613</v>
      </c>
      <c r="S57" s="185">
        <f>SUMPRODUCT(G57:R57,G$77:R$77)/$S$77</f>
        <v>2795.6301832644026</v>
      </c>
      <c r="U57" s="184"/>
      <c r="V57" s="184"/>
      <c r="W57" s="184"/>
      <c r="X57" s="184"/>
      <c r="Y57" s="184"/>
    </row>
    <row r="58" spans="2:25" ht="13.5" outlineLevel="1" thickTop="1">
      <c r="B58" s="173"/>
      <c r="C58" s="173"/>
      <c r="D58" s="173"/>
      <c r="E58" s="173"/>
      <c r="F58" s="173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5"/>
      <c r="U58" s="174"/>
      <c r="V58" s="174"/>
      <c r="W58" s="174"/>
      <c r="X58" s="174"/>
      <c r="Y58" s="174"/>
    </row>
    <row r="59" spans="2:25" s="180" customFormat="1" ht="30.65" customHeight="1" outlineLevel="1" thickBot="1">
      <c r="B59" s="187"/>
      <c r="C59" s="187"/>
      <c r="D59" s="187" t="str">
        <f>VLOOKUP(D52,Hierarchie_PF,5,FALSE)</f>
        <v>L07</v>
      </c>
      <c r="E59" s="187"/>
      <c r="F59" s="187" t="str">
        <f>VLOOKUP(D47,Hierarchie_PF,6,FALSE)</f>
        <v>Atelier de Façonnage</v>
      </c>
      <c r="G59" s="188">
        <f>AVERAGE(G57,G50)</f>
        <v>1764.705882</v>
      </c>
      <c r="H59" s="188">
        <f t="shared" ref="H59:K59" si="24">AVERAGE(H57,H50)</f>
        <v>1949.99999961</v>
      </c>
      <c r="I59" s="188">
        <f t="shared" si="24"/>
        <v>2158.3235289800996</v>
      </c>
      <c r="J59" s="188">
        <f t="shared" si="24"/>
        <v>2392.8449995214305</v>
      </c>
      <c r="K59" s="188">
        <f t="shared" si="24"/>
        <v>2657.1910671156202</v>
      </c>
      <c r="L59" s="188">
        <f t="shared" ref="L59:R59" si="25">SUM(L57,L50)</f>
        <v>5314.3821342312403</v>
      </c>
      <c r="M59" s="188">
        <f t="shared" si="25"/>
        <v>5314.3821342312403</v>
      </c>
      <c r="N59" s="188">
        <f t="shared" si="25"/>
        <v>5314.3821342312403</v>
      </c>
      <c r="O59" s="188">
        <f t="shared" si="25"/>
        <v>5314.3821342312403</v>
      </c>
      <c r="P59" s="189">
        <f t="shared" si="25"/>
        <v>5314.3821342312403</v>
      </c>
      <c r="Q59" s="189">
        <f t="shared" si="25"/>
        <v>5314.3821342312403</v>
      </c>
      <c r="R59" s="189">
        <f t="shared" si="25"/>
        <v>5314.3821342312403</v>
      </c>
      <c r="S59" s="190">
        <f>SUMPRODUCT(G59:R59,G$77:R$77)/$S$77</f>
        <v>4012.7457696680385</v>
      </c>
      <c r="U59" s="188">
        <f>SUM(U57,U50)</f>
        <v>0</v>
      </c>
      <c r="V59" s="188">
        <f t="shared" ref="V59:Y59" si="26">SUM(V57,V50)</f>
        <v>0</v>
      </c>
      <c r="W59" s="188">
        <f t="shared" si="26"/>
        <v>0</v>
      </c>
      <c r="X59" s="188">
        <f t="shared" si="26"/>
        <v>0</v>
      </c>
      <c r="Y59" s="188">
        <f t="shared" si="26"/>
        <v>0</v>
      </c>
    </row>
    <row r="60" spans="2:25" ht="13.5" outlineLevel="1" thickTop="1">
      <c r="B60" s="173"/>
      <c r="C60" s="173"/>
      <c r="D60" s="173"/>
      <c r="E60" s="173"/>
      <c r="F60" s="173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5"/>
      <c r="U60" s="174"/>
      <c r="V60" s="174"/>
      <c r="W60" s="174"/>
      <c r="X60" s="174"/>
      <c r="Y60" s="174"/>
    </row>
    <row r="61" spans="2:25" outlineLevel="2">
      <c r="B61" s="176" t="str">
        <f t="shared" ref="B61:B64" si="27">$E61&amp;"-"&amp;$C61</f>
        <v>F05-PV01</v>
      </c>
      <c r="C61" s="176" t="s">
        <v>127</v>
      </c>
      <c r="D61" s="181" t="s">
        <v>167</v>
      </c>
      <c r="E61" s="176" t="str">
        <f>VLOOKUP(D61,'[1]Base Produits'!$A$1:$E$40,3,FALSE)</f>
        <v>F05</v>
      </c>
      <c r="F61" s="186" t="str">
        <f>+VLOOKUP($D61,Hierarchie_PF,2,FALSE)</f>
        <v xml:space="preserve">D03 en Bobine </v>
      </c>
      <c r="G61" s="178">
        <f>VLOOKUP(D61,'[1]Base Produits'!$A$2:$P$40,16,FALSE)</f>
        <v>1818</v>
      </c>
      <c r="H61" s="178">
        <f t="shared" ref="H61:K64" si="28">+G61*(1+V61)</f>
        <v>1999.8000000000002</v>
      </c>
      <c r="I61" s="178">
        <f t="shared" si="28"/>
        <v>2199.7800000000002</v>
      </c>
      <c r="J61" s="178">
        <f t="shared" si="28"/>
        <v>2419.7580000000003</v>
      </c>
      <c r="K61" s="178">
        <f t="shared" si="28"/>
        <v>2661.7338000000004</v>
      </c>
      <c r="L61" s="178">
        <f t="shared" ref="L61:R64" si="29">+K61*(1+L$6)</f>
        <v>2661.7338000000004</v>
      </c>
      <c r="M61" s="178">
        <f t="shared" si="29"/>
        <v>2661.7338000000004</v>
      </c>
      <c r="N61" s="178">
        <f t="shared" si="29"/>
        <v>2661.7338000000004</v>
      </c>
      <c r="O61" s="178">
        <f t="shared" si="29"/>
        <v>2661.7338000000004</v>
      </c>
      <c r="P61" s="182">
        <f t="shared" si="29"/>
        <v>2661.7338000000004</v>
      </c>
      <c r="Q61" s="182">
        <f t="shared" si="29"/>
        <v>2661.7338000000004</v>
      </c>
      <c r="R61" s="182">
        <f t="shared" si="29"/>
        <v>2661.7338000000004</v>
      </c>
      <c r="S61" s="192">
        <f>SUMPRODUCT(G61:R61,G$77:R$77)/$S$77</f>
        <v>2479.8677459999999</v>
      </c>
      <c r="U61" s="182"/>
      <c r="V61" s="225">
        <f>+'[1]Hypotheses '!Q$11</f>
        <v>0.1</v>
      </c>
      <c r="W61" s="225">
        <f>+'[1]Hypotheses '!R$11</f>
        <v>0.1</v>
      </c>
      <c r="X61" s="225">
        <f>+'[1]Hypotheses '!S$11</f>
        <v>0.1</v>
      </c>
      <c r="Y61" s="225">
        <f>+'[1]Hypotheses '!T$11</f>
        <v>0.1</v>
      </c>
    </row>
    <row r="62" spans="2:25" outlineLevel="2">
      <c r="B62" s="176" t="str">
        <f t="shared" si="27"/>
        <v>F05-PV01</v>
      </c>
      <c r="C62" s="176" t="s">
        <v>127</v>
      </c>
      <c r="D62" s="181" t="s">
        <v>168</v>
      </c>
      <c r="E62" s="176" t="str">
        <f>VLOOKUP(D62,'[1]Base Produits'!$A$1:$E$40,3,FALSE)</f>
        <v>F05</v>
      </c>
      <c r="F62" s="186" t="str">
        <f>+VLOOKUP($D62,Hierarchie_PF,2,FALSE)</f>
        <v xml:space="preserve">D04 en Bobine </v>
      </c>
      <c r="G62" s="178">
        <f>VLOOKUP(D62,'[1]Base Produits'!$A$2:$P$40,16,FALSE)</f>
        <v>1797.8</v>
      </c>
      <c r="H62" s="178">
        <f t="shared" si="28"/>
        <v>1977.5800000000002</v>
      </c>
      <c r="I62" s="178">
        <f t="shared" si="28"/>
        <v>2175.3380000000002</v>
      </c>
      <c r="J62" s="178">
        <f t="shared" si="28"/>
        <v>2392.8718000000003</v>
      </c>
      <c r="K62" s="178">
        <f t="shared" si="28"/>
        <v>2632.1589800000006</v>
      </c>
      <c r="L62" s="178">
        <f t="shared" si="29"/>
        <v>2632.1589800000006</v>
      </c>
      <c r="M62" s="178">
        <f t="shared" si="29"/>
        <v>2632.1589800000006</v>
      </c>
      <c r="N62" s="178">
        <f t="shared" si="29"/>
        <v>2632.1589800000006</v>
      </c>
      <c r="O62" s="178">
        <f t="shared" si="29"/>
        <v>2632.1589800000006</v>
      </c>
      <c r="P62" s="182">
        <f t="shared" si="29"/>
        <v>2632.1589800000006</v>
      </c>
      <c r="Q62" s="182">
        <f t="shared" si="29"/>
        <v>2632.1589800000006</v>
      </c>
      <c r="R62" s="182">
        <f t="shared" si="29"/>
        <v>2632.1589800000006</v>
      </c>
      <c r="S62" s="192">
        <f>SUMPRODUCT(G62:R62,G$77:R$77)/$S$77</f>
        <v>2452.3136599333334</v>
      </c>
      <c r="U62" s="182"/>
      <c r="V62" s="225">
        <f>+'[1]Hypotheses '!Q$11</f>
        <v>0.1</v>
      </c>
      <c r="W62" s="225">
        <f>+'[1]Hypotheses '!R$11</f>
        <v>0.1</v>
      </c>
      <c r="X62" s="225">
        <f>+'[1]Hypotheses '!S$11</f>
        <v>0.1</v>
      </c>
      <c r="Y62" s="225">
        <f>+'[1]Hypotheses '!T$11</f>
        <v>0.1</v>
      </c>
    </row>
    <row r="63" spans="2:25" outlineLevel="2">
      <c r="B63" s="176" t="str">
        <f t="shared" si="27"/>
        <v>F05-PV01</v>
      </c>
      <c r="C63" s="176" t="s">
        <v>127</v>
      </c>
      <c r="D63" s="181" t="s">
        <v>169</v>
      </c>
      <c r="E63" s="176" t="str">
        <f>VLOOKUP(D63,'[1]Base Produits'!$A$1:$E$40,3,FALSE)</f>
        <v>F05</v>
      </c>
      <c r="F63" s="186" t="str">
        <f>+VLOOKUP($D63,Hierarchie_PF,2,FALSE)</f>
        <v xml:space="preserve">D05 en Bobine </v>
      </c>
      <c r="G63" s="178">
        <f>VLOOKUP(D63,'[1]Base Produits'!$A$2:$P$40,16,FALSE)</f>
        <v>1797.8</v>
      </c>
      <c r="H63" s="178">
        <f t="shared" si="28"/>
        <v>1977.5800000000002</v>
      </c>
      <c r="I63" s="178">
        <f t="shared" si="28"/>
        <v>2175.3380000000002</v>
      </c>
      <c r="J63" s="178">
        <f t="shared" si="28"/>
        <v>2392.8718000000003</v>
      </c>
      <c r="K63" s="178">
        <f t="shared" si="28"/>
        <v>2632.1589800000006</v>
      </c>
      <c r="L63" s="178">
        <f t="shared" si="29"/>
        <v>2632.1589800000006</v>
      </c>
      <c r="M63" s="178">
        <f t="shared" si="29"/>
        <v>2632.1589800000006</v>
      </c>
      <c r="N63" s="178">
        <f t="shared" si="29"/>
        <v>2632.1589800000006</v>
      </c>
      <c r="O63" s="178">
        <f t="shared" si="29"/>
        <v>2632.1589800000006</v>
      </c>
      <c r="P63" s="182">
        <f t="shared" si="29"/>
        <v>2632.1589800000006</v>
      </c>
      <c r="Q63" s="182">
        <f t="shared" si="29"/>
        <v>2632.1589800000006</v>
      </c>
      <c r="R63" s="182">
        <f t="shared" si="29"/>
        <v>2632.1589800000006</v>
      </c>
      <c r="S63" s="192">
        <f>SUMPRODUCT(G63:R63,G$77:R$77)/$S$77</f>
        <v>2452.3136599333334</v>
      </c>
      <c r="U63" s="182"/>
      <c r="V63" s="225">
        <f>+'[1]Hypotheses '!Q$11</f>
        <v>0.1</v>
      </c>
      <c r="W63" s="225">
        <f>+'[1]Hypotheses '!R$11</f>
        <v>0.1</v>
      </c>
      <c r="X63" s="225">
        <f>+'[1]Hypotheses '!S$11</f>
        <v>0.1</v>
      </c>
      <c r="Y63" s="225">
        <f>+'[1]Hypotheses '!T$11</f>
        <v>0.1</v>
      </c>
    </row>
    <row r="64" spans="2:25" outlineLevel="2">
      <c r="B64" s="176" t="str">
        <f t="shared" si="27"/>
        <v>F05-PV01</v>
      </c>
      <c r="C64" s="176" t="s">
        <v>127</v>
      </c>
      <c r="D64" s="181" t="s">
        <v>170</v>
      </c>
      <c r="E64" s="176" t="str">
        <f>VLOOKUP(D64,'[1]Base Produits'!$A$1:$E$40,3,FALSE)</f>
        <v>F05</v>
      </c>
      <c r="F64" s="186" t="str">
        <f>+VLOOKUP($D64,Hierarchie_PF,2,FALSE)</f>
        <v xml:space="preserve">D06 en Bobine </v>
      </c>
      <c r="G64" s="178">
        <f>VLOOKUP(D64,'[1]Base Produits'!$A$2:$P$40,16,FALSE)</f>
        <v>1777.6</v>
      </c>
      <c r="H64" s="178">
        <f t="shared" si="28"/>
        <v>1955.3600000000001</v>
      </c>
      <c r="I64" s="178">
        <f t="shared" si="28"/>
        <v>2150.8960000000002</v>
      </c>
      <c r="J64" s="178">
        <f t="shared" si="28"/>
        <v>2365.9856000000004</v>
      </c>
      <c r="K64" s="178">
        <f t="shared" si="28"/>
        <v>2602.5841600000008</v>
      </c>
      <c r="L64" s="178">
        <f t="shared" si="29"/>
        <v>2602.5841600000008</v>
      </c>
      <c r="M64" s="178">
        <f t="shared" si="29"/>
        <v>2602.5841600000008</v>
      </c>
      <c r="N64" s="178">
        <f t="shared" si="29"/>
        <v>2602.5841600000008</v>
      </c>
      <c r="O64" s="178">
        <f t="shared" si="29"/>
        <v>2602.5841600000008</v>
      </c>
      <c r="P64" s="182">
        <f t="shared" si="29"/>
        <v>2602.5841600000008</v>
      </c>
      <c r="Q64" s="182">
        <f t="shared" si="29"/>
        <v>2602.5841600000008</v>
      </c>
      <c r="R64" s="182">
        <f t="shared" si="29"/>
        <v>2602.5841600000008</v>
      </c>
      <c r="S64" s="192">
        <f>SUMPRODUCT(G64:R64,G$77:R$77)/$S$77</f>
        <v>2424.7595738666678</v>
      </c>
      <c r="U64" s="182"/>
      <c r="V64" s="225">
        <f>+'[1]Hypotheses '!Q$11</f>
        <v>0.1</v>
      </c>
      <c r="W64" s="225">
        <f>+'[1]Hypotheses '!R$11</f>
        <v>0.1</v>
      </c>
      <c r="X64" s="225">
        <f>+'[1]Hypotheses '!S$11</f>
        <v>0.1</v>
      </c>
      <c r="Y64" s="225">
        <f>+'[1]Hypotheses '!T$11</f>
        <v>0.1</v>
      </c>
    </row>
    <row r="65" spans="2:25" outlineLevel="2">
      <c r="B65" s="181"/>
      <c r="C65" s="181"/>
      <c r="D65" s="181"/>
      <c r="E65" s="181"/>
      <c r="F65" s="181"/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75"/>
      <c r="U65" s="182"/>
      <c r="V65" s="182"/>
      <c r="W65" s="182"/>
      <c r="X65" s="182"/>
      <c r="Y65" s="182"/>
    </row>
    <row r="66" spans="2:25" s="180" customFormat="1" ht="30.65" customHeight="1" outlineLevel="1" thickBot="1">
      <c r="B66" s="187"/>
      <c r="C66" s="187"/>
      <c r="D66" s="187" t="str">
        <f>VLOOKUP(D61,Hierarchie_PF,3,FALSE)</f>
        <v>F05</v>
      </c>
      <c r="E66" s="187"/>
      <c r="F66" s="187" t="str">
        <f>VLOOKUP(D61,Hierarchie_PF,4,FALSE)</f>
        <v>Fil machine Diam 3 en bobine</v>
      </c>
      <c r="G66" s="188">
        <f>AVERAGE(G60:G65)</f>
        <v>1797.8000000000002</v>
      </c>
      <c r="H66" s="188">
        <f t="shared" ref="H66:R66" si="30">AVERAGE(H60:H65)</f>
        <v>1977.58</v>
      </c>
      <c r="I66" s="188">
        <f t="shared" si="30"/>
        <v>2175.3380000000002</v>
      </c>
      <c r="J66" s="188">
        <f t="shared" si="30"/>
        <v>2392.8718000000003</v>
      </c>
      <c r="K66" s="188">
        <f t="shared" si="30"/>
        <v>2632.1589800000006</v>
      </c>
      <c r="L66" s="188">
        <f t="shared" si="30"/>
        <v>2632.1589800000006</v>
      </c>
      <c r="M66" s="188">
        <f t="shared" si="30"/>
        <v>2632.1589800000006</v>
      </c>
      <c r="N66" s="188">
        <f t="shared" si="30"/>
        <v>2632.1589800000006</v>
      </c>
      <c r="O66" s="188">
        <f t="shared" si="30"/>
        <v>2632.1589800000006</v>
      </c>
      <c r="P66" s="189">
        <f t="shared" si="30"/>
        <v>2632.1589800000006</v>
      </c>
      <c r="Q66" s="189">
        <f t="shared" si="30"/>
        <v>2632.1589800000006</v>
      </c>
      <c r="R66" s="189">
        <f t="shared" si="30"/>
        <v>2632.1589800000006</v>
      </c>
      <c r="S66" s="190">
        <f>SUMPRODUCT(G66:R66,G$77:R$77)/$S$77</f>
        <v>2452.3136599333334</v>
      </c>
      <c r="U66" s="188">
        <f>SUM(U60:U65)</f>
        <v>0</v>
      </c>
      <c r="V66" s="188">
        <f t="shared" ref="V66:Y66" si="31">SUM(V60:V65)</f>
        <v>0.4</v>
      </c>
      <c r="W66" s="188">
        <f t="shared" si="31"/>
        <v>0.4</v>
      </c>
      <c r="X66" s="188">
        <f t="shared" si="31"/>
        <v>0.4</v>
      </c>
      <c r="Y66" s="188">
        <f t="shared" si="31"/>
        <v>0.4</v>
      </c>
    </row>
    <row r="67" spans="2:25" ht="13.5" outlineLevel="1" thickTop="1">
      <c r="B67" s="173"/>
      <c r="C67" s="173"/>
      <c r="D67" s="173"/>
      <c r="E67" s="173"/>
      <c r="F67" s="173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174"/>
      <c r="R67" s="174"/>
      <c r="S67" s="175"/>
      <c r="U67" s="174"/>
      <c r="V67" s="174"/>
      <c r="W67" s="174"/>
      <c r="X67" s="174"/>
      <c r="Y67" s="174"/>
    </row>
    <row r="68" spans="2:25" outlineLevel="2">
      <c r="B68" s="176" t="str">
        <f t="shared" ref="B68:B71" si="32">$E68&amp;"-"&amp;$C68</f>
        <v>F06-PV01</v>
      </c>
      <c r="C68" s="176" t="s">
        <v>127</v>
      </c>
      <c r="D68" s="181" t="s">
        <v>171</v>
      </c>
      <c r="E68" s="176" t="str">
        <f>VLOOKUP(D68,'[1]Base Produits'!$A$1:$E$40,3,FALSE)</f>
        <v>F06</v>
      </c>
      <c r="F68" s="186" t="str">
        <f>+VLOOKUP($D68,Hierarchie_PF,2,FALSE)</f>
        <v>Produits  TR_Soudé  Section 3</v>
      </c>
      <c r="G68" s="178">
        <f>VLOOKUP(D68,'[1]Base Produits'!$A$2:$P$40,16,FALSE)</f>
        <v>1999.8</v>
      </c>
      <c r="H68" s="178">
        <f t="shared" ref="H68:K71" si="33">+G68*(1+V68)</f>
        <v>2199.7800000000002</v>
      </c>
      <c r="I68" s="178">
        <f t="shared" si="33"/>
        <v>2419.7580000000003</v>
      </c>
      <c r="J68" s="178">
        <f t="shared" si="33"/>
        <v>2661.7338000000004</v>
      </c>
      <c r="K68" s="178">
        <f t="shared" si="33"/>
        <v>2927.9071800000006</v>
      </c>
      <c r="L68" s="178">
        <f t="shared" ref="L68:R71" si="34">+K68*(1+L$6)</f>
        <v>2927.9071800000006</v>
      </c>
      <c r="M68" s="178">
        <f t="shared" si="34"/>
        <v>2927.9071800000006</v>
      </c>
      <c r="N68" s="178">
        <f t="shared" si="34"/>
        <v>2927.9071800000006</v>
      </c>
      <c r="O68" s="178">
        <f t="shared" si="34"/>
        <v>2927.9071800000006</v>
      </c>
      <c r="P68" s="182">
        <f t="shared" si="34"/>
        <v>2927.9071800000006</v>
      </c>
      <c r="Q68" s="182">
        <f t="shared" si="34"/>
        <v>2927.9071800000006</v>
      </c>
      <c r="R68" s="182">
        <f t="shared" si="34"/>
        <v>2927.9071800000006</v>
      </c>
      <c r="S68" s="192">
        <f>SUMPRODUCT(G68:R68,G$77:R$77)/$S$77</f>
        <v>2727.8545205999999</v>
      </c>
      <c r="U68" s="182"/>
      <c r="V68" s="225">
        <f>'[1]Hypotheses '!Q$12</f>
        <v>0.1</v>
      </c>
      <c r="W68" s="225">
        <f>'[1]Hypotheses '!R$12</f>
        <v>0.1</v>
      </c>
      <c r="X68" s="225">
        <f>'[1]Hypotheses '!S$12</f>
        <v>0.1</v>
      </c>
      <c r="Y68" s="225">
        <f>'[1]Hypotheses '!T$12</f>
        <v>0.1</v>
      </c>
    </row>
    <row r="69" spans="2:25" outlineLevel="2">
      <c r="B69" s="176" t="str">
        <f t="shared" si="32"/>
        <v>F06-PV01</v>
      </c>
      <c r="C69" s="176" t="s">
        <v>127</v>
      </c>
      <c r="D69" s="181" t="s">
        <v>172</v>
      </c>
      <c r="E69" s="176" t="str">
        <f>VLOOKUP(D69,'[1]Base Produits'!$A$1:$E$40,3,FALSE)</f>
        <v>F06</v>
      </c>
      <c r="F69" s="186" t="str">
        <f>+VLOOKUP($D69,Hierarchie_PF,2,FALSE)</f>
        <v>Produits  TR_Soudé  Section 4</v>
      </c>
      <c r="G69" s="178">
        <f>VLOOKUP(D69,'[1]Base Produits'!$A$2:$P$40,16,FALSE)</f>
        <v>1999.8</v>
      </c>
      <c r="H69" s="178">
        <f t="shared" si="33"/>
        <v>2199.7800000000002</v>
      </c>
      <c r="I69" s="178">
        <f t="shared" si="33"/>
        <v>2419.7580000000003</v>
      </c>
      <c r="J69" s="178">
        <f t="shared" si="33"/>
        <v>2661.7338000000004</v>
      </c>
      <c r="K69" s="178">
        <f t="shared" si="33"/>
        <v>2927.9071800000006</v>
      </c>
      <c r="L69" s="178">
        <f t="shared" si="34"/>
        <v>2927.9071800000006</v>
      </c>
      <c r="M69" s="178">
        <f t="shared" si="34"/>
        <v>2927.9071800000006</v>
      </c>
      <c r="N69" s="178">
        <f t="shared" si="34"/>
        <v>2927.9071800000006</v>
      </c>
      <c r="O69" s="178">
        <f t="shared" si="34"/>
        <v>2927.9071800000006</v>
      </c>
      <c r="P69" s="182">
        <f t="shared" si="34"/>
        <v>2927.9071800000006</v>
      </c>
      <c r="Q69" s="182">
        <f t="shared" si="34"/>
        <v>2927.9071800000006</v>
      </c>
      <c r="R69" s="182">
        <f t="shared" si="34"/>
        <v>2927.9071800000006</v>
      </c>
      <c r="S69" s="192">
        <f>SUMPRODUCT(G69:R69,G$77:R$77)/$S$77</f>
        <v>2727.8545205999999</v>
      </c>
      <c r="U69" s="182"/>
      <c r="V69" s="225">
        <f>'[1]Hypotheses '!Q$12</f>
        <v>0.1</v>
      </c>
      <c r="W69" s="225">
        <f>'[1]Hypotheses '!R$12</f>
        <v>0.1</v>
      </c>
      <c r="X69" s="225">
        <f>'[1]Hypotheses '!S$12</f>
        <v>0.1</v>
      </c>
      <c r="Y69" s="225">
        <f>'[1]Hypotheses '!T$12</f>
        <v>0.1</v>
      </c>
    </row>
    <row r="70" spans="2:25" outlineLevel="2">
      <c r="B70" s="176" t="str">
        <f t="shared" si="32"/>
        <v>F06-PV01</v>
      </c>
      <c r="C70" s="176" t="s">
        <v>127</v>
      </c>
      <c r="D70" s="181" t="s">
        <v>173</v>
      </c>
      <c r="E70" s="176" t="str">
        <f>VLOOKUP(D70,'[1]Base Produits'!$A$1:$E$40,3,FALSE)</f>
        <v>F06</v>
      </c>
      <c r="F70" s="186" t="str">
        <f>+VLOOKUP($D70,Hierarchie_PF,2,FALSE)</f>
        <v>Produits  TR_Soudé  Section 6</v>
      </c>
      <c r="G70" s="178">
        <f>VLOOKUP(D70,'[1]Base Produits'!$A$2:$P$40,16,FALSE)</f>
        <v>1999.8</v>
      </c>
      <c r="H70" s="178">
        <f t="shared" si="33"/>
        <v>2199.7800000000002</v>
      </c>
      <c r="I70" s="178">
        <f t="shared" si="33"/>
        <v>2419.7580000000003</v>
      </c>
      <c r="J70" s="178">
        <f t="shared" si="33"/>
        <v>2661.7338000000004</v>
      </c>
      <c r="K70" s="178">
        <f t="shared" si="33"/>
        <v>2927.9071800000006</v>
      </c>
      <c r="L70" s="178">
        <f t="shared" si="34"/>
        <v>2927.9071800000006</v>
      </c>
      <c r="M70" s="178">
        <f t="shared" si="34"/>
        <v>2927.9071800000006</v>
      </c>
      <c r="N70" s="178">
        <f t="shared" si="34"/>
        <v>2927.9071800000006</v>
      </c>
      <c r="O70" s="178">
        <f t="shared" si="34"/>
        <v>2927.9071800000006</v>
      </c>
      <c r="P70" s="182">
        <f t="shared" si="34"/>
        <v>2927.9071800000006</v>
      </c>
      <c r="Q70" s="182">
        <f t="shared" si="34"/>
        <v>2927.9071800000006</v>
      </c>
      <c r="R70" s="182">
        <f t="shared" si="34"/>
        <v>2927.9071800000006</v>
      </c>
      <c r="S70" s="192">
        <f>SUMPRODUCT(G70:R70,G$77:R$77)/$S$77</f>
        <v>2727.8545205999999</v>
      </c>
      <c r="U70" s="182"/>
      <c r="V70" s="225">
        <f>'[1]Hypotheses '!Q$12</f>
        <v>0.1</v>
      </c>
      <c r="W70" s="225">
        <f>'[1]Hypotheses '!R$12</f>
        <v>0.1</v>
      </c>
      <c r="X70" s="225">
        <f>'[1]Hypotheses '!S$12</f>
        <v>0.1</v>
      </c>
      <c r="Y70" s="225">
        <f>'[1]Hypotheses '!T$12</f>
        <v>0.1</v>
      </c>
    </row>
    <row r="71" spans="2:25" outlineLevel="2">
      <c r="B71" s="176" t="str">
        <f t="shared" si="32"/>
        <v>F06-PV01</v>
      </c>
      <c r="C71" s="176" t="s">
        <v>127</v>
      </c>
      <c r="D71" s="181" t="s">
        <v>174</v>
      </c>
      <c r="E71" s="176" t="str">
        <f>VLOOKUP(D71,'[1]Base Produits'!$A$1:$E$40,3,FALSE)</f>
        <v>F06</v>
      </c>
      <c r="F71" s="186" t="str">
        <f>+VLOOKUP($D71,Hierarchie_PF,2,FALSE)</f>
        <v>Produits  TR_Soudé  Section 8</v>
      </c>
      <c r="G71" s="178">
        <f>VLOOKUP(D71,'[1]Base Produits'!$A$2:$P$40,16,FALSE)</f>
        <v>1999.8</v>
      </c>
      <c r="H71" s="178">
        <f t="shared" si="33"/>
        <v>2199.7800000000002</v>
      </c>
      <c r="I71" s="178">
        <f t="shared" si="33"/>
        <v>2419.7580000000003</v>
      </c>
      <c r="J71" s="178">
        <f t="shared" si="33"/>
        <v>2661.7338000000004</v>
      </c>
      <c r="K71" s="178">
        <f t="shared" si="33"/>
        <v>2927.9071800000006</v>
      </c>
      <c r="L71" s="178">
        <f t="shared" si="34"/>
        <v>2927.9071800000006</v>
      </c>
      <c r="M71" s="178">
        <f t="shared" si="34"/>
        <v>2927.9071800000006</v>
      </c>
      <c r="N71" s="178">
        <f t="shared" si="34"/>
        <v>2927.9071800000006</v>
      </c>
      <c r="O71" s="178">
        <f t="shared" si="34"/>
        <v>2927.9071800000006</v>
      </c>
      <c r="P71" s="182">
        <f t="shared" si="34"/>
        <v>2927.9071800000006</v>
      </c>
      <c r="Q71" s="182">
        <f t="shared" si="34"/>
        <v>2927.9071800000006</v>
      </c>
      <c r="R71" s="182">
        <f t="shared" si="34"/>
        <v>2927.9071800000006</v>
      </c>
      <c r="S71" s="192">
        <f>SUMPRODUCT(G71:R71,G$77:R$77)/$S$77</f>
        <v>2727.8545205999999</v>
      </c>
      <c r="U71" s="182"/>
      <c r="V71" s="225">
        <f>'[1]Hypotheses '!Q$12</f>
        <v>0.1</v>
      </c>
      <c r="W71" s="225">
        <f>'[1]Hypotheses '!R$12</f>
        <v>0.1</v>
      </c>
      <c r="X71" s="225">
        <f>'[1]Hypotheses '!S$12</f>
        <v>0.1</v>
      </c>
      <c r="Y71" s="225">
        <f>'[1]Hypotheses '!T$12</f>
        <v>0.1</v>
      </c>
    </row>
    <row r="72" spans="2:25" outlineLevel="2">
      <c r="B72" s="181"/>
      <c r="C72" s="181"/>
      <c r="D72" s="181"/>
      <c r="E72" s="181"/>
      <c r="F72" s="181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75"/>
      <c r="U72" s="182"/>
      <c r="V72" s="182"/>
      <c r="W72" s="182"/>
      <c r="X72" s="182"/>
      <c r="Y72" s="182"/>
    </row>
    <row r="73" spans="2:25" s="180" customFormat="1" ht="30.65" customHeight="1" outlineLevel="1" thickBot="1">
      <c r="B73" s="187"/>
      <c r="C73" s="187"/>
      <c r="D73" s="187" t="str">
        <f>VLOOKUP(D68,Hierarchie_PF,3,FALSE)</f>
        <v>F06</v>
      </c>
      <c r="E73" s="187"/>
      <c r="F73" s="187" t="str">
        <f>VLOOKUP(D68,Hierarchie_PF,4,FALSE)</f>
        <v>Treillis Soudé</v>
      </c>
      <c r="G73" s="188">
        <f>AVERAGE(G67:G72)</f>
        <v>1999.8</v>
      </c>
      <c r="H73" s="188">
        <f t="shared" ref="H73:R73" si="35">AVERAGE(H67:H72)</f>
        <v>2199.7800000000002</v>
      </c>
      <c r="I73" s="188">
        <f t="shared" si="35"/>
        <v>2419.7580000000003</v>
      </c>
      <c r="J73" s="188">
        <f t="shared" si="35"/>
        <v>2661.7338000000004</v>
      </c>
      <c r="K73" s="188">
        <f t="shared" si="35"/>
        <v>2927.9071800000006</v>
      </c>
      <c r="L73" s="188">
        <f t="shared" si="35"/>
        <v>2927.9071800000006</v>
      </c>
      <c r="M73" s="188">
        <f t="shared" si="35"/>
        <v>2927.9071800000006</v>
      </c>
      <c r="N73" s="188">
        <f t="shared" si="35"/>
        <v>2927.9071800000006</v>
      </c>
      <c r="O73" s="188">
        <f t="shared" si="35"/>
        <v>2927.9071800000006</v>
      </c>
      <c r="P73" s="189">
        <f t="shared" si="35"/>
        <v>2927.9071800000006</v>
      </c>
      <c r="Q73" s="189">
        <f t="shared" si="35"/>
        <v>2927.9071800000006</v>
      </c>
      <c r="R73" s="189">
        <f t="shared" si="35"/>
        <v>2927.9071800000006</v>
      </c>
      <c r="S73" s="190">
        <f>SUMPRODUCT(G73:R73,G$77:R$77)/$S$77</f>
        <v>2727.8545205999999</v>
      </c>
      <c r="U73" s="188"/>
      <c r="V73" s="188"/>
      <c r="W73" s="188"/>
      <c r="X73" s="188"/>
      <c r="Y73" s="188"/>
    </row>
    <row r="74" spans="2:25" ht="13.5" outlineLevel="1" thickTop="1">
      <c r="B74" s="173"/>
      <c r="C74" s="173"/>
      <c r="D74" s="173"/>
      <c r="E74" s="173"/>
      <c r="F74" s="173"/>
      <c r="G74" s="174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174"/>
      <c r="S74" s="175"/>
      <c r="U74" s="174"/>
      <c r="V74" s="174"/>
      <c r="W74" s="174"/>
      <c r="X74" s="174"/>
      <c r="Y74" s="174"/>
    </row>
    <row r="75" spans="2:25" s="180" customFormat="1" ht="25.9" customHeight="1" outlineLevel="1" thickBot="1">
      <c r="B75" s="193"/>
      <c r="C75" s="193"/>
      <c r="D75" s="193"/>
      <c r="E75" s="193"/>
      <c r="F75" s="193" t="s">
        <v>175</v>
      </c>
      <c r="G75" s="194">
        <f>AVERAGE(G73,G66,G59,G43,G31)</f>
        <v>1751.0258023694246</v>
      </c>
      <c r="H75" s="194">
        <f t="shared" ref="H75:K75" si="36">AVERAGE(H73,H66,H59,H43,H31)</f>
        <v>1912.6308101120853</v>
      </c>
      <c r="I75" s="194">
        <f t="shared" si="36"/>
        <v>2057.7572963596167</v>
      </c>
      <c r="J75" s="194">
        <f t="shared" si="36"/>
        <v>2253.7760151933398</v>
      </c>
      <c r="K75" s="194">
        <f t="shared" si="36"/>
        <v>2451.1775179304964</v>
      </c>
      <c r="L75" s="194">
        <f t="shared" ref="L75:R75" si="37">SUM(L73,L66,L59,L43,L31)</f>
        <v>14942.664773310118</v>
      </c>
      <c r="M75" s="194">
        <f t="shared" si="37"/>
        <v>14957.119276945417</v>
      </c>
      <c r="N75" s="194">
        <f t="shared" si="37"/>
        <v>15016.070242823469</v>
      </c>
      <c r="O75" s="194">
        <f t="shared" si="37"/>
        <v>15073.529162467232</v>
      </c>
      <c r="P75" s="194">
        <f t="shared" si="37"/>
        <v>14998.780753601195</v>
      </c>
      <c r="Q75" s="194">
        <f t="shared" si="37"/>
        <v>14998.780753601195</v>
      </c>
      <c r="R75" s="194">
        <f t="shared" si="37"/>
        <v>14998.780753601195</v>
      </c>
      <c r="S75" s="195">
        <f>SUMPRODUCT(G75:R75,G$77:R$77)/$S$77</f>
        <v>9619.4146571473102</v>
      </c>
      <c r="U75" s="194"/>
      <c r="V75" s="194"/>
      <c r="W75" s="194"/>
      <c r="X75" s="194"/>
      <c r="Y75" s="194"/>
    </row>
    <row r="76" spans="2:25" ht="13.5" thickTop="1">
      <c r="H76" s="227"/>
      <c r="I76" s="227"/>
      <c r="J76" s="227"/>
      <c r="K76" s="227"/>
      <c r="L76" s="227"/>
      <c r="M76" s="227"/>
      <c r="N76" s="227"/>
      <c r="O76" s="227"/>
    </row>
    <row r="77" spans="2:25" s="201" customFormat="1" ht="25.9" customHeight="1" thickBot="1">
      <c r="B77" s="196"/>
      <c r="C77" s="196"/>
      <c r="D77" s="196"/>
      <c r="E77" s="196"/>
      <c r="F77" s="197" t="s">
        <v>176</v>
      </c>
      <c r="G77" s="198">
        <v>26</v>
      </c>
      <c r="H77" s="198">
        <v>22</v>
      </c>
      <c r="I77" s="198">
        <v>26</v>
      </c>
      <c r="J77" s="198">
        <v>25</v>
      </c>
      <c r="K77" s="198">
        <v>26</v>
      </c>
      <c r="L77" s="198">
        <v>25</v>
      </c>
      <c r="M77" s="198">
        <v>25</v>
      </c>
      <c r="N77" s="198">
        <v>25</v>
      </c>
      <c r="O77" s="198">
        <v>25</v>
      </c>
      <c r="P77" s="199">
        <v>25</v>
      </c>
      <c r="Q77" s="199">
        <v>25</v>
      </c>
      <c r="R77" s="199">
        <v>25</v>
      </c>
      <c r="S77" s="200">
        <f>SUM(G77:R77)</f>
        <v>300</v>
      </c>
    </row>
    <row r="78" spans="2:25" ht="13.5" thickTop="1">
      <c r="G78" s="202"/>
      <c r="H78" s="202"/>
      <c r="I78" s="202"/>
      <c r="J78" s="202"/>
      <c r="K78" s="202"/>
      <c r="L78" s="202"/>
      <c r="M78" s="202"/>
      <c r="N78" s="202"/>
      <c r="O78" s="202"/>
    </row>
    <row r="79" spans="2:25" s="172" customFormat="1" ht="18.75" customHeight="1" thickBot="1">
      <c r="B79" s="203"/>
      <c r="C79" s="203"/>
      <c r="D79" s="203" t="s">
        <v>184</v>
      </c>
      <c r="E79" s="203"/>
      <c r="F79" s="204"/>
      <c r="G79" s="205">
        <v>2019</v>
      </c>
      <c r="H79" s="205">
        <v>2020</v>
      </c>
      <c r="I79" s="205">
        <v>2021</v>
      </c>
      <c r="J79" s="205">
        <v>2022</v>
      </c>
      <c r="K79" s="205">
        <v>2023</v>
      </c>
      <c r="L79" s="205"/>
      <c r="M79" s="205"/>
      <c r="N79" s="205"/>
      <c r="O79" s="205"/>
      <c r="P79" s="206"/>
      <c r="Q79" s="206"/>
      <c r="R79" s="206"/>
      <c r="S79" s="205"/>
    </row>
    <row r="80" spans="2:25" s="172" customFormat="1" ht="33.75" customHeight="1" thickBot="1">
      <c r="B80" s="207"/>
      <c r="C80" s="207"/>
      <c r="D80" s="207" t="s">
        <v>116</v>
      </c>
      <c r="E80" s="207"/>
      <c r="F80" s="208" t="s">
        <v>117</v>
      </c>
      <c r="G80" s="209">
        <v>43101</v>
      </c>
      <c r="H80" s="209">
        <v>43132</v>
      </c>
      <c r="I80" s="209">
        <v>43160</v>
      </c>
      <c r="J80" s="209">
        <v>43191</v>
      </c>
      <c r="K80" s="209">
        <v>43221</v>
      </c>
      <c r="L80" s="209">
        <v>43252</v>
      </c>
      <c r="M80" s="209">
        <v>43282</v>
      </c>
      <c r="N80" s="209">
        <v>43313</v>
      </c>
      <c r="O80" s="209">
        <v>43344</v>
      </c>
      <c r="P80" s="170">
        <v>43374</v>
      </c>
      <c r="Q80" s="170">
        <v>43405</v>
      </c>
      <c r="R80" s="170">
        <v>43435</v>
      </c>
      <c r="S80" s="171" t="s">
        <v>64</v>
      </c>
      <c r="U80" s="171" t="s">
        <v>177</v>
      </c>
      <c r="W80" s="171" t="s">
        <v>185</v>
      </c>
      <c r="X80" s="171" t="s">
        <v>186</v>
      </c>
    </row>
    <row r="81" spans="2:25" ht="6.75" customHeight="1" thickTop="1">
      <c r="B81" s="173"/>
      <c r="C81" s="173"/>
      <c r="D81" s="173"/>
      <c r="E81" s="173"/>
      <c r="F81" s="173"/>
      <c r="G81" s="174"/>
      <c r="H81" s="174"/>
      <c r="I81" s="174"/>
      <c r="J81" s="174"/>
      <c r="K81" s="174"/>
      <c r="L81" s="174"/>
      <c r="M81" s="174"/>
      <c r="N81" s="174"/>
      <c r="O81" s="174"/>
      <c r="P81" s="174"/>
      <c r="Q81" s="174"/>
      <c r="R81" s="174"/>
      <c r="S81" s="175"/>
      <c r="U81" s="175"/>
      <c r="W81" s="175"/>
      <c r="X81" s="175"/>
    </row>
    <row r="82" spans="2:25" s="180" customFormat="1" ht="24.75" customHeight="1" outlineLevel="1" thickBot="1">
      <c r="B82" s="228"/>
      <c r="C82" s="228"/>
      <c r="D82" s="228"/>
      <c r="E82" s="228"/>
      <c r="F82" s="229" t="s">
        <v>187</v>
      </c>
      <c r="G82" s="230">
        <v>30104.058000000001</v>
      </c>
      <c r="H82" s="230">
        <v>51220.242999999929</v>
      </c>
      <c r="I82" s="230">
        <v>45483.541000000005</v>
      </c>
      <c r="J82" s="230">
        <v>46246.723000000071</v>
      </c>
      <c r="K82" s="230">
        <v>37539.818999999981</v>
      </c>
      <c r="L82" s="230">
        <v>29611.171999999984</v>
      </c>
      <c r="M82" s="230">
        <v>24992.826999999987</v>
      </c>
      <c r="N82" s="230">
        <v>24975.995000000014</v>
      </c>
      <c r="O82" s="230">
        <v>29051.337000000021</v>
      </c>
      <c r="P82" s="184">
        <f>'[1]Vente Volume'!P105*2.3</f>
        <v>42159</v>
      </c>
      <c r="Q82" s="184">
        <f>'[1]Vente Volume'!Q105*2.3</f>
        <v>42159</v>
      </c>
      <c r="R82" s="184">
        <f>'[1]Vente Volume'!R105*2.3</f>
        <v>42159</v>
      </c>
      <c r="S82" s="179">
        <f>SUM(G82:R82)</f>
        <v>445702.71499999997</v>
      </c>
      <c r="U82" s="210"/>
      <c r="V82" s="231"/>
      <c r="W82" s="210"/>
      <c r="X82" s="210"/>
    </row>
    <row r="83" spans="2:25" ht="6.75" customHeight="1" thickTop="1">
      <c r="B83" s="173"/>
      <c r="C83" s="173"/>
      <c r="D83" s="173"/>
      <c r="E83" s="173"/>
      <c r="F83" s="173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5"/>
      <c r="U83" s="210"/>
      <c r="W83" s="210"/>
      <c r="X83" s="210"/>
    </row>
    <row r="84" spans="2:25" s="180" customFormat="1" ht="13.15" customHeight="1" outlineLevel="1">
      <c r="B84" s="176" t="str">
        <f t="shared" ref="B84:B91" si="38">$E84&amp;"-"&amp;$C84</f>
        <v>F01-CA01</v>
      </c>
      <c r="C84" s="176" t="s">
        <v>188</v>
      </c>
      <c r="D84" s="176" t="s">
        <v>118</v>
      </c>
      <c r="E84" s="176" t="str">
        <f>VLOOKUP(D84,'[1]Base Produits'!$A$1:$E$40,3,FALSE)</f>
        <v>F01</v>
      </c>
      <c r="F84" s="177" t="str">
        <f t="shared" ref="F84:F91" si="39">+VLOOKUP($D84,Hierarchie_PF,2,FALSE)</f>
        <v>D08 RB500</v>
      </c>
      <c r="G84" s="232">
        <v>2079876.9850000015</v>
      </c>
      <c r="H84" s="232">
        <v>3854778.791999999</v>
      </c>
      <c r="I84" s="232">
        <v>4093247.6110000014</v>
      </c>
      <c r="J84" s="232">
        <v>2576891.554</v>
      </c>
      <c r="K84" s="232">
        <v>480541.91300000012</v>
      </c>
      <c r="L84" s="232">
        <v>1683426.5079999994</v>
      </c>
      <c r="M84" s="232">
        <v>1548412.2930000003</v>
      </c>
      <c r="N84" s="232">
        <v>2400676.7729999986</v>
      </c>
      <c r="O84" s="232">
        <v>2419763.9009999991</v>
      </c>
      <c r="P84" s="178">
        <v>5204073.875</v>
      </c>
      <c r="Q84" s="178">
        <v>5204073.8750000009</v>
      </c>
      <c r="R84" s="178">
        <v>5204073.8750000009</v>
      </c>
      <c r="S84" s="179">
        <f>SUM(G84:R84)</f>
        <v>36749837.955000006</v>
      </c>
      <c r="U84" s="210">
        <f>S84/$S$106</f>
        <v>0.1160508786134298</v>
      </c>
      <c r="V84" s="231"/>
      <c r="W84" s="210"/>
      <c r="X84" s="210"/>
    </row>
    <row r="85" spans="2:25" s="180" customFormat="1" ht="13.15" customHeight="1" outlineLevel="1">
      <c r="B85" s="176" t="str">
        <f t="shared" si="38"/>
        <v>F01-CA01</v>
      </c>
      <c r="C85" s="176" t="s">
        <v>188</v>
      </c>
      <c r="D85" s="176" t="s">
        <v>119</v>
      </c>
      <c r="E85" s="176" t="str">
        <f>VLOOKUP(D85,'[1]Base Produits'!$A$1:$E$40,3,FALSE)</f>
        <v>F01</v>
      </c>
      <c r="F85" s="177" t="str">
        <f t="shared" si="39"/>
        <v>D10 RB500</v>
      </c>
      <c r="G85" s="232">
        <v>17910.956000000002</v>
      </c>
      <c r="H85" s="232">
        <v>11200367.492000006</v>
      </c>
      <c r="I85" s="232">
        <v>11361959.911999999</v>
      </c>
      <c r="J85" s="232">
        <v>5901570.0389999989</v>
      </c>
      <c r="K85" s="232">
        <v>5939805.7749999985</v>
      </c>
      <c r="L85" s="232">
        <v>5351609.9130000006</v>
      </c>
      <c r="M85" s="232">
        <v>3136826.078999999</v>
      </c>
      <c r="N85" s="232">
        <v>4016380.014</v>
      </c>
      <c r="O85" s="232">
        <v>3956694.5939999991</v>
      </c>
      <c r="P85" s="178">
        <v>6391217.3324999996</v>
      </c>
      <c r="Q85" s="178">
        <v>6391217.3324999996</v>
      </c>
      <c r="R85" s="178">
        <v>6391217.3324999996</v>
      </c>
      <c r="S85" s="179">
        <f t="shared" ref="S85:S91" si="40">SUM(G85:R85)</f>
        <v>70056776.771499991</v>
      </c>
      <c r="U85" s="210">
        <f t="shared" ref="U85:U91" si="41">S85/$S$106</f>
        <v>0.22122956044358136</v>
      </c>
      <c r="V85" s="231"/>
      <c r="W85" s="210"/>
      <c r="X85" s="210"/>
    </row>
    <row r="86" spans="2:25" s="180" customFormat="1" ht="13.15" customHeight="1" outlineLevel="1">
      <c r="B86" s="176" t="str">
        <f t="shared" si="38"/>
        <v>F01-CA01</v>
      </c>
      <c r="C86" s="176" t="s">
        <v>188</v>
      </c>
      <c r="D86" s="176" t="s">
        <v>120</v>
      </c>
      <c r="E86" s="176" t="str">
        <f>VLOOKUP(D86,'[1]Base Produits'!$A$1:$E$40,3,FALSE)</f>
        <v>F01</v>
      </c>
      <c r="F86" s="177" t="str">
        <f t="shared" si="39"/>
        <v>D12 RB500</v>
      </c>
      <c r="G86" s="232">
        <v>0</v>
      </c>
      <c r="H86" s="232">
        <v>8702223.0020000059</v>
      </c>
      <c r="I86" s="232">
        <v>9437701.2469999902</v>
      </c>
      <c r="J86" s="232">
        <v>10434174.918000009</v>
      </c>
      <c r="K86" s="232">
        <v>7986661.7889999971</v>
      </c>
      <c r="L86" s="232">
        <v>5150451.5439999998</v>
      </c>
      <c r="M86" s="232">
        <v>2401383.1630000006</v>
      </c>
      <c r="N86" s="232">
        <v>2034774.2370000002</v>
      </c>
      <c r="O86" s="232">
        <v>5887858.3220000025</v>
      </c>
      <c r="P86" s="178">
        <v>5237136.5046000006</v>
      </c>
      <c r="Q86" s="178">
        <v>5237136.5046000006</v>
      </c>
      <c r="R86" s="178">
        <v>5237136.5046000006</v>
      </c>
      <c r="S86" s="179">
        <f t="shared" si="40"/>
        <v>67746637.735800013</v>
      </c>
      <c r="U86" s="210">
        <f t="shared" si="41"/>
        <v>0.2139344625674916</v>
      </c>
      <c r="V86" s="231"/>
      <c r="W86" s="210"/>
      <c r="X86" s="210"/>
    </row>
    <row r="87" spans="2:25" s="180" customFormat="1" ht="13.15" customHeight="1" outlineLevel="1">
      <c r="B87" s="176" t="str">
        <f t="shared" si="38"/>
        <v>F01-CA01</v>
      </c>
      <c r="C87" s="176" t="s">
        <v>188</v>
      </c>
      <c r="D87" s="176" t="s">
        <v>121</v>
      </c>
      <c r="E87" s="176" t="str">
        <f>VLOOKUP(D87,'[1]Base Produits'!$A$1:$E$40,3,FALSE)</f>
        <v>F01</v>
      </c>
      <c r="F87" s="177" t="str">
        <f t="shared" si="39"/>
        <v>D14 RB500</v>
      </c>
      <c r="G87" s="232">
        <v>4241984.3009999981</v>
      </c>
      <c r="H87" s="232">
        <v>6994232.6330000004</v>
      </c>
      <c r="I87" s="232">
        <v>602112.11699999997</v>
      </c>
      <c r="J87" s="232">
        <v>2542602.0649999995</v>
      </c>
      <c r="K87" s="232">
        <v>3126086.5389999994</v>
      </c>
      <c r="L87" s="232">
        <v>1492765.4339999997</v>
      </c>
      <c r="M87" s="232">
        <v>1471187.0649999999</v>
      </c>
      <c r="N87" s="232">
        <v>1571491.3330000003</v>
      </c>
      <c r="O87" s="232">
        <v>2819846.8890000018</v>
      </c>
      <c r="P87" s="178">
        <v>2811659.6508000004</v>
      </c>
      <c r="Q87" s="178">
        <v>2811659.6508000004</v>
      </c>
      <c r="R87" s="178">
        <v>2811659.6508000004</v>
      </c>
      <c r="S87" s="179">
        <f t="shared" si="40"/>
        <v>33297287.328400005</v>
      </c>
      <c r="U87" s="210">
        <f t="shared" si="41"/>
        <v>0.10514820377266186</v>
      </c>
      <c r="V87" s="231"/>
      <c r="W87" s="210"/>
      <c r="X87" s="210"/>
    </row>
    <row r="88" spans="2:25" s="180" customFormat="1" ht="13.15" customHeight="1" outlineLevel="1">
      <c r="B88" s="176" t="str">
        <f t="shared" si="38"/>
        <v>F01-CA01</v>
      </c>
      <c r="C88" s="176" t="s">
        <v>188</v>
      </c>
      <c r="D88" s="176" t="s">
        <v>122</v>
      </c>
      <c r="E88" s="176" t="str">
        <f>VLOOKUP(D88,'[1]Base Produits'!$A$1:$E$40,3,FALSE)</f>
        <v>F01</v>
      </c>
      <c r="F88" s="177" t="str">
        <f t="shared" si="39"/>
        <v>D16 RB500</v>
      </c>
      <c r="G88" s="232">
        <v>1190016.3139999991</v>
      </c>
      <c r="H88" s="232">
        <v>2760.0520000000001</v>
      </c>
      <c r="I88" s="232">
        <v>0</v>
      </c>
      <c r="J88" s="232">
        <v>1057087.4000000004</v>
      </c>
      <c r="K88" s="232">
        <v>1358757.3269999996</v>
      </c>
      <c r="L88" s="232">
        <v>1034472.885</v>
      </c>
      <c r="M88" s="232">
        <v>52354.534</v>
      </c>
      <c r="N88" s="232">
        <v>573687.47499999998</v>
      </c>
      <c r="O88" s="232">
        <v>1345293.811</v>
      </c>
      <c r="P88" s="178">
        <v>1722774.1531000002</v>
      </c>
      <c r="Q88" s="178">
        <v>1722774.1531000002</v>
      </c>
      <c r="R88" s="178">
        <v>1722774.1531000002</v>
      </c>
      <c r="S88" s="179">
        <f t="shared" si="40"/>
        <v>11782752.257300001</v>
      </c>
      <c r="U88" s="210">
        <f t="shared" si="41"/>
        <v>3.7208293370392859E-2</v>
      </c>
      <c r="V88" s="231"/>
      <c r="W88" s="210"/>
      <c r="X88" s="210"/>
    </row>
    <row r="89" spans="2:25" s="180" customFormat="1" ht="13.15" customHeight="1" outlineLevel="1">
      <c r="B89" s="176" t="str">
        <f t="shared" si="38"/>
        <v>F01-CA01</v>
      </c>
      <c r="C89" s="176" t="s">
        <v>188</v>
      </c>
      <c r="D89" s="176" t="s">
        <v>123</v>
      </c>
      <c r="E89" s="176" t="str">
        <f>VLOOKUP(D89,'[1]Base Produits'!$A$1:$E$40,3,FALSE)</f>
        <v>F01</v>
      </c>
      <c r="F89" s="177" t="str">
        <f t="shared" si="39"/>
        <v>D20 RB500</v>
      </c>
      <c r="G89" s="232">
        <v>0</v>
      </c>
      <c r="H89" s="232">
        <v>0</v>
      </c>
      <c r="I89" s="232">
        <v>0</v>
      </c>
      <c r="J89" s="232">
        <v>0</v>
      </c>
      <c r="K89" s="232">
        <v>0</v>
      </c>
      <c r="L89" s="232">
        <v>0</v>
      </c>
      <c r="M89" s="232">
        <v>0</v>
      </c>
      <c r="N89" s="232">
        <v>0</v>
      </c>
      <c r="O89" s="232">
        <v>0</v>
      </c>
      <c r="P89" s="178">
        <v>724306.88329999999</v>
      </c>
      <c r="Q89" s="178">
        <v>724306.88329999999</v>
      </c>
      <c r="R89" s="178">
        <v>724306.88329999999</v>
      </c>
      <c r="S89" s="179">
        <f t="shared" si="40"/>
        <v>2172920.6499000001</v>
      </c>
      <c r="U89" s="210">
        <f t="shared" si="41"/>
        <v>6.861781292394814E-3</v>
      </c>
      <c r="V89" s="231"/>
      <c r="W89" s="210"/>
      <c r="X89" s="210"/>
    </row>
    <row r="90" spans="2:25" s="180" customFormat="1" ht="13.15" customHeight="1" outlineLevel="1">
      <c r="B90" s="176" t="str">
        <f t="shared" si="38"/>
        <v>F01-CA01</v>
      </c>
      <c r="C90" s="176" t="s">
        <v>188</v>
      </c>
      <c r="D90" s="176" t="s">
        <v>124</v>
      </c>
      <c r="E90" s="176" t="str">
        <f>VLOOKUP(D90,'[1]Base Produits'!$A$1:$E$40,3,FALSE)</f>
        <v>F01</v>
      </c>
      <c r="F90" s="177" t="str">
        <f t="shared" si="39"/>
        <v>D25 RB500</v>
      </c>
      <c r="G90" s="232">
        <v>386359.10800000001</v>
      </c>
      <c r="H90" s="232">
        <v>0</v>
      </c>
      <c r="I90" s="232">
        <v>0</v>
      </c>
      <c r="J90" s="232">
        <v>0</v>
      </c>
      <c r="K90" s="232">
        <v>0</v>
      </c>
      <c r="L90" s="232">
        <v>0</v>
      </c>
      <c r="M90" s="232">
        <v>0</v>
      </c>
      <c r="N90" s="232">
        <v>0</v>
      </c>
      <c r="O90" s="232">
        <v>0</v>
      </c>
      <c r="P90" s="178">
        <v>722361.79015000013</v>
      </c>
      <c r="Q90" s="178">
        <v>722361.79015000013</v>
      </c>
      <c r="R90" s="178">
        <v>722361.79015000013</v>
      </c>
      <c r="S90" s="179">
        <f t="shared" si="40"/>
        <v>2553444.4784500008</v>
      </c>
      <c r="U90" s="210">
        <f t="shared" si="41"/>
        <v>8.0634226354300547E-3</v>
      </c>
      <c r="V90" s="231"/>
      <c r="W90" s="210"/>
      <c r="X90" s="210"/>
    </row>
    <row r="91" spans="2:25" s="180" customFormat="1" ht="13.15" customHeight="1" outlineLevel="1">
      <c r="B91" s="176" t="str">
        <f t="shared" si="38"/>
        <v>F01-CA01</v>
      </c>
      <c r="C91" s="176" t="s">
        <v>188</v>
      </c>
      <c r="D91" s="176" t="s">
        <v>125</v>
      </c>
      <c r="E91" s="176" t="str">
        <f>VLOOKUP(D91,'[1]Base Produits'!$A$1:$E$40,3,FALSE)</f>
        <v>F01</v>
      </c>
      <c r="F91" s="177" t="str">
        <f t="shared" si="39"/>
        <v>D32 RB500</v>
      </c>
      <c r="G91" s="232">
        <v>0</v>
      </c>
      <c r="H91" s="232">
        <v>0</v>
      </c>
      <c r="I91" s="232">
        <v>0</v>
      </c>
      <c r="J91" s="232">
        <v>0</v>
      </c>
      <c r="K91" s="232">
        <v>0</v>
      </c>
      <c r="L91" s="232">
        <v>0</v>
      </c>
      <c r="M91" s="232">
        <v>0</v>
      </c>
      <c r="N91" s="232">
        <v>0</v>
      </c>
      <c r="O91" s="232">
        <v>0</v>
      </c>
      <c r="P91" s="178">
        <v>392260.86900000001</v>
      </c>
      <c r="Q91" s="178">
        <v>392260.86900000001</v>
      </c>
      <c r="R91" s="178">
        <v>392260.86900000001</v>
      </c>
      <c r="S91" s="179">
        <f t="shared" si="40"/>
        <v>1176782.6070000001</v>
      </c>
      <c r="U91" s="210">
        <f t="shared" si="41"/>
        <v>3.7161158546216632E-3</v>
      </c>
      <c r="V91" s="231"/>
      <c r="W91" s="210"/>
      <c r="X91" s="210"/>
    </row>
    <row r="92" spans="2:25" ht="6.75" customHeight="1" outlineLevel="1">
      <c r="B92" s="181"/>
      <c r="C92" s="181"/>
      <c r="D92" s="181"/>
      <c r="E92" s="181"/>
      <c r="F92" s="181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75"/>
      <c r="U92" s="175"/>
      <c r="V92" s="231"/>
      <c r="W92" s="175"/>
      <c r="X92" s="175"/>
    </row>
    <row r="93" spans="2:25" s="180" customFormat="1" ht="28.9" customHeight="1" thickBot="1">
      <c r="B93" s="183"/>
      <c r="C93" s="183"/>
      <c r="D93" s="183" t="str">
        <f>VLOOKUP(D84,Hierarchie_PF,3,FALSE)</f>
        <v>F01</v>
      </c>
      <c r="E93" s="183"/>
      <c r="F93" s="183" t="str">
        <f>VLOOKUP(D84,Hierarchie_PF,4,FALSE)</f>
        <v>Rond à Beton en Barre</v>
      </c>
      <c r="G93" s="230">
        <f>SUM(G84:G91)</f>
        <v>7916147.6639999989</v>
      </c>
      <c r="H93" s="230">
        <f t="shared" ref="H93:R93" si="42">SUM(H84:H91)</f>
        <v>30754361.971000016</v>
      </c>
      <c r="I93" s="230">
        <f t="shared" si="42"/>
        <v>25495020.886999987</v>
      </c>
      <c r="J93" s="230">
        <f t="shared" si="42"/>
        <v>22512325.976000004</v>
      </c>
      <c r="K93" s="230">
        <f t="shared" si="42"/>
        <v>18891853.342999995</v>
      </c>
      <c r="L93" s="230">
        <f t="shared" si="42"/>
        <v>14712726.284</v>
      </c>
      <c r="M93" s="230">
        <f t="shared" si="42"/>
        <v>8610163.1339999996</v>
      </c>
      <c r="N93" s="230">
        <f t="shared" si="42"/>
        <v>10597009.831999999</v>
      </c>
      <c r="O93" s="230">
        <f t="shared" si="42"/>
        <v>16429457.517000005</v>
      </c>
      <c r="P93" s="184">
        <f t="shared" si="42"/>
        <v>23205791.058449998</v>
      </c>
      <c r="Q93" s="184">
        <f t="shared" si="42"/>
        <v>23205791.058449998</v>
      </c>
      <c r="R93" s="184">
        <f t="shared" si="42"/>
        <v>23205791.058449998</v>
      </c>
      <c r="S93" s="185">
        <f>SUM(G93:R93)</f>
        <v>225536439.78334993</v>
      </c>
      <c r="U93" s="211">
        <f>SUM(U84:U91)</f>
        <v>0.7122127185500039</v>
      </c>
      <c r="V93" s="231"/>
      <c r="W93" s="211"/>
      <c r="X93" s="211"/>
      <c r="Y93" s="233"/>
    </row>
    <row r="94" spans="2:25" ht="6.75" customHeight="1" thickTop="1">
      <c r="B94" s="173"/>
      <c r="C94" s="173"/>
      <c r="D94" s="173"/>
      <c r="E94" s="173"/>
      <c r="F94" s="173"/>
      <c r="G94" s="182"/>
      <c r="H94" s="174"/>
      <c r="I94" s="174"/>
      <c r="J94" s="174"/>
      <c r="K94" s="174"/>
      <c r="L94" s="174"/>
      <c r="M94" s="174"/>
      <c r="N94" s="174"/>
      <c r="O94" s="174"/>
      <c r="P94" s="174"/>
      <c r="Q94" s="174"/>
      <c r="R94" s="174"/>
      <c r="S94" s="175"/>
      <c r="U94" s="212"/>
      <c r="V94" s="231"/>
      <c r="W94" s="212"/>
      <c r="X94" s="212"/>
    </row>
    <row r="95" spans="2:25" outlineLevel="1">
      <c r="B95" s="176" t="s">
        <v>126</v>
      </c>
      <c r="C95" s="176" t="s">
        <v>127</v>
      </c>
      <c r="D95" s="181" t="s">
        <v>128</v>
      </c>
      <c r="E95" s="176" t="s">
        <v>129</v>
      </c>
      <c r="F95" s="224" t="s">
        <v>130</v>
      </c>
      <c r="G95" s="232">
        <v>10847580.740000004</v>
      </c>
      <c r="H95" s="232">
        <v>3969656.3999999994</v>
      </c>
      <c r="I95" s="232">
        <v>6099241.299999998</v>
      </c>
      <c r="J95" s="232">
        <v>2220301.9999999995</v>
      </c>
      <c r="K95" s="232">
        <v>59681.9</v>
      </c>
      <c r="L95" s="232">
        <v>725472.00000000012</v>
      </c>
      <c r="M95" s="232">
        <v>6371535.6000000043</v>
      </c>
      <c r="N95" s="232">
        <v>7200559.7999999998</v>
      </c>
      <c r="O95" s="232">
        <v>4653006.2999999989</v>
      </c>
      <c r="P95" s="178">
        <v>3391666.6666666665</v>
      </c>
      <c r="Q95" s="178">
        <v>3391666.6666666665</v>
      </c>
      <c r="R95" s="178">
        <v>3391666.6666666665</v>
      </c>
      <c r="S95" s="192">
        <f>SUM(G95:R95)</f>
        <v>52322036.039999992</v>
      </c>
      <c r="U95" s="212">
        <f>S95/$S$106</f>
        <v>0.16522571502820488</v>
      </c>
      <c r="V95" s="231"/>
      <c r="W95" s="212"/>
      <c r="X95" s="212"/>
    </row>
    <row r="96" spans="2:25" outlineLevel="1">
      <c r="B96" s="176" t="s">
        <v>126</v>
      </c>
      <c r="C96" s="176" t="s">
        <v>127</v>
      </c>
      <c r="D96" s="181" t="s">
        <v>131</v>
      </c>
      <c r="E96" s="176" t="s">
        <v>129</v>
      </c>
      <c r="F96" s="224" t="s">
        <v>132</v>
      </c>
      <c r="G96" s="232">
        <v>17505.599999999999</v>
      </c>
      <c r="H96" s="232">
        <v>0</v>
      </c>
      <c r="I96" s="232">
        <v>23949.599999999999</v>
      </c>
      <c r="J96" s="232">
        <v>224797.8</v>
      </c>
      <c r="K96" s="232">
        <v>0</v>
      </c>
      <c r="L96" s="232">
        <v>0</v>
      </c>
      <c r="M96" s="232">
        <v>0</v>
      </c>
      <c r="N96" s="232">
        <v>0</v>
      </c>
      <c r="O96" s="232">
        <v>0</v>
      </c>
      <c r="P96" s="178">
        <v>1967166.6666666665</v>
      </c>
      <c r="Q96" s="178">
        <v>1967166.6666666665</v>
      </c>
      <c r="R96" s="178">
        <v>1967166.6666666665</v>
      </c>
      <c r="S96" s="192">
        <f t="shared" ref="S96:S102" si="43">SUM(G96:R96)</f>
        <v>6167753</v>
      </c>
      <c r="U96" s="212">
        <f t="shared" ref="U96:U102" si="44">S96/$S$108</f>
        <v>1.9449531839649498E-2</v>
      </c>
      <c r="V96" s="231"/>
      <c r="W96" s="212"/>
      <c r="X96" s="212"/>
    </row>
    <row r="97" spans="2:25" outlineLevel="1">
      <c r="B97" s="176" t="s">
        <v>126</v>
      </c>
      <c r="C97" s="176" t="s">
        <v>127</v>
      </c>
      <c r="D97" s="181" t="s">
        <v>133</v>
      </c>
      <c r="E97" s="176" t="s">
        <v>129</v>
      </c>
      <c r="F97" s="224" t="s">
        <v>134</v>
      </c>
      <c r="G97" s="232">
        <v>0</v>
      </c>
      <c r="H97" s="232">
        <v>0</v>
      </c>
      <c r="I97" s="232">
        <v>0</v>
      </c>
      <c r="J97" s="232">
        <v>5571657.2499999963</v>
      </c>
      <c r="K97" s="232">
        <v>5842584.700000003</v>
      </c>
      <c r="L97" s="232">
        <v>5049725.1000000024</v>
      </c>
      <c r="M97" s="232">
        <v>3247629.5999999996</v>
      </c>
      <c r="N97" s="232">
        <v>575042.4</v>
      </c>
      <c r="O97" s="232">
        <v>1010835.0000000003</v>
      </c>
      <c r="P97" s="178">
        <v>0</v>
      </c>
      <c r="Q97" s="178">
        <v>0</v>
      </c>
      <c r="R97" s="178">
        <v>0</v>
      </c>
      <c r="S97" s="192">
        <f t="shared" si="43"/>
        <v>21297474.049999997</v>
      </c>
      <c r="U97" s="212">
        <f t="shared" si="44"/>
        <v>6.7159936469502579E-2</v>
      </c>
      <c r="V97" s="231"/>
      <c r="W97" s="212"/>
      <c r="X97" s="212"/>
    </row>
    <row r="98" spans="2:25" outlineLevel="1">
      <c r="B98" s="176" t="s">
        <v>136</v>
      </c>
      <c r="C98" s="176" t="s">
        <v>137</v>
      </c>
      <c r="D98" s="181" t="s">
        <v>138</v>
      </c>
      <c r="E98" s="176" t="s">
        <v>129</v>
      </c>
      <c r="F98" s="224" t="s">
        <v>135</v>
      </c>
      <c r="G98" s="232">
        <v>1765644.1869999995</v>
      </c>
      <c r="H98" s="232">
        <v>536011.18700000003</v>
      </c>
      <c r="I98" s="232">
        <v>607.58199999999999</v>
      </c>
      <c r="J98" s="232">
        <v>1637110.9510000001</v>
      </c>
      <c r="K98" s="232">
        <v>748867.04900000012</v>
      </c>
      <c r="L98" s="232">
        <v>0</v>
      </c>
      <c r="M98" s="232">
        <v>0</v>
      </c>
      <c r="N98" s="232">
        <v>0</v>
      </c>
      <c r="O98" s="232">
        <v>0</v>
      </c>
      <c r="P98" s="178">
        <v>1816667.0121600002</v>
      </c>
      <c r="Q98" s="178">
        <v>1816667.0121600002</v>
      </c>
      <c r="R98" s="178">
        <v>1816667.0121600002</v>
      </c>
      <c r="S98" s="192">
        <f t="shared" si="43"/>
        <v>10138241.99248</v>
      </c>
      <c r="U98" s="212">
        <f t="shared" si="44"/>
        <v>3.1970161650573772E-2</v>
      </c>
      <c r="V98" s="231"/>
      <c r="W98" s="212"/>
      <c r="X98" s="212"/>
    </row>
    <row r="99" spans="2:25" outlineLevel="1">
      <c r="B99" s="176" t="s">
        <v>181</v>
      </c>
      <c r="C99" s="176" t="s">
        <v>182</v>
      </c>
      <c r="D99" s="181" t="s">
        <v>183</v>
      </c>
      <c r="E99" s="176" t="s">
        <v>129</v>
      </c>
      <c r="F99" s="224" t="s">
        <v>139</v>
      </c>
      <c r="G99" s="232">
        <v>0</v>
      </c>
      <c r="H99" s="232">
        <v>0</v>
      </c>
      <c r="I99" s="232">
        <v>0</v>
      </c>
      <c r="J99" s="232">
        <v>0</v>
      </c>
      <c r="K99" s="232">
        <v>0</v>
      </c>
      <c r="L99" s="232">
        <v>0</v>
      </c>
      <c r="M99" s="232">
        <v>0</v>
      </c>
      <c r="N99" s="232">
        <v>0</v>
      </c>
      <c r="O99" s="232">
        <v>0</v>
      </c>
      <c r="P99" s="178">
        <v>0</v>
      </c>
      <c r="Q99" s="178">
        <v>0</v>
      </c>
      <c r="R99" s="178">
        <v>0</v>
      </c>
      <c r="S99" s="192">
        <f>SUM(G99:R99)</f>
        <v>0</v>
      </c>
      <c r="U99" s="212">
        <f t="shared" si="44"/>
        <v>0</v>
      </c>
      <c r="V99" s="231"/>
      <c r="W99" s="212"/>
      <c r="X99" s="212"/>
    </row>
    <row r="100" spans="2:25" outlineLevel="1">
      <c r="B100" s="176" t="s">
        <v>140</v>
      </c>
      <c r="C100" s="176" t="s">
        <v>141</v>
      </c>
      <c r="D100" s="181" t="s">
        <v>142</v>
      </c>
      <c r="E100" s="176" t="s">
        <v>129</v>
      </c>
      <c r="F100" s="224" t="s">
        <v>143</v>
      </c>
      <c r="G100" s="232">
        <v>0</v>
      </c>
      <c r="H100" s="232">
        <v>0</v>
      </c>
      <c r="I100" s="232">
        <v>0</v>
      </c>
      <c r="J100" s="232">
        <v>49563.18</v>
      </c>
      <c r="K100" s="232">
        <v>56473.97</v>
      </c>
      <c r="L100" s="232">
        <v>302446.30000000005</v>
      </c>
      <c r="M100" s="232">
        <v>89457.600000000006</v>
      </c>
      <c r="N100" s="232">
        <v>0</v>
      </c>
      <c r="O100" s="232">
        <v>0</v>
      </c>
      <c r="P100" s="178">
        <v>0</v>
      </c>
      <c r="Q100" s="178">
        <v>0</v>
      </c>
      <c r="R100" s="178">
        <v>0</v>
      </c>
      <c r="S100" s="192">
        <f t="shared" si="43"/>
        <v>497941.05000000005</v>
      </c>
      <c r="U100" s="212">
        <f t="shared" si="44"/>
        <v>1.5702185716975864E-3</v>
      </c>
      <c r="V100" s="231"/>
      <c r="W100" s="212"/>
      <c r="X100" s="212"/>
    </row>
    <row r="101" spans="2:25" outlineLevel="1">
      <c r="B101" s="176" t="s">
        <v>144</v>
      </c>
      <c r="C101" s="176" t="s">
        <v>145</v>
      </c>
      <c r="D101" s="181" t="s">
        <v>146</v>
      </c>
      <c r="E101" s="176" t="s">
        <v>129</v>
      </c>
      <c r="F101" s="224" t="s">
        <v>147</v>
      </c>
      <c r="G101" s="232">
        <v>0</v>
      </c>
      <c r="H101" s="232">
        <v>0</v>
      </c>
      <c r="I101" s="232">
        <v>24191</v>
      </c>
      <c r="J101" s="232">
        <v>0</v>
      </c>
      <c r="K101" s="232">
        <v>0</v>
      </c>
      <c r="L101" s="232">
        <v>0</v>
      </c>
      <c r="M101" s="232">
        <v>0</v>
      </c>
      <c r="N101" s="232">
        <v>0</v>
      </c>
      <c r="O101" s="232">
        <v>0</v>
      </c>
      <c r="P101" s="178">
        <v>0</v>
      </c>
      <c r="Q101" s="178">
        <v>0</v>
      </c>
      <c r="R101" s="178">
        <v>0</v>
      </c>
      <c r="S101" s="192">
        <f t="shared" si="43"/>
        <v>24191</v>
      </c>
      <c r="U101" s="212">
        <f t="shared" si="44"/>
        <v>7.6284446658768758E-5</v>
      </c>
      <c r="V101" s="231"/>
      <c r="W101" s="212"/>
      <c r="X101" s="212"/>
    </row>
    <row r="102" spans="2:25" outlineLevel="1">
      <c r="B102" s="176" t="s">
        <v>148</v>
      </c>
      <c r="C102" s="176" t="s">
        <v>149</v>
      </c>
      <c r="D102" s="181" t="s">
        <v>150</v>
      </c>
      <c r="E102" s="176" t="s">
        <v>129</v>
      </c>
      <c r="F102" s="224" t="s">
        <v>151</v>
      </c>
      <c r="G102" s="232">
        <v>0</v>
      </c>
      <c r="H102" s="232">
        <v>0</v>
      </c>
      <c r="I102" s="232">
        <v>0</v>
      </c>
      <c r="J102" s="232">
        <v>9943.36</v>
      </c>
      <c r="K102" s="232">
        <v>488692.15</v>
      </c>
      <c r="L102" s="232">
        <v>187341.21</v>
      </c>
      <c r="M102" s="232">
        <v>0</v>
      </c>
      <c r="N102" s="232">
        <v>0</v>
      </c>
      <c r="O102" s="232">
        <v>0</v>
      </c>
      <c r="P102" s="178">
        <v>0</v>
      </c>
      <c r="Q102" s="178">
        <v>0</v>
      </c>
      <c r="R102" s="178">
        <v>0</v>
      </c>
      <c r="S102" s="192">
        <f t="shared" si="43"/>
        <v>685976.72</v>
      </c>
      <c r="U102" s="212">
        <f t="shared" si="44"/>
        <v>2.1631745072959842E-3</v>
      </c>
      <c r="V102" s="231"/>
      <c r="W102" s="212"/>
      <c r="X102" s="212"/>
    </row>
    <row r="103" spans="2:25" ht="6.75" customHeight="1" outlineLevel="1">
      <c r="B103" s="181"/>
      <c r="C103" s="181"/>
      <c r="D103" s="181"/>
      <c r="E103" s="181"/>
      <c r="F103" s="181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75"/>
      <c r="U103" s="175"/>
      <c r="W103" s="175"/>
      <c r="X103" s="175"/>
    </row>
    <row r="104" spans="2:25" s="180" customFormat="1" ht="33" customHeight="1" thickBot="1">
      <c r="B104" s="183"/>
      <c r="C104" s="183"/>
      <c r="D104" s="183" t="str">
        <f>VLOOKUP(D95,Hierarchie_PF,3,FALSE)</f>
        <v>F02</v>
      </c>
      <c r="E104" s="183"/>
      <c r="F104" s="183" t="str">
        <f>VLOOKUP(D95,Hierarchie_PF,4,FALSE)</f>
        <v xml:space="preserve">Fil  Machine en bobine </v>
      </c>
      <c r="G104" s="230">
        <f>SUM(G95:G102)</f>
        <v>12630730.527000003</v>
      </c>
      <c r="H104" s="230">
        <f t="shared" ref="H104:R104" si="45">SUM(H95:H102)</f>
        <v>4505667.5869999994</v>
      </c>
      <c r="I104" s="230">
        <f t="shared" si="45"/>
        <v>6147989.481999998</v>
      </c>
      <c r="J104" s="230">
        <f t="shared" si="45"/>
        <v>9713374.5409999937</v>
      </c>
      <c r="K104" s="230">
        <f t="shared" si="45"/>
        <v>7196299.769000004</v>
      </c>
      <c r="L104" s="230">
        <f t="shared" si="45"/>
        <v>6264984.6100000022</v>
      </c>
      <c r="M104" s="230">
        <f t="shared" si="45"/>
        <v>9708622.8000000026</v>
      </c>
      <c r="N104" s="230">
        <f t="shared" si="45"/>
        <v>7775602.2000000002</v>
      </c>
      <c r="O104" s="230">
        <f t="shared" si="45"/>
        <v>5663841.2999999989</v>
      </c>
      <c r="P104" s="184">
        <f t="shared" si="45"/>
        <v>7175500.3454933334</v>
      </c>
      <c r="Q104" s="184">
        <f t="shared" si="45"/>
        <v>7175500.3454933334</v>
      </c>
      <c r="R104" s="184">
        <f t="shared" si="45"/>
        <v>7175500.3454933334</v>
      </c>
      <c r="S104" s="185">
        <f>SUM(G104:R104)</f>
        <v>91133613.852479994</v>
      </c>
      <c r="U104" s="211">
        <f>SUM(U95:U102)</f>
        <v>0.28761502251358306</v>
      </c>
      <c r="V104" s="234"/>
      <c r="W104" s="211"/>
      <c r="X104" s="211"/>
      <c r="Y104" s="233"/>
    </row>
    <row r="105" spans="2:25" ht="6.75" customHeight="1" thickTop="1" thickBot="1">
      <c r="B105" s="173"/>
      <c r="C105" s="173"/>
      <c r="D105" s="173"/>
      <c r="E105" s="173"/>
      <c r="F105" s="173"/>
      <c r="G105" s="174"/>
      <c r="H105" s="174"/>
      <c r="I105" s="174"/>
      <c r="J105" s="174"/>
      <c r="K105" s="174"/>
      <c r="L105" s="174"/>
      <c r="M105" s="174"/>
      <c r="N105" s="174"/>
      <c r="O105" s="174"/>
      <c r="P105" s="174"/>
      <c r="Q105" s="174"/>
      <c r="R105" s="174"/>
      <c r="S105" s="175"/>
      <c r="U105" s="180"/>
    </row>
    <row r="106" spans="2:25" s="238" customFormat="1" ht="27" customHeight="1" thickBot="1">
      <c r="B106" s="235"/>
      <c r="C106" s="235"/>
      <c r="D106" s="235"/>
      <c r="E106" s="235"/>
      <c r="F106" s="235" t="s">
        <v>189</v>
      </c>
      <c r="G106" s="236">
        <f>G104+G93</f>
        <v>20546878.191</v>
      </c>
      <c r="H106" s="236">
        <f t="shared" ref="H106:R106" si="46">H104+H93</f>
        <v>35260029.558000013</v>
      </c>
      <c r="I106" s="236">
        <f t="shared" si="46"/>
        <v>31643010.368999984</v>
      </c>
      <c r="J106" s="236">
        <f t="shared" si="46"/>
        <v>32225700.516999997</v>
      </c>
      <c r="K106" s="236">
        <f t="shared" si="46"/>
        <v>26088153.112</v>
      </c>
      <c r="L106" s="236">
        <f t="shared" si="46"/>
        <v>20977710.894000001</v>
      </c>
      <c r="M106" s="236">
        <f t="shared" si="46"/>
        <v>18318785.934</v>
      </c>
      <c r="N106" s="236">
        <f t="shared" si="46"/>
        <v>18372612.031999998</v>
      </c>
      <c r="O106" s="236">
        <f t="shared" si="46"/>
        <v>22093298.817000002</v>
      </c>
      <c r="P106" s="237">
        <f t="shared" si="46"/>
        <v>30381291.40394333</v>
      </c>
      <c r="Q106" s="237">
        <f t="shared" si="46"/>
        <v>30381291.40394333</v>
      </c>
      <c r="R106" s="237">
        <f t="shared" si="46"/>
        <v>30381291.40394333</v>
      </c>
      <c r="S106" s="237">
        <f>SUM(G106:R106)</f>
        <v>316670053.63582993</v>
      </c>
      <c r="U106" s="239">
        <f>U93+U104</f>
        <v>0.99982774106358696</v>
      </c>
    </row>
    <row r="107" spans="2:25" ht="7.5" customHeight="1">
      <c r="B107" s="173"/>
      <c r="C107" s="173"/>
      <c r="D107" s="173"/>
      <c r="E107" s="173"/>
      <c r="F107" s="173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5"/>
      <c r="U107" s="180"/>
    </row>
    <row r="108" spans="2:25" s="244" customFormat="1" ht="28.9" customHeight="1" thickBot="1">
      <c r="B108" s="240"/>
      <c r="C108" s="240"/>
      <c r="D108" s="240" t="str">
        <f>VLOOKUP(D95,Hierarchie_PF,5,FALSE)</f>
        <v>M02</v>
      </c>
      <c r="E108" s="240"/>
      <c r="F108" s="240" t="str">
        <f>VLOOKUP(D90,Hierarchie_PF,6,FALSE)</f>
        <v>Ligne Laminoire à Chaud</v>
      </c>
      <c r="G108" s="241">
        <f t="shared" ref="G108:S108" si="47">G82+G93+G104</f>
        <v>20576982.249000002</v>
      </c>
      <c r="H108" s="241">
        <f t="shared" si="47"/>
        <v>35311249.801000014</v>
      </c>
      <c r="I108" s="241">
        <f t="shared" si="47"/>
        <v>31688493.909999985</v>
      </c>
      <c r="J108" s="241">
        <f t="shared" si="47"/>
        <v>32271947.239999998</v>
      </c>
      <c r="K108" s="241">
        <f t="shared" si="47"/>
        <v>26125692.930999998</v>
      </c>
      <c r="L108" s="241">
        <f t="shared" si="47"/>
        <v>21007322.066000003</v>
      </c>
      <c r="M108" s="241">
        <f t="shared" si="47"/>
        <v>18343778.761</v>
      </c>
      <c r="N108" s="241">
        <f t="shared" si="47"/>
        <v>18397588.026999999</v>
      </c>
      <c r="O108" s="241">
        <f t="shared" si="47"/>
        <v>22122350.154000003</v>
      </c>
      <c r="P108" s="242">
        <f t="shared" si="47"/>
        <v>30423450.40394333</v>
      </c>
      <c r="Q108" s="242">
        <f t="shared" si="47"/>
        <v>30423450.40394333</v>
      </c>
      <c r="R108" s="242">
        <f t="shared" si="47"/>
        <v>30423450.40394333</v>
      </c>
      <c r="S108" s="243">
        <f t="shared" si="47"/>
        <v>317115756.35082996</v>
      </c>
      <c r="U108" s="245"/>
    </row>
    <row r="109" spans="2:25" ht="6.75" customHeight="1" thickTop="1">
      <c r="B109" s="173"/>
      <c r="C109" s="173"/>
      <c r="D109" s="173"/>
      <c r="E109" s="173"/>
      <c r="F109" s="173"/>
      <c r="G109" s="174"/>
      <c r="H109" s="174"/>
      <c r="I109" s="174"/>
      <c r="J109" s="174"/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80"/>
    </row>
    <row r="110" spans="2:25" outlineLevel="2">
      <c r="B110" s="176" t="str">
        <f t="shared" ref="B110:B116" si="48">$E110&amp;"-"&amp;$C110</f>
        <v>F03-CA01</v>
      </c>
      <c r="C110" s="176" t="s">
        <v>188</v>
      </c>
      <c r="D110" s="181" t="s">
        <v>152</v>
      </c>
      <c r="E110" s="176" t="str">
        <f>VLOOKUP(D110,'[1]Base Produits'!$A$1:$E$40,3,FALSE)</f>
        <v>F03</v>
      </c>
      <c r="F110" s="186" t="str">
        <f t="shared" ref="F110:F116" si="49">+VLOOKUP($D110,Hierarchie_PF,2,FALSE)</f>
        <v>D06 lisse  en   Bobine</v>
      </c>
      <c r="G110" s="182"/>
      <c r="H110" s="182"/>
      <c r="I110" s="182"/>
      <c r="J110" s="182"/>
      <c r="K110" s="182">
        <f>K33*'[1]Production '!K107</f>
        <v>0</v>
      </c>
      <c r="L110" s="182"/>
      <c r="M110" s="182"/>
      <c r="N110" s="182"/>
      <c r="O110" s="182"/>
      <c r="P110" s="182"/>
      <c r="Q110" s="182"/>
      <c r="R110" s="174"/>
      <c r="S110" s="174">
        <f t="shared" ref="S110:S116" si="50">SUM(G110:R110)</f>
        <v>0</v>
      </c>
      <c r="T110" s="174"/>
      <c r="U110" s="192"/>
      <c r="V110" s="191"/>
    </row>
    <row r="111" spans="2:25" outlineLevel="2">
      <c r="B111" s="176" t="str">
        <f t="shared" si="48"/>
        <v>F03-CA01</v>
      </c>
      <c r="C111" s="176" t="s">
        <v>188</v>
      </c>
      <c r="D111" s="181" t="s">
        <v>153</v>
      </c>
      <c r="E111" s="176" t="str">
        <f>VLOOKUP(D111,'[1]Base Produits'!$A$1:$E$40,3,FALSE)</f>
        <v>F03</v>
      </c>
      <c r="F111" s="186" t="str">
        <f t="shared" si="49"/>
        <v>D08 RB500  en Bobine</v>
      </c>
      <c r="G111" s="182"/>
      <c r="H111" s="182"/>
      <c r="I111" s="182"/>
      <c r="J111" s="182"/>
      <c r="K111" s="182">
        <f>K34*'[1]Production '!K108</f>
        <v>0</v>
      </c>
      <c r="L111" s="182"/>
      <c r="M111" s="182"/>
      <c r="N111" s="182"/>
      <c r="O111" s="182"/>
      <c r="P111" s="182"/>
      <c r="Q111" s="182"/>
      <c r="R111" s="174"/>
      <c r="S111" s="174">
        <f t="shared" si="50"/>
        <v>0</v>
      </c>
      <c r="T111" s="174"/>
      <c r="U111" s="192"/>
      <c r="V111" s="191"/>
    </row>
    <row r="112" spans="2:25" outlineLevel="2">
      <c r="B112" s="176" t="str">
        <f t="shared" si="48"/>
        <v>F03-CA01</v>
      </c>
      <c r="C112" s="176" t="s">
        <v>188</v>
      </c>
      <c r="D112" s="181" t="s">
        <v>154</v>
      </c>
      <c r="E112" s="176" t="str">
        <f>VLOOKUP(D112,'[1]Base Produits'!$A$1:$E$40,3,FALSE)</f>
        <v>F03</v>
      </c>
      <c r="F112" s="186" t="str">
        <f t="shared" si="49"/>
        <v>D10 RB500  en Bobine</v>
      </c>
      <c r="G112" s="182"/>
      <c r="H112" s="182"/>
      <c r="I112" s="182"/>
      <c r="J112" s="182"/>
      <c r="K112" s="182">
        <f>K35*'[1]Production '!K109</f>
        <v>0</v>
      </c>
      <c r="L112" s="182"/>
      <c r="M112" s="182"/>
      <c r="N112" s="182"/>
      <c r="O112" s="182"/>
      <c r="P112" s="182"/>
      <c r="Q112" s="182"/>
      <c r="R112" s="174"/>
      <c r="S112" s="174">
        <f t="shared" si="50"/>
        <v>0</v>
      </c>
      <c r="T112" s="174"/>
      <c r="U112" s="192"/>
      <c r="V112" s="191"/>
    </row>
    <row r="113" spans="2:22" outlineLevel="2">
      <c r="B113" s="176" t="str">
        <f t="shared" si="48"/>
        <v>F03-CA01</v>
      </c>
      <c r="C113" s="176" t="s">
        <v>188</v>
      </c>
      <c r="D113" s="181" t="s">
        <v>155</v>
      </c>
      <c r="E113" s="176" t="str">
        <f>VLOOKUP(D113,'[1]Base Produits'!$A$1:$E$40,3,FALSE)</f>
        <v>F03</v>
      </c>
      <c r="F113" s="186" t="str">
        <f t="shared" si="49"/>
        <v>D12 RB500 en Bobine</v>
      </c>
      <c r="G113" s="182"/>
      <c r="H113" s="182"/>
      <c r="I113" s="182"/>
      <c r="J113" s="182"/>
      <c r="K113" s="182">
        <f>K36*'[1]Production '!K110</f>
        <v>0</v>
      </c>
      <c r="L113" s="182"/>
      <c r="M113" s="182"/>
      <c r="N113" s="182"/>
      <c r="O113" s="182"/>
      <c r="P113" s="182"/>
      <c r="Q113" s="182"/>
      <c r="R113" s="174"/>
      <c r="S113" s="174">
        <f t="shared" si="50"/>
        <v>0</v>
      </c>
      <c r="T113" s="174"/>
      <c r="U113" s="192"/>
      <c r="V113" s="191"/>
    </row>
    <row r="114" spans="2:22" outlineLevel="2">
      <c r="B114" s="176" t="str">
        <f t="shared" si="48"/>
        <v>F03-CA01</v>
      </c>
      <c r="C114" s="176" t="s">
        <v>188</v>
      </c>
      <c r="D114" s="181" t="s">
        <v>156</v>
      </c>
      <c r="E114" s="176" t="str">
        <f>VLOOKUP(D114,'[1]Base Produits'!$A$1:$E$40,3,FALSE)</f>
        <v>F03</v>
      </c>
      <c r="F114" s="186" t="str">
        <f t="shared" si="49"/>
        <v>D14 RB500 en bobine</v>
      </c>
      <c r="G114" s="182"/>
      <c r="H114" s="182"/>
      <c r="I114" s="182"/>
      <c r="J114" s="182"/>
      <c r="K114" s="182">
        <f>K37*'[1]Production '!K111</f>
        <v>0</v>
      </c>
      <c r="L114" s="182"/>
      <c r="M114" s="182"/>
      <c r="N114" s="182"/>
      <c r="O114" s="182"/>
      <c r="P114" s="182"/>
      <c r="Q114" s="182"/>
      <c r="R114" s="174"/>
      <c r="S114" s="174">
        <f t="shared" si="50"/>
        <v>0</v>
      </c>
      <c r="T114" s="174"/>
      <c r="U114" s="192"/>
      <c r="V114" s="191"/>
    </row>
    <row r="115" spans="2:22" outlineLevel="2">
      <c r="B115" s="176" t="str">
        <f t="shared" si="48"/>
        <v>F03-CA01</v>
      </c>
      <c r="C115" s="176" t="s">
        <v>188</v>
      </c>
      <c r="D115" s="181" t="s">
        <v>157</v>
      </c>
      <c r="E115" s="176" t="str">
        <f>VLOOKUP(D115,'[1]Base Produits'!$A$1:$E$40,3,FALSE)</f>
        <v>F03</v>
      </c>
      <c r="F115" s="186" t="str">
        <f t="shared" si="49"/>
        <v>D16 RB500 en bobine</v>
      </c>
      <c r="G115" s="182"/>
      <c r="H115" s="182"/>
      <c r="I115" s="182"/>
      <c r="J115" s="182"/>
      <c r="K115" s="182">
        <f>K38*'[1]Production '!K112</f>
        <v>0</v>
      </c>
      <c r="L115" s="182"/>
      <c r="M115" s="182"/>
      <c r="N115" s="182"/>
      <c r="O115" s="182"/>
      <c r="P115" s="182"/>
      <c r="Q115" s="182"/>
      <c r="R115" s="174"/>
      <c r="S115" s="174">
        <f t="shared" si="50"/>
        <v>0</v>
      </c>
      <c r="T115" s="174"/>
      <c r="U115" s="192"/>
      <c r="V115" s="191"/>
    </row>
    <row r="116" spans="2:22" outlineLevel="2">
      <c r="B116" s="176" t="str">
        <f t="shared" si="48"/>
        <v>F03-CA01</v>
      </c>
      <c r="C116" s="176" t="s">
        <v>188</v>
      </c>
      <c r="D116" s="181" t="s">
        <v>158</v>
      </c>
      <c r="E116" s="176" t="str">
        <f>VLOOKUP(D116,'[1]Base Produits'!$A$1:$E$40,3,FALSE)</f>
        <v>F03</v>
      </c>
      <c r="F116" s="186" t="str">
        <f t="shared" si="49"/>
        <v>D20 RB500 en bobine</v>
      </c>
      <c r="G116" s="182"/>
      <c r="H116" s="182"/>
      <c r="I116" s="182"/>
      <c r="J116" s="182"/>
      <c r="K116" s="182">
        <f>K39*'[1]Production '!K113</f>
        <v>0</v>
      </c>
      <c r="L116" s="182"/>
      <c r="M116" s="182"/>
      <c r="N116" s="182"/>
      <c r="O116" s="182"/>
      <c r="P116" s="182"/>
      <c r="Q116" s="182"/>
      <c r="R116" s="174"/>
      <c r="S116" s="174">
        <f t="shared" si="50"/>
        <v>0</v>
      </c>
      <c r="T116" s="174"/>
      <c r="U116" s="192"/>
      <c r="V116" s="191"/>
    </row>
    <row r="117" spans="2:22" ht="6.75" customHeight="1" outlineLevel="2">
      <c r="B117" s="181"/>
      <c r="C117" s="181"/>
      <c r="D117" s="181"/>
      <c r="E117" s="181"/>
      <c r="F117" s="181"/>
      <c r="G117" s="182"/>
      <c r="H117" s="182"/>
      <c r="I117" s="182"/>
      <c r="J117" s="182"/>
      <c r="K117" s="182"/>
      <c r="L117" s="182"/>
      <c r="M117" s="182"/>
      <c r="N117" s="182"/>
      <c r="O117" s="182"/>
      <c r="P117" s="182"/>
      <c r="Q117" s="182"/>
      <c r="R117" s="174"/>
      <c r="S117" s="174"/>
      <c r="T117" s="174"/>
      <c r="U117" s="175"/>
    </row>
    <row r="118" spans="2:22" s="180" customFormat="1" ht="33" customHeight="1" outlineLevel="1" thickBot="1">
      <c r="B118" s="183"/>
      <c r="C118" s="183"/>
      <c r="D118" s="183" t="str">
        <f>VLOOKUP(D110,Hierarchie_PF,3,FALSE)</f>
        <v>F03</v>
      </c>
      <c r="E118" s="183"/>
      <c r="F118" s="183" t="str">
        <f>VLOOKUP(D110,Hierarchie_PF,4,FALSE)</f>
        <v>Rond à Beton en Bobine Compact</v>
      </c>
      <c r="G118" s="184">
        <f>SUM(G109:G117)</f>
        <v>0</v>
      </c>
      <c r="H118" s="184">
        <f t="shared" ref="H118:R118" si="51">SUM(H109:H117)</f>
        <v>0</v>
      </c>
      <c r="I118" s="184">
        <f t="shared" si="51"/>
        <v>0</v>
      </c>
      <c r="J118" s="184">
        <f t="shared" si="51"/>
        <v>0</v>
      </c>
      <c r="K118" s="184">
        <f t="shared" si="51"/>
        <v>0</v>
      </c>
      <c r="L118" s="184">
        <f t="shared" si="51"/>
        <v>0</v>
      </c>
      <c r="M118" s="184">
        <f t="shared" si="51"/>
        <v>0</v>
      </c>
      <c r="N118" s="184">
        <f t="shared" si="51"/>
        <v>0</v>
      </c>
      <c r="O118" s="184">
        <f t="shared" si="51"/>
        <v>0</v>
      </c>
      <c r="P118" s="184">
        <f t="shared" si="51"/>
        <v>0</v>
      </c>
      <c r="Q118" s="184">
        <f t="shared" si="51"/>
        <v>0</v>
      </c>
      <c r="R118" s="174">
        <f t="shared" si="51"/>
        <v>0</v>
      </c>
      <c r="S118" s="174">
        <f>SUM(G118:R118)</f>
        <v>0</v>
      </c>
      <c r="T118" s="174"/>
      <c r="U118" s="185"/>
    </row>
    <row r="119" spans="2:22" ht="6.75" customHeight="1" outlineLevel="1" thickTop="1">
      <c r="B119" s="173"/>
      <c r="C119" s="173"/>
      <c r="D119" s="173"/>
      <c r="E119" s="173"/>
      <c r="F119" s="173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5"/>
    </row>
    <row r="120" spans="2:22" s="180" customFormat="1" ht="23.5" customHeight="1" outlineLevel="1" thickBot="1">
      <c r="B120" s="187"/>
      <c r="C120" s="187"/>
      <c r="D120" s="187" t="str">
        <f>VLOOKUP(D111,Hierarchie_PF,5,FALSE)</f>
        <v>L3</v>
      </c>
      <c r="E120" s="187"/>
      <c r="F120" s="187" t="str">
        <f>VLOOKUP(D111,Hierarchie_PF,6,FALSE)</f>
        <v xml:space="preserve">Ligne Bobineuse </v>
      </c>
      <c r="G120" s="188">
        <f>SUM(G118)</f>
        <v>0</v>
      </c>
      <c r="H120" s="188">
        <f t="shared" ref="H120:S120" si="52">SUM(H118)</f>
        <v>0</v>
      </c>
      <c r="I120" s="188">
        <f t="shared" si="52"/>
        <v>0</v>
      </c>
      <c r="J120" s="188">
        <f t="shared" si="52"/>
        <v>0</v>
      </c>
      <c r="K120" s="188">
        <f t="shared" si="52"/>
        <v>0</v>
      </c>
      <c r="L120" s="188">
        <f t="shared" si="52"/>
        <v>0</v>
      </c>
      <c r="M120" s="188">
        <f t="shared" si="52"/>
        <v>0</v>
      </c>
      <c r="N120" s="188">
        <f t="shared" si="52"/>
        <v>0</v>
      </c>
      <c r="O120" s="188">
        <f t="shared" si="52"/>
        <v>0</v>
      </c>
      <c r="P120" s="189">
        <f t="shared" si="52"/>
        <v>0</v>
      </c>
      <c r="Q120" s="189">
        <f t="shared" si="52"/>
        <v>0</v>
      </c>
      <c r="R120" s="174">
        <f t="shared" si="52"/>
        <v>0</v>
      </c>
      <c r="S120" s="174">
        <f t="shared" si="52"/>
        <v>0</v>
      </c>
      <c r="T120" s="174"/>
      <c r="U120" s="190"/>
    </row>
    <row r="121" spans="2:22" ht="6.75" customHeight="1" outlineLevel="1" thickTop="1">
      <c r="B121" s="173"/>
      <c r="C121" s="173"/>
      <c r="D121" s="173"/>
      <c r="E121" s="173"/>
      <c r="F121" s="173"/>
      <c r="G121" s="174"/>
      <c r="H121" s="174"/>
      <c r="I121" s="174"/>
      <c r="J121" s="174"/>
      <c r="K121" s="174"/>
      <c r="L121" s="174"/>
      <c r="M121" s="174"/>
      <c r="N121" s="174"/>
      <c r="O121" s="174"/>
      <c r="P121" s="174"/>
      <c r="Q121" s="174"/>
      <c r="R121" s="174"/>
      <c r="S121" s="174"/>
      <c r="T121" s="174"/>
      <c r="U121" s="175"/>
    </row>
    <row r="122" spans="2:22" outlineLevel="2">
      <c r="B122" s="176" t="str">
        <f t="shared" ref="B122:B125" si="53">$E122&amp;"-"&amp;$C122</f>
        <v>F04-CA01</v>
      </c>
      <c r="C122" s="176" t="s">
        <v>188</v>
      </c>
      <c r="D122" s="181" t="s">
        <v>159</v>
      </c>
      <c r="E122" s="176" t="str">
        <f>VLOOKUP(D122,'[1]Base Produits'!$A$1:$E$40,3,FALSE)</f>
        <v>F04</v>
      </c>
      <c r="F122" s="186" t="str">
        <f>+VLOOKUP($D122,Hierarchie_PF,2,FALSE)</f>
        <v>Armatures Diam8</v>
      </c>
      <c r="G122" s="182"/>
      <c r="H122" s="182"/>
      <c r="I122" s="182"/>
      <c r="J122" s="182"/>
      <c r="K122" s="182">
        <f>K45*'[1]Production '!K119</f>
        <v>0</v>
      </c>
      <c r="L122" s="182"/>
      <c r="M122" s="182"/>
      <c r="N122" s="182"/>
      <c r="O122" s="182"/>
      <c r="P122" s="182"/>
      <c r="Q122" s="182"/>
      <c r="R122" s="174"/>
      <c r="S122" s="174">
        <f t="shared" ref="S122:S127" si="54">SUM(G122:R122)</f>
        <v>0</v>
      </c>
      <c r="T122" s="174"/>
      <c r="U122" s="192"/>
    </row>
    <row r="123" spans="2:22" outlineLevel="2">
      <c r="B123" s="176" t="str">
        <f t="shared" si="53"/>
        <v>F04-CA01</v>
      </c>
      <c r="C123" s="176" t="s">
        <v>188</v>
      </c>
      <c r="D123" s="181" t="s">
        <v>160</v>
      </c>
      <c r="E123" s="176" t="str">
        <f>VLOOKUP(D123,'[1]Base Produits'!$A$1:$E$40,3,FALSE)</f>
        <v>F04</v>
      </c>
      <c r="F123" s="186" t="str">
        <f>+VLOOKUP($D123,Hierarchie_PF,2,FALSE)</f>
        <v>Armatures Diam10</v>
      </c>
      <c r="G123" s="182"/>
      <c r="H123" s="182"/>
      <c r="I123" s="182"/>
      <c r="J123" s="182"/>
      <c r="K123" s="182">
        <f>K46*'[1]Production '!K120</f>
        <v>0</v>
      </c>
      <c r="L123" s="182"/>
      <c r="M123" s="182"/>
      <c r="N123" s="182"/>
      <c r="O123" s="182"/>
      <c r="P123" s="182"/>
      <c r="Q123" s="182"/>
      <c r="R123" s="174"/>
      <c r="S123" s="174">
        <f t="shared" si="54"/>
        <v>0</v>
      </c>
      <c r="T123" s="174"/>
      <c r="U123" s="192"/>
    </row>
    <row r="124" spans="2:22" outlineLevel="2">
      <c r="B124" s="176" t="str">
        <f t="shared" si="53"/>
        <v>F04-CA01</v>
      </c>
      <c r="C124" s="176" t="s">
        <v>188</v>
      </c>
      <c r="D124" s="181" t="s">
        <v>161</v>
      </c>
      <c r="E124" s="176" t="str">
        <f>VLOOKUP(D124,'[1]Base Produits'!$A$1:$E$40,3,FALSE)</f>
        <v>F04</v>
      </c>
      <c r="F124" s="186" t="str">
        <f>+VLOOKUP($D124,Hierarchie_PF,2,FALSE)</f>
        <v>Armatures Diam12</v>
      </c>
      <c r="G124" s="182"/>
      <c r="H124" s="182"/>
      <c r="I124" s="182"/>
      <c r="J124" s="182"/>
      <c r="K124" s="182">
        <f>K47*'[1]Production '!K121</f>
        <v>0</v>
      </c>
      <c r="L124" s="182"/>
      <c r="M124" s="182"/>
      <c r="N124" s="182"/>
      <c r="O124" s="182"/>
      <c r="P124" s="182"/>
      <c r="Q124" s="182"/>
      <c r="R124" s="174"/>
      <c r="S124" s="174">
        <f t="shared" si="54"/>
        <v>0</v>
      </c>
      <c r="T124" s="174"/>
      <c r="U124" s="192"/>
    </row>
    <row r="125" spans="2:22" outlineLevel="2">
      <c r="B125" s="176" t="str">
        <f t="shared" si="53"/>
        <v>F04-CA01</v>
      </c>
      <c r="C125" s="176" t="s">
        <v>188</v>
      </c>
      <c r="D125" s="181" t="s">
        <v>162</v>
      </c>
      <c r="E125" s="176" t="str">
        <f>VLOOKUP(D125,'[1]Base Produits'!$A$1:$E$40,3,FALSE)</f>
        <v>F04</v>
      </c>
      <c r="F125" s="186" t="str">
        <f>+VLOOKUP($D125,Hierarchie_PF,2,FALSE)</f>
        <v>Armatures Diam14</v>
      </c>
      <c r="G125" s="182"/>
      <c r="H125" s="182"/>
      <c r="I125" s="182"/>
      <c r="J125" s="182"/>
      <c r="K125" s="182">
        <f>K48*'[1]Production '!K122</f>
        <v>0</v>
      </c>
      <c r="L125" s="182"/>
      <c r="M125" s="182"/>
      <c r="N125" s="182"/>
      <c r="O125" s="182"/>
      <c r="P125" s="182"/>
      <c r="Q125" s="182"/>
      <c r="R125" s="174"/>
      <c r="S125" s="174">
        <f t="shared" si="54"/>
        <v>0</v>
      </c>
      <c r="T125" s="174"/>
      <c r="U125" s="192"/>
    </row>
    <row r="126" spans="2:22" outlineLevel="2">
      <c r="B126" s="181"/>
      <c r="C126" s="181"/>
      <c r="D126" s="181"/>
      <c r="E126" s="181"/>
      <c r="F126" s="181"/>
      <c r="G126" s="182"/>
      <c r="H126" s="182"/>
      <c r="I126" s="182"/>
      <c r="J126" s="182"/>
      <c r="K126" s="182"/>
      <c r="L126" s="182"/>
      <c r="M126" s="182"/>
      <c r="N126" s="182"/>
      <c r="O126" s="182"/>
      <c r="P126" s="182"/>
      <c r="Q126" s="182"/>
      <c r="R126" s="174"/>
      <c r="S126" s="174">
        <f t="shared" si="54"/>
        <v>0</v>
      </c>
      <c r="T126" s="174"/>
      <c r="U126" s="175"/>
    </row>
    <row r="127" spans="2:22" s="180" customFormat="1" ht="23.5" customHeight="1" outlineLevel="1" thickBot="1">
      <c r="B127" s="183"/>
      <c r="C127" s="183"/>
      <c r="D127" s="183" t="str">
        <f>VLOOKUP(D122,Hierarchie_PF,3,FALSE)</f>
        <v>F04</v>
      </c>
      <c r="E127" s="183"/>
      <c r="F127" s="183" t="str">
        <f>VLOOKUP(D122,Hierarchie_PF,4,FALSE)</f>
        <v>Armatures Pré-Fabriqués</v>
      </c>
      <c r="G127" s="184">
        <f>SUM(G121:G126)</f>
        <v>0</v>
      </c>
      <c r="H127" s="184">
        <f t="shared" ref="H127:R127" si="55">SUM(H121:H126)</f>
        <v>0</v>
      </c>
      <c r="I127" s="184">
        <f t="shared" si="55"/>
        <v>0</v>
      </c>
      <c r="J127" s="184">
        <f t="shared" si="55"/>
        <v>0</v>
      </c>
      <c r="K127" s="184">
        <f t="shared" si="55"/>
        <v>0</v>
      </c>
      <c r="L127" s="184">
        <f t="shared" si="55"/>
        <v>0</v>
      </c>
      <c r="M127" s="184">
        <f t="shared" si="55"/>
        <v>0</v>
      </c>
      <c r="N127" s="184">
        <f t="shared" si="55"/>
        <v>0</v>
      </c>
      <c r="O127" s="184">
        <f t="shared" si="55"/>
        <v>0</v>
      </c>
      <c r="P127" s="184">
        <f t="shared" si="55"/>
        <v>0</v>
      </c>
      <c r="Q127" s="184">
        <f t="shared" si="55"/>
        <v>0</v>
      </c>
      <c r="R127" s="174">
        <f t="shared" si="55"/>
        <v>0</v>
      </c>
      <c r="S127" s="174">
        <f t="shared" si="54"/>
        <v>0</v>
      </c>
      <c r="T127" s="174"/>
      <c r="U127" s="185"/>
    </row>
    <row r="128" spans="2:22" ht="13.5" outlineLevel="1" thickTop="1">
      <c r="B128" s="173"/>
      <c r="C128" s="173"/>
      <c r="D128" s="173"/>
      <c r="E128" s="173"/>
      <c r="F128" s="173"/>
      <c r="G128" s="174"/>
      <c r="H128" s="174"/>
      <c r="I128" s="174"/>
      <c r="J128" s="174"/>
      <c r="K128" s="174"/>
      <c r="L128" s="174"/>
      <c r="M128" s="174"/>
      <c r="N128" s="174"/>
      <c r="O128" s="174"/>
      <c r="P128" s="174"/>
      <c r="Q128" s="174"/>
      <c r="R128" s="174"/>
      <c r="S128" s="174"/>
      <c r="T128" s="174"/>
      <c r="U128" s="175"/>
    </row>
    <row r="129" spans="2:21" outlineLevel="2">
      <c r="B129" s="176" t="str">
        <f t="shared" ref="B129:B132" si="56">$E129&amp;"-"&amp;$C129</f>
        <v>F07-CA01</v>
      </c>
      <c r="C129" s="176" t="s">
        <v>188</v>
      </c>
      <c r="D129" s="181" t="s">
        <v>163</v>
      </c>
      <c r="E129" s="176" t="str">
        <f>VLOOKUP(D129,'[1]Base Produits'!$A$1:$E$40,3,FALSE)</f>
        <v>F07</v>
      </c>
      <c r="F129" s="186" t="str">
        <f>+VLOOKUP($D129,Hierarchie_PF,2,FALSE)</f>
        <v>Produits FAS 1</v>
      </c>
      <c r="G129" s="182"/>
      <c r="H129" s="182"/>
      <c r="I129" s="182"/>
      <c r="J129" s="182"/>
      <c r="K129" s="182">
        <f>K52*'[1]Production '!K126</f>
        <v>0</v>
      </c>
      <c r="L129" s="182"/>
      <c r="M129" s="182"/>
      <c r="N129" s="182"/>
      <c r="O129" s="182"/>
      <c r="P129" s="182"/>
      <c r="Q129" s="182"/>
      <c r="R129" s="174"/>
      <c r="S129" s="174">
        <f t="shared" ref="S129:S132" si="57">SUM(G129:R129)</f>
        <v>0</v>
      </c>
      <c r="T129" s="174"/>
      <c r="U129" s="192"/>
    </row>
    <row r="130" spans="2:21" outlineLevel="2">
      <c r="B130" s="176" t="str">
        <f t="shared" si="56"/>
        <v>F07-CA01</v>
      </c>
      <c r="C130" s="176" t="s">
        <v>188</v>
      </c>
      <c r="D130" s="181" t="s">
        <v>164</v>
      </c>
      <c r="E130" s="176" t="str">
        <f>VLOOKUP(D130,'[1]Base Produits'!$A$1:$E$40,3,FALSE)</f>
        <v>F07</v>
      </c>
      <c r="F130" s="186" t="str">
        <f>+VLOOKUP($D130,Hierarchie_PF,2,FALSE)</f>
        <v>Produits FAS 2</v>
      </c>
      <c r="G130" s="182"/>
      <c r="H130" s="182"/>
      <c r="I130" s="182"/>
      <c r="J130" s="182"/>
      <c r="K130" s="182">
        <f>K53*'[1]Production '!K127</f>
        <v>0</v>
      </c>
      <c r="L130" s="182"/>
      <c r="M130" s="182"/>
      <c r="N130" s="182"/>
      <c r="O130" s="182"/>
      <c r="P130" s="182"/>
      <c r="Q130" s="182"/>
      <c r="R130" s="174"/>
      <c r="S130" s="174">
        <f t="shared" si="57"/>
        <v>0</v>
      </c>
      <c r="T130" s="174"/>
      <c r="U130" s="192"/>
    </row>
    <row r="131" spans="2:21" outlineLevel="2">
      <c r="B131" s="176" t="str">
        <f t="shared" si="56"/>
        <v>F07-CA01</v>
      </c>
      <c r="C131" s="176" t="s">
        <v>188</v>
      </c>
      <c r="D131" s="181" t="s">
        <v>165</v>
      </c>
      <c r="E131" s="176" t="str">
        <f>VLOOKUP(D131,'[1]Base Produits'!$A$1:$E$40,3,FALSE)</f>
        <v>F07</v>
      </c>
      <c r="F131" s="186" t="str">
        <f>+VLOOKUP($D131,Hierarchie_PF,2,FALSE)</f>
        <v>Produits FAS 3</v>
      </c>
      <c r="G131" s="182"/>
      <c r="H131" s="182"/>
      <c r="I131" s="182"/>
      <c r="J131" s="182"/>
      <c r="K131" s="182">
        <f>K54*'[1]Production '!K128</f>
        <v>0</v>
      </c>
      <c r="L131" s="182"/>
      <c r="M131" s="182"/>
      <c r="N131" s="182"/>
      <c r="O131" s="182"/>
      <c r="P131" s="182"/>
      <c r="Q131" s="182"/>
      <c r="R131" s="174"/>
      <c r="S131" s="174">
        <f t="shared" si="57"/>
        <v>0</v>
      </c>
      <c r="T131" s="174"/>
      <c r="U131" s="192"/>
    </row>
    <row r="132" spans="2:21" outlineLevel="2">
      <c r="B132" s="176" t="str">
        <f t="shared" si="56"/>
        <v>F07-CA01</v>
      </c>
      <c r="C132" s="176" t="s">
        <v>188</v>
      </c>
      <c r="D132" s="181" t="s">
        <v>166</v>
      </c>
      <c r="E132" s="176" t="str">
        <f>VLOOKUP(D132,'[1]Base Produits'!$A$1:$E$40,3,FALSE)</f>
        <v>F07</v>
      </c>
      <c r="F132" s="186" t="str">
        <f>+VLOOKUP($D132,Hierarchie_PF,2,FALSE)</f>
        <v>Produits FAS 4</v>
      </c>
      <c r="G132" s="182"/>
      <c r="H132" s="182"/>
      <c r="I132" s="182"/>
      <c r="J132" s="182"/>
      <c r="K132" s="182">
        <f>K55*'[1]Production '!K129</f>
        <v>0</v>
      </c>
      <c r="L132" s="182"/>
      <c r="M132" s="182"/>
      <c r="N132" s="182"/>
      <c r="O132" s="182"/>
      <c r="P132" s="182"/>
      <c r="Q132" s="182"/>
      <c r="R132" s="174"/>
      <c r="S132" s="174">
        <f t="shared" si="57"/>
        <v>0</v>
      </c>
      <c r="T132" s="174"/>
      <c r="U132" s="192"/>
    </row>
    <row r="133" spans="2:21" outlineLevel="2">
      <c r="B133" s="181"/>
      <c r="C133" s="181"/>
      <c r="D133" s="181"/>
      <c r="E133" s="181"/>
      <c r="F133" s="181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74"/>
      <c r="S133" s="174"/>
      <c r="T133" s="174"/>
      <c r="U133" s="175"/>
    </row>
    <row r="134" spans="2:21" s="180" customFormat="1" ht="23.5" customHeight="1" outlineLevel="1" thickBot="1">
      <c r="B134" s="183"/>
      <c r="C134" s="183"/>
      <c r="D134" s="183" t="str">
        <f>VLOOKUP(D129,Hierarchie_PF,3,FALSE)</f>
        <v>F07</v>
      </c>
      <c r="E134" s="183"/>
      <c r="F134" s="183" t="str">
        <f>VLOOKUP(D129,Hierarchie_PF,4,FALSE)</f>
        <v>Amataures façconnés_Assemblé_Soudé</v>
      </c>
      <c r="G134" s="184">
        <f>SUM(G128:G133)</f>
        <v>0</v>
      </c>
      <c r="H134" s="184">
        <f t="shared" ref="H134:R134" si="58">SUM(H128:H133)</f>
        <v>0</v>
      </c>
      <c r="I134" s="184">
        <f t="shared" si="58"/>
        <v>0</v>
      </c>
      <c r="J134" s="184">
        <f t="shared" si="58"/>
        <v>0</v>
      </c>
      <c r="K134" s="184">
        <f t="shared" si="58"/>
        <v>0</v>
      </c>
      <c r="L134" s="184">
        <f t="shared" si="58"/>
        <v>0</v>
      </c>
      <c r="M134" s="184">
        <f t="shared" si="58"/>
        <v>0</v>
      </c>
      <c r="N134" s="184">
        <f t="shared" si="58"/>
        <v>0</v>
      </c>
      <c r="O134" s="184">
        <f t="shared" si="58"/>
        <v>0</v>
      </c>
      <c r="P134" s="184">
        <f t="shared" si="58"/>
        <v>0</v>
      </c>
      <c r="Q134" s="184">
        <f t="shared" si="58"/>
        <v>0</v>
      </c>
      <c r="R134" s="174">
        <f t="shared" si="58"/>
        <v>0</v>
      </c>
      <c r="S134" s="174">
        <f>SUM(G134:R134)</f>
        <v>0</v>
      </c>
      <c r="T134" s="174"/>
      <c r="U134" s="185"/>
    </row>
    <row r="135" spans="2:21" ht="13.5" outlineLevel="1" thickTop="1">
      <c r="B135" s="173"/>
      <c r="C135" s="173"/>
      <c r="D135" s="173"/>
      <c r="E135" s="173"/>
      <c r="F135" s="173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5"/>
    </row>
    <row r="136" spans="2:21" s="180" customFormat="1" ht="23.5" customHeight="1" outlineLevel="1" thickBot="1">
      <c r="B136" s="187"/>
      <c r="C136" s="187"/>
      <c r="D136" s="187" t="str">
        <f>VLOOKUP(D129,Hierarchie_PF,5,FALSE)</f>
        <v>L07</v>
      </c>
      <c r="E136" s="187"/>
      <c r="F136" s="187" t="str">
        <f>VLOOKUP(D124,Hierarchie_PF,6,FALSE)</f>
        <v>Atelier de Façonnage</v>
      </c>
      <c r="G136" s="188">
        <f>SUM(G134,G127)</f>
        <v>0</v>
      </c>
      <c r="H136" s="188">
        <f t="shared" ref="H136:R136" si="59">SUM(H134,H127)</f>
        <v>0</v>
      </c>
      <c r="I136" s="188">
        <f t="shared" si="59"/>
        <v>0</v>
      </c>
      <c r="J136" s="188">
        <f t="shared" si="59"/>
        <v>0</v>
      </c>
      <c r="K136" s="188">
        <f t="shared" si="59"/>
        <v>0</v>
      </c>
      <c r="L136" s="188">
        <f t="shared" si="59"/>
        <v>0</v>
      </c>
      <c r="M136" s="188">
        <f t="shared" si="59"/>
        <v>0</v>
      </c>
      <c r="N136" s="188">
        <f t="shared" si="59"/>
        <v>0</v>
      </c>
      <c r="O136" s="188">
        <f t="shared" si="59"/>
        <v>0</v>
      </c>
      <c r="P136" s="189">
        <f t="shared" si="59"/>
        <v>0</v>
      </c>
      <c r="Q136" s="189">
        <f t="shared" si="59"/>
        <v>0</v>
      </c>
      <c r="R136" s="174">
        <f t="shared" si="59"/>
        <v>0</v>
      </c>
      <c r="S136" s="174">
        <f>SUM(G136:R136)</f>
        <v>0</v>
      </c>
      <c r="T136" s="174"/>
      <c r="U136" s="190"/>
    </row>
    <row r="137" spans="2:21" ht="13.5" outlineLevel="1" thickTop="1">
      <c r="B137" s="173"/>
      <c r="C137" s="173"/>
      <c r="D137" s="173"/>
      <c r="E137" s="173"/>
      <c r="F137" s="173"/>
      <c r="G137" s="174"/>
      <c r="H137" s="174"/>
      <c r="I137" s="174"/>
      <c r="J137" s="174"/>
      <c r="K137" s="174"/>
      <c r="L137" s="174"/>
      <c r="M137" s="174"/>
      <c r="N137" s="174"/>
      <c r="O137" s="174"/>
      <c r="P137" s="174"/>
      <c r="Q137" s="174"/>
      <c r="R137" s="174"/>
      <c r="S137" s="174"/>
      <c r="T137" s="174"/>
      <c r="U137" s="175"/>
    </row>
    <row r="138" spans="2:21" ht="13.5" outlineLevel="2" thickBot="1">
      <c r="B138" s="176" t="str">
        <f t="shared" ref="B138:B141" si="60">$E138&amp;"-"&amp;$C138</f>
        <v>F05-CA01</v>
      </c>
      <c r="C138" s="176" t="s">
        <v>188</v>
      </c>
      <c r="D138" s="181" t="s">
        <v>167</v>
      </c>
      <c r="E138" s="176" t="str">
        <f>VLOOKUP(D138,'[1]Base Produits'!$A$1:$E$40,3,FALSE)</f>
        <v>F05</v>
      </c>
      <c r="F138" s="186" t="str">
        <f>+VLOOKUP($D138,Hierarchie_PF,2,FALSE)</f>
        <v xml:space="preserve">D03 en Bobine </v>
      </c>
      <c r="G138" s="182"/>
      <c r="H138" s="182"/>
      <c r="I138" s="182"/>
      <c r="J138" s="182"/>
      <c r="K138" s="182">
        <f>K61*'[1]Production '!K135</f>
        <v>0</v>
      </c>
      <c r="L138" s="182"/>
      <c r="M138" s="182"/>
      <c r="N138" s="182"/>
      <c r="O138" s="182"/>
      <c r="P138" s="182"/>
      <c r="Q138" s="182"/>
      <c r="R138" s="174"/>
      <c r="S138" s="174">
        <f>SUM(G138:R138)</f>
        <v>0</v>
      </c>
      <c r="T138" s="174"/>
      <c r="U138" s="246"/>
    </row>
    <row r="139" spans="2:21" ht="13.5" outlineLevel="2" thickTop="1">
      <c r="B139" s="176" t="str">
        <f t="shared" si="60"/>
        <v>F05-CA01</v>
      </c>
      <c r="C139" s="176" t="s">
        <v>188</v>
      </c>
      <c r="D139" s="181" t="s">
        <v>168</v>
      </c>
      <c r="E139" s="176" t="str">
        <f>VLOOKUP(D139,'[1]Base Produits'!$A$1:$E$40,3,FALSE)</f>
        <v>F05</v>
      </c>
      <c r="F139" s="186" t="str">
        <f>+VLOOKUP($D139,Hierarchie_PF,2,FALSE)</f>
        <v xml:space="preserve">D04 en Bobine </v>
      </c>
      <c r="G139" s="182"/>
      <c r="H139" s="182"/>
      <c r="I139" s="182"/>
      <c r="J139" s="182"/>
      <c r="K139" s="182">
        <f>K62*'[1]Production '!K136</f>
        <v>0</v>
      </c>
      <c r="L139" s="182"/>
      <c r="M139" s="182"/>
      <c r="N139" s="182"/>
      <c r="O139" s="182"/>
      <c r="P139" s="182"/>
      <c r="Q139" s="182"/>
      <c r="R139" s="174"/>
      <c r="S139" s="174">
        <f>SUM(G139:R139)</f>
        <v>0</v>
      </c>
      <c r="T139" s="174"/>
      <c r="U139" s="192"/>
    </row>
    <row r="140" spans="2:21" outlineLevel="2">
      <c r="B140" s="176" t="str">
        <f t="shared" si="60"/>
        <v>F05-CA01</v>
      </c>
      <c r="C140" s="176" t="s">
        <v>188</v>
      </c>
      <c r="D140" s="181" t="s">
        <v>169</v>
      </c>
      <c r="E140" s="176" t="str">
        <f>VLOOKUP(D140,'[1]Base Produits'!$A$1:$E$40,3,FALSE)</f>
        <v>F05</v>
      </c>
      <c r="F140" s="186" t="str">
        <f>+VLOOKUP($D140,Hierarchie_PF,2,FALSE)</f>
        <v xml:space="preserve">D05 en Bobine </v>
      </c>
      <c r="G140" s="182"/>
      <c r="H140" s="182"/>
      <c r="I140" s="182"/>
      <c r="J140" s="182"/>
      <c r="K140" s="182">
        <f>K63*'[1]Production '!K137</f>
        <v>0</v>
      </c>
      <c r="L140" s="182"/>
      <c r="M140" s="182"/>
      <c r="N140" s="182"/>
      <c r="O140" s="182"/>
      <c r="P140" s="182"/>
      <c r="Q140" s="182"/>
      <c r="R140" s="174"/>
      <c r="S140" s="174">
        <f>SUM(G140:R140)</f>
        <v>0</v>
      </c>
      <c r="T140" s="174"/>
      <c r="U140" s="192"/>
    </row>
    <row r="141" spans="2:21" outlineLevel="2">
      <c r="B141" s="176" t="str">
        <f t="shared" si="60"/>
        <v>F05-CA01</v>
      </c>
      <c r="C141" s="176" t="s">
        <v>188</v>
      </c>
      <c r="D141" s="181" t="s">
        <v>170</v>
      </c>
      <c r="E141" s="176" t="str">
        <f>VLOOKUP(D141,'[1]Base Produits'!$A$1:$E$40,3,FALSE)</f>
        <v>F05</v>
      </c>
      <c r="F141" s="186" t="str">
        <f>+VLOOKUP($D141,Hierarchie_PF,2,FALSE)</f>
        <v xml:space="preserve">D06 en Bobine </v>
      </c>
      <c r="G141" s="182"/>
      <c r="H141" s="182"/>
      <c r="I141" s="182"/>
      <c r="J141" s="182"/>
      <c r="K141" s="182">
        <f>K64*'[1]Production '!K138</f>
        <v>0</v>
      </c>
      <c r="L141" s="182"/>
      <c r="M141" s="182"/>
      <c r="N141" s="182"/>
      <c r="O141" s="182"/>
      <c r="P141" s="182"/>
      <c r="Q141" s="182"/>
      <c r="R141" s="174"/>
      <c r="S141" s="174">
        <f>SUM(G141:R141)</f>
        <v>0</v>
      </c>
      <c r="T141" s="174"/>
      <c r="U141" s="192"/>
    </row>
    <row r="142" spans="2:21" outlineLevel="2">
      <c r="B142" s="181"/>
      <c r="C142" s="181"/>
      <c r="D142" s="181"/>
      <c r="E142" s="181"/>
      <c r="F142" s="181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74"/>
      <c r="S142" s="174"/>
      <c r="T142" s="174"/>
      <c r="U142" s="175"/>
    </row>
    <row r="143" spans="2:21" s="180" customFormat="1" ht="23.5" customHeight="1" outlineLevel="1" thickBot="1">
      <c r="B143" s="187"/>
      <c r="C143" s="187"/>
      <c r="D143" s="187" t="str">
        <f>VLOOKUP(D138,Hierarchie_PF,3,FALSE)</f>
        <v>F05</v>
      </c>
      <c r="E143" s="187"/>
      <c r="F143" s="187" t="str">
        <f>VLOOKUP(D138,Hierarchie_PF,4,FALSE)</f>
        <v>Fil machine Diam 3 en bobine</v>
      </c>
      <c r="G143" s="188">
        <f>SUM(G137:G142)</f>
        <v>0</v>
      </c>
      <c r="H143" s="188">
        <f t="shared" ref="H143:R143" si="61">SUM(H137:H142)</f>
        <v>0</v>
      </c>
      <c r="I143" s="188">
        <f t="shared" si="61"/>
        <v>0</v>
      </c>
      <c r="J143" s="188">
        <f t="shared" si="61"/>
        <v>0</v>
      </c>
      <c r="K143" s="188">
        <f t="shared" si="61"/>
        <v>0</v>
      </c>
      <c r="L143" s="188">
        <f t="shared" si="61"/>
        <v>0</v>
      </c>
      <c r="M143" s="188">
        <f t="shared" si="61"/>
        <v>0</v>
      </c>
      <c r="N143" s="188">
        <f t="shared" si="61"/>
        <v>0</v>
      </c>
      <c r="O143" s="188">
        <f t="shared" si="61"/>
        <v>0</v>
      </c>
      <c r="P143" s="189">
        <f t="shared" si="61"/>
        <v>0</v>
      </c>
      <c r="Q143" s="189">
        <f t="shared" si="61"/>
        <v>0</v>
      </c>
      <c r="R143" s="174">
        <f t="shared" si="61"/>
        <v>0</v>
      </c>
      <c r="S143" s="174">
        <f>SUM(G143:R143)</f>
        <v>0</v>
      </c>
      <c r="T143" s="174"/>
      <c r="U143" s="190"/>
    </row>
    <row r="144" spans="2:21" ht="13.5" outlineLevel="1" thickTop="1">
      <c r="B144" s="173"/>
      <c r="C144" s="173"/>
      <c r="D144" s="173"/>
      <c r="E144" s="173"/>
      <c r="F144" s="173"/>
      <c r="G144" s="174"/>
      <c r="H144" s="174"/>
      <c r="I144" s="174"/>
      <c r="J144" s="174"/>
      <c r="K144" s="174"/>
      <c r="L144" s="174"/>
      <c r="M144" s="174"/>
      <c r="N144" s="174"/>
      <c r="O144" s="174"/>
      <c r="P144" s="174"/>
      <c r="Q144" s="174"/>
      <c r="R144" s="174"/>
      <c r="S144" s="174"/>
      <c r="T144" s="174"/>
      <c r="U144" s="175"/>
    </row>
    <row r="145" spans="2:21" outlineLevel="2">
      <c r="B145" s="176" t="str">
        <f t="shared" ref="B145:B148" si="62">$E145&amp;"-"&amp;$C145</f>
        <v>F06-CA01</v>
      </c>
      <c r="C145" s="176" t="s">
        <v>188</v>
      </c>
      <c r="D145" s="181" t="s">
        <v>171</v>
      </c>
      <c r="E145" s="176" t="str">
        <f>VLOOKUP(D145,'[1]Base Produits'!$A$1:$E$40,3,FALSE)</f>
        <v>F06</v>
      </c>
      <c r="F145" s="186" t="str">
        <f>+VLOOKUP($D145,Hierarchie_PF,2,FALSE)</f>
        <v>Produits  TR_Soudé  Section 3</v>
      </c>
      <c r="G145" s="182"/>
      <c r="H145" s="182"/>
      <c r="I145" s="182"/>
      <c r="J145" s="182"/>
      <c r="K145" s="182">
        <f>K68*'[1]Production '!K142</f>
        <v>0</v>
      </c>
      <c r="L145" s="182"/>
      <c r="M145" s="182"/>
      <c r="N145" s="182"/>
      <c r="O145" s="182"/>
      <c r="P145" s="182"/>
      <c r="Q145" s="182"/>
      <c r="R145" s="174"/>
      <c r="S145" s="174">
        <f t="shared" ref="S145:S148" si="63">SUM(G145:R145)</f>
        <v>0</v>
      </c>
      <c r="T145" s="174"/>
      <c r="U145" s="247"/>
    </row>
    <row r="146" spans="2:21" outlineLevel="2">
      <c r="B146" s="176" t="str">
        <f t="shared" si="62"/>
        <v>F06-CA01</v>
      </c>
      <c r="C146" s="176" t="s">
        <v>188</v>
      </c>
      <c r="D146" s="181" t="s">
        <v>172</v>
      </c>
      <c r="E146" s="176" t="str">
        <f>VLOOKUP(D146,'[1]Base Produits'!$A$1:$E$40,3,FALSE)</f>
        <v>F06</v>
      </c>
      <c r="F146" s="186" t="str">
        <f>+VLOOKUP($D146,Hierarchie_PF,2,FALSE)</f>
        <v>Produits  TR_Soudé  Section 4</v>
      </c>
      <c r="G146" s="182"/>
      <c r="H146" s="182"/>
      <c r="I146" s="182"/>
      <c r="J146" s="182"/>
      <c r="K146" s="182">
        <f>K69*'[1]Production '!K143</f>
        <v>0</v>
      </c>
      <c r="L146" s="182"/>
      <c r="M146" s="182"/>
      <c r="N146" s="182"/>
      <c r="O146" s="182"/>
      <c r="P146" s="182"/>
      <c r="Q146" s="182"/>
      <c r="R146" s="174"/>
      <c r="S146" s="174">
        <f t="shared" si="63"/>
        <v>0</v>
      </c>
      <c r="T146" s="174"/>
      <c r="U146" s="247"/>
    </row>
    <row r="147" spans="2:21" outlineLevel="2">
      <c r="B147" s="176" t="str">
        <f t="shared" si="62"/>
        <v>F06-CA01</v>
      </c>
      <c r="C147" s="176" t="s">
        <v>188</v>
      </c>
      <c r="D147" s="181" t="s">
        <v>173</v>
      </c>
      <c r="E147" s="176" t="str">
        <f>VLOOKUP(D147,'[1]Base Produits'!$A$1:$E$40,3,FALSE)</f>
        <v>F06</v>
      </c>
      <c r="F147" s="186" t="str">
        <f>+VLOOKUP($D147,Hierarchie_PF,2,FALSE)</f>
        <v>Produits  TR_Soudé  Section 6</v>
      </c>
      <c r="G147" s="182"/>
      <c r="H147" s="182"/>
      <c r="I147" s="182"/>
      <c r="J147" s="182"/>
      <c r="K147" s="182">
        <f>K70*'[1]Production '!K144</f>
        <v>0</v>
      </c>
      <c r="L147" s="182"/>
      <c r="M147" s="182"/>
      <c r="N147" s="182"/>
      <c r="O147" s="182"/>
      <c r="P147" s="182"/>
      <c r="Q147" s="182"/>
      <c r="R147" s="174"/>
      <c r="S147" s="174">
        <f t="shared" si="63"/>
        <v>0</v>
      </c>
      <c r="T147" s="174"/>
      <c r="U147" s="247"/>
    </row>
    <row r="148" spans="2:21" outlineLevel="2">
      <c r="B148" s="176" t="str">
        <f t="shared" si="62"/>
        <v>F06-CA01</v>
      </c>
      <c r="C148" s="176" t="s">
        <v>188</v>
      </c>
      <c r="D148" s="181" t="s">
        <v>174</v>
      </c>
      <c r="E148" s="176" t="str">
        <f>VLOOKUP(D148,'[1]Base Produits'!$A$1:$E$40,3,FALSE)</f>
        <v>F06</v>
      </c>
      <c r="F148" s="186" t="str">
        <f>+VLOOKUP($D148,Hierarchie_PF,2,FALSE)</f>
        <v>Produits  TR_Soudé  Section 8</v>
      </c>
      <c r="G148" s="182"/>
      <c r="H148" s="182"/>
      <c r="I148" s="182"/>
      <c r="J148" s="182"/>
      <c r="K148" s="182">
        <f>K71*'[1]Production '!K145</f>
        <v>0</v>
      </c>
      <c r="L148" s="182"/>
      <c r="M148" s="182"/>
      <c r="N148" s="182"/>
      <c r="O148" s="182"/>
      <c r="P148" s="182"/>
      <c r="Q148" s="182"/>
      <c r="R148" s="174"/>
      <c r="S148" s="174">
        <f t="shared" si="63"/>
        <v>0</v>
      </c>
      <c r="T148" s="174"/>
      <c r="U148" s="247"/>
    </row>
    <row r="149" spans="2:21" outlineLevel="2">
      <c r="B149" s="181"/>
      <c r="C149" s="181"/>
      <c r="D149" s="181"/>
      <c r="E149" s="181"/>
      <c r="F149" s="181"/>
      <c r="G149" s="182"/>
      <c r="H149" s="182"/>
      <c r="I149" s="182"/>
      <c r="J149" s="182"/>
      <c r="K149" s="182"/>
      <c r="L149" s="182"/>
      <c r="M149" s="182"/>
      <c r="N149" s="182"/>
      <c r="O149" s="182"/>
      <c r="P149" s="182"/>
      <c r="Q149" s="182"/>
      <c r="R149" s="174"/>
      <c r="S149" s="174"/>
      <c r="T149" s="174"/>
      <c r="U149" s="175"/>
    </row>
    <row r="150" spans="2:21" s="180" customFormat="1" ht="23.5" customHeight="1" outlineLevel="1" thickBot="1">
      <c r="B150" s="187"/>
      <c r="C150" s="187"/>
      <c r="D150" s="187" t="str">
        <f>VLOOKUP(D145,Hierarchie_PF,3,FALSE)</f>
        <v>F06</v>
      </c>
      <c r="E150" s="187"/>
      <c r="F150" s="187" t="str">
        <f>VLOOKUP(D145,Hierarchie_PF,4,FALSE)</f>
        <v>Treillis Soudé</v>
      </c>
      <c r="G150" s="188">
        <f>SUM(G144:G149)</f>
        <v>0</v>
      </c>
      <c r="H150" s="188">
        <f t="shared" ref="H150:R150" si="64">SUM(H144:H149)</f>
        <v>0</v>
      </c>
      <c r="I150" s="188">
        <f t="shared" si="64"/>
        <v>0</v>
      </c>
      <c r="J150" s="188">
        <f t="shared" si="64"/>
        <v>0</v>
      </c>
      <c r="K150" s="188">
        <f t="shared" si="64"/>
        <v>0</v>
      </c>
      <c r="L150" s="188">
        <f t="shared" si="64"/>
        <v>0</v>
      </c>
      <c r="M150" s="188">
        <f t="shared" si="64"/>
        <v>0</v>
      </c>
      <c r="N150" s="188">
        <f t="shared" si="64"/>
        <v>0</v>
      </c>
      <c r="O150" s="188">
        <f t="shared" si="64"/>
        <v>0</v>
      </c>
      <c r="P150" s="189">
        <f t="shared" si="64"/>
        <v>0</v>
      </c>
      <c r="Q150" s="189">
        <f t="shared" si="64"/>
        <v>0</v>
      </c>
      <c r="R150" s="174">
        <f t="shared" si="64"/>
        <v>0</v>
      </c>
      <c r="S150" s="174">
        <f>SUM(G150:R150)</f>
        <v>0</v>
      </c>
      <c r="T150" s="174"/>
      <c r="U150" s="190"/>
    </row>
    <row r="151" spans="2:21" ht="13.5" outlineLevel="1" thickTop="1">
      <c r="B151" s="173"/>
      <c r="C151" s="173"/>
      <c r="D151" s="173"/>
      <c r="E151" s="173"/>
      <c r="F151" s="173"/>
      <c r="G151" s="174"/>
      <c r="H151" s="174"/>
      <c r="I151" s="174"/>
      <c r="J151" s="174"/>
      <c r="K151" s="174"/>
      <c r="L151" s="174"/>
      <c r="M151" s="174"/>
      <c r="N151" s="174"/>
      <c r="O151" s="174"/>
      <c r="P151" s="174"/>
      <c r="Q151" s="174"/>
      <c r="R151" s="174"/>
      <c r="S151" s="174"/>
      <c r="T151" s="174"/>
      <c r="U151" s="175"/>
    </row>
    <row r="152" spans="2:21" s="201" customFormat="1" ht="23.5" customHeight="1" outlineLevel="1" thickBot="1">
      <c r="B152" s="197"/>
      <c r="C152" s="197"/>
      <c r="D152" s="197"/>
      <c r="E152" s="197"/>
      <c r="F152" s="197" t="s">
        <v>175</v>
      </c>
      <c r="G152" s="194">
        <f>SUM(G150,G143,G136,G120,G108)</f>
        <v>20576982.249000002</v>
      </c>
      <c r="H152" s="194">
        <f t="shared" ref="H152:R152" si="65">SUM(H150,H143,H136,H120,H108)</f>
        <v>35311249.801000014</v>
      </c>
      <c r="I152" s="194">
        <f t="shared" si="65"/>
        <v>31688493.909999985</v>
      </c>
      <c r="J152" s="194">
        <f t="shared" si="65"/>
        <v>32271947.239999998</v>
      </c>
      <c r="K152" s="194">
        <f t="shared" si="65"/>
        <v>26125692.930999998</v>
      </c>
      <c r="L152" s="194">
        <f t="shared" si="65"/>
        <v>21007322.066000003</v>
      </c>
      <c r="M152" s="194">
        <f t="shared" si="65"/>
        <v>18343778.761</v>
      </c>
      <c r="N152" s="194">
        <f t="shared" si="65"/>
        <v>18397588.026999999</v>
      </c>
      <c r="O152" s="194">
        <f t="shared" si="65"/>
        <v>22122350.154000003</v>
      </c>
      <c r="P152" s="194">
        <f t="shared" si="65"/>
        <v>30423450.40394333</v>
      </c>
      <c r="Q152" s="194">
        <f t="shared" si="65"/>
        <v>30423450.40394333</v>
      </c>
      <c r="R152" s="174">
        <f t="shared" si="65"/>
        <v>30423450.40394333</v>
      </c>
      <c r="S152" s="174">
        <f>SUM(G152:R152)</f>
        <v>317115756.35082996</v>
      </c>
      <c r="T152" s="174"/>
      <c r="U152" s="195"/>
    </row>
    <row r="153" spans="2:21" ht="13.5" thickTop="1">
      <c r="B153" s="173"/>
      <c r="C153" s="173"/>
      <c r="D153" s="173"/>
      <c r="E153" s="173"/>
      <c r="F153" s="173"/>
      <c r="G153" s="174"/>
      <c r="H153" s="174"/>
      <c r="I153" s="174"/>
      <c r="J153" s="174"/>
      <c r="K153" s="174"/>
      <c r="L153" s="174"/>
      <c r="M153" s="174"/>
      <c r="N153" s="174"/>
      <c r="O153" s="174"/>
      <c r="P153" s="174"/>
      <c r="Q153" s="174"/>
      <c r="R153" s="174"/>
      <c r="S153" s="174"/>
      <c r="T153" s="174"/>
    </row>
    <row r="154" spans="2:21">
      <c r="G154" s="213"/>
      <c r="H154" s="213"/>
      <c r="I154" s="213"/>
      <c r="J154" s="213"/>
      <c r="K154" s="213"/>
      <c r="L154" s="213"/>
      <c r="M154" s="213"/>
      <c r="N154" s="213"/>
      <c r="O154" s="213"/>
      <c r="R154" s="174"/>
      <c r="S154" s="174"/>
      <c r="T154" s="174"/>
    </row>
    <row r="155" spans="2:21">
      <c r="J155" s="213"/>
      <c r="K155" s="213"/>
      <c r="L155" s="213"/>
      <c r="M155" s="213"/>
      <c r="N155" s="213"/>
      <c r="O155" s="213"/>
    </row>
  </sheetData>
  <mergeCells count="1">
    <mergeCell ref="U5:Y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5"/>
  <sheetViews>
    <sheetView workbookViewId="0">
      <selection activeCell="E16" sqref="E16"/>
    </sheetView>
  </sheetViews>
  <sheetFormatPr baseColWidth="10" defaultColWidth="11.54296875" defaultRowHeight="14.5"/>
  <cols>
    <col min="1" max="1" width="6" style="251" customWidth="1"/>
    <col min="2" max="2" width="11.54296875" style="251"/>
    <col min="3" max="3" width="33.453125" style="251" bestFit="1" customWidth="1"/>
    <col min="4" max="4" width="12.26953125" style="251" customWidth="1"/>
    <col min="5" max="13" width="10.7265625" style="251" customWidth="1"/>
    <col min="14" max="17" width="11.54296875" style="297"/>
    <col min="18" max="18" width="12.54296875" style="251" bestFit="1" customWidth="1"/>
    <col min="19" max="16384" width="11.54296875" style="251"/>
  </cols>
  <sheetData>
    <row r="1" spans="2:22" ht="21.5" thickBot="1">
      <c r="B1" s="248" t="s">
        <v>113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50"/>
      <c r="O1" s="250"/>
      <c r="P1" s="250"/>
      <c r="Q1" s="250"/>
      <c r="R1" s="249"/>
      <c r="S1" s="249"/>
    </row>
    <row r="2" spans="2:22" ht="16" thickTop="1">
      <c r="B2" s="252" t="s">
        <v>195</v>
      </c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4"/>
      <c r="O2" s="254"/>
      <c r="P2" s="254"/>
      <c r="Q2" s="254"/>
      <c r="R2" s="253"/>
      <c r="S2" s="253"/>
    </row>
    <row r="3" spans="2:22" ht="15.5">
      <c r="B3" s="252" t="s">
        <v>196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4"/>
      <c r="O3" s="254"/>
      <c r="P3" s="254"/>
      <c r="Q3" s="254"/>
      <c r="R3" s="253"/>
      <c r="S3" s="253"/>
    </row>
    <row r="6" spans="2:22" ht="33" customHeight="1" thickBot="1">
      <c r="B6" s="255" t="s">
        <v>116</v>
      </c>
      <c r="C6" s="256" t="s">
        <v>197</v>
      </c>
      <c r="D6" s="256" t="s">
        <v>198</v>
      </c>
      <c r="E6" s="257">
        <v>43101</v>
      </c>
      <c r="F6" s="257">
        <v>43132</v>
      </c>
      <c r="G6" s="257">
        <v>43160</v>
      </c>
      <c r="H6" s="257">
        <v>43191</v>
      </c>
      <c r="I6" s="257">
        <v>43221</v>
      </c>
      <c r="J6" s="257">
        <v>43252</v>
      </c>
      <c r="K6" s="257">
        <v>43282</v>
      </c>
      <c r="L6" s="257">
        <v>43313</v>
      </c>
      <c r="M6" s="257">
        <v>43344</v>
      </c>
      <c r="N6" s="258">
        <v>43374</v>
      </c>
      <c r="O6" s="258">
        <v>43405</v>
      </c>
      <c r="P6" s="258">
        <v>43435</v>
      </c>
      <c r="Q6" s="256" t="s">
        <v>64</v>
      </c>
    </row>
    <row r="7" spans="2:22" ht="6.75" customHeight="1" thickTop="1">
      <c r="B7" s="259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60"/>
      <c r="O7" s="260"/>
      <c r="P7" s="260"/>
      <c r="Q7" s="261"/>
    </row>
    <row r="8" spans="2:22">
      <c r="B8" s="262" t="s">
        <v>199</v>
      </c>
      <c r="C8" s="262" t="s">
        <v>200</v>
      </c>
      <c r="D8" s="263" t="s">
        <v>201</v>
      </c>
      <c r="E8" s="264"/>
      <c r="F8" s="264"/>
      <c r="G8" s="264"/>
      <c r="H8" s="264"/>
      <c r="I8" s="264"/>
      <c r="J8" s="264"/>
      <c r="K8" s="264"/>
      <c r="L8" s="264"/>
      <c r="M8" s="264"/>
      <c r="N8" s="265"/>
      <c r="O8" s="265"/>
      <c r="P8" s="265"/>
      <c r="Q8" s="265"/>
      <c r="T8" s="266"/>
      <c r="U8" s="266"/>
      <c r="V8" s="266"/>
    </row>
    <row r="9" spans="2:22" ht="6.75" customHeight="1">
      <c r="B9" s="267" t="s">
        <v>201</v>
      </c>
      <c r="C9" s="267" t="s">
        <v>201</v>
      </c>
      <c r="D9" s="268" t="s">
        <v>201</v>
      </c>
      <c r="E9" s="269"/>
      <c r="F9" s="269"/>
      <c r="G9" s="269"/>
      <c r="H9" s="269"/>
      <c r="I9" s="269"/>
      <c r="J9" s="269"/>
      <c r="K9" s="269"/>
      <c r="L9" s="269"/>
      <c r="M9" s="269"/>
      <c r="N9" s="270"/>
      <c r="O9" s="270"/>
      <c r="P9" s="270"/>
      <c r="Q9" s="270"/>
      <c r="T9" s="266"/>
      <c r="U9" s="266"/>
    </row>
    <row r="10" spans="2:22">
      <c r="B10" s="271" t="str">
        <f>VLOOKUP($B14,Base_MP,5,FALSE)</f>
        <v>C01</v>
      </c>
      <c r="C10" s="271" t="str">
        <f>VLOOKUP($B14,Base_MP,6,FALSE)</f>
        <v xml:space="preserve">Matiéres </v>
      </c>
      <c r="D10" s="272" t="s">
        <v>201</v>
      </c>
      <c r="E10" s="273"/>
      <c r="F10" s="273"/>
      <c r="G10" s="273"/>
      <c r="H10" s="273"/>
      <c r="I10" s="273"/>
      <c r="J10" s="273"/>
      <c r="K10" s="273"/>
      <c r="L10" s="273"/>
      <c r="M10" s="273"/>
      <c r="N10" s="274"/>
      <c r="O10" s="274"/>
      <c r="P10" s="274"/>
      <c r="Q10" s="274"/>
      <c r="T10" s="266"/>
      <c r="U10" s="266"/>
    </row>
    <row r="11" spans="2:22" ht="6.75" customHeight="1">
      <c r="B11" s="267" t="s">
        <v>201</v>
      </c>
      <c r="C11" s="267" t="s">
        <v>201</v>
      </c>
      <c r="D11" s="268" t="s">
        <v>201</v>
      </c>
      <c r="E11" s="269"/>
      <c r="F11" s="269"/>
      <c r="G11" s="269"/>
      <c r="H11" s="269"/>
      <c r="I11" s="269"/>
      <c r="J11" s="269"/>
      <c r="K11" s="269"/>
      <c r="L11" s="269"/>
      <c r="M11" s="269"/>
      <c r="N11" s="270"/>
      <c r="O11" s="270"/>
      <c r="P11" s="270"/>
      <c r="Q11" s="270"/>
    </row>
    <row r="12" spans="2:22">
      <c r="B12" s="275" t="str">
        <f>VLOOKUP($B14,Base_MP,3,FALSE)</f>
        <v>R01</v>
      </c>
      <c r="C12" s="275" t="str">
        <f>VLOOKUP($B14,Base_MP,4,FALSE)</f>
        <v xml:space="preserve">Billettes </v>
      </c>
      <c r="D12" s="276"/>
      <c r="E12" s="277"/>
      <c r="F12" s="277"/>
      <c r="G12" s="277"/>
      <c r="H12" s="277"/>
      <c r="I12" s="277"/>
      <c r="J12" s="277"/>
      <c r="K12" s="277"/>
      <c r="L12" s="277"/>
      <c r="M12" s="277"/>
      <c r="N12" s="278"/>
      <c r="O12" s="278"/>
      <c r="P12" s="278"/>
      <c r="Q12" s="278"/>
    </row>
    <row r="13" spans="2:22" ht="6.75" customHeight="1">
      <c r="B13" s="279"/>
      <c r="C13" s="279"/>
      <c r="D13" s="280"/>
      <c r="E13" s="281"/>
      <c r="F13" s="281"/>
      <c r="G13" s="281"/>
      <c r="H13" s="281"/>
      <c r="I13" s="281"/>
      <c r="J13" s="281"/>
      <c r="K13" s="281"/>
      <c r="L13" s="281"/>
      <c r="M13" s="281"/>
      <c r="N13" s="282"/>
      <c r="O13" s="282"/>
      <c r="P13" s="282"/>
      <c r="Q13" s="283"/>
    </row>
    <row r="14" spans="2:22">
      <c r="B14" s="284" t="s">
        <v>202</v>
      </c>
      <c r="C14" s="285" t="str">
        <f t="shared" ref="C14:C16" si="0">VLOOKUP($B14,Base_MP,2,FALSE)</f>
        <v>Billette 125*125</v>
      </c>
      <c r="D14" s="286" t="s">
        <v>203</v>
      </c>
      <c r="E14" s="287">
        <v>0</v>
      </c>
      <c r="F14" s="287">
        <v>0</v>
      </c>
      <c r="G14" s="287">
        <v>0</v>
      </c>
      <c r="H14" s="287">
        <v>0</v>
      </c>
      <c r="I14" s="287">
        <v>0</v>
      </c>
      <c r="J14" s="287">
        <v>0</v>
      </c>
      <c r="K14" s="287">
        <v>0</v>
      </c>
      <c r="L14" s="287">
        <v>0</v>
      </c>
      <c r="M14" s="287">
        <v>0</v>
      </c>
      <c r="N14" s="287">
        <v>0</v>
      </c>
      <c r="O14" s="287">
        <v>0</v>
      </c>
      <c r="P14" s="287">
        <v>0</v>
      </c>
      <c r="Q14" s="288">
        <f t="shared" ref="Q14:Q16" si="1">SUM(E14:P14)</f>
        <v>0</v>
      </c>
      <c r="R14" s="266"/>
      <c r="S14" s="266"/>
      <c r="T14" s="266"/>
      <c r="U14" s="266"/>
    </row>
    <row r="15" spans="2:22">
      <c r="B15" s="284" t="s">
        <v>204</v>
      </c>
      <c r="C15" s="285" t="str">
        <f t="shared" si="0"/>
        <v>Billette 135*135</v>
      </c>
      <c r="D15" s="286" t="s">
        <v>203</v>
      </c>
      <c r="E15" s="287">
        <f>'[1]Achats Billettes'!H32</f>
        <v>20438</v>
      </c>
      <c r="F15" s="287">
        <f>'[1]Achats Billettes'!I32</f>
        <v>20844</v>
      </c>
      <c r="G15" s="287">
        <f>'[1]Achats Billettes'!J32</f>
        <v>22080</v>
      </c>
      <c r="H15" s="287">
        <f>'[1]Achats Billettes'!K32</f>
        <v>18867</v>
      </c>
      <c r="I15" s="287">
        <f>'[1]Achats Billettes'!L32</f>
        <v>17672</v>
      </c>
      <c r="J15" s="287">
        <f>'[1]Achats Billettes'!M32</f>
        <v>14144</v>
      </c>
      <c r="K15" s="287">
        <f>'[1]Achats Billettes'!N32</f>
        <v>12734</v>
      </c>
      <c r="L15" s="287">
        <f>'[1]Achats Billettes'!O32</f>
        <v>15751</v>
      </c>
      <c r="M15" s="287">
        <f>'[1]Achats Billettes'!P32</f>
        <v>16424</v>
      </c>
      <c r="N15" s="287">
        <f>'[1]Achats Billettes'!Q32</f>
        <v>19718.34231988636</v>
      </c>
      <c r="O15" s="287">
        <f>'[1]Achats Billettes'!R32</f>
        <v>19718.34231988636</v>
      </c>
      <c r="P15" s="287">
        <f>'[1]Achats Billettes'!S32</f>
        <v>19718.34231988636</v>
      </c>
      <c r="Q15" s="288">
        <f t="shared" si="1"/>
        <v>218109.02695965912</v>
      </c>
      <c r="R15" s="266"/>
      <c r="S15" s="266"/>
    </row>
    <row r="16" spans="2:22">
      <c r="B16" s="284" t="s">
        <v>205</v>
      </c>
      <c r="C16" s="285" t="str">
        <f t="shared" si="0"/>
        <v>Billette 150*150</v>
      </c>
      <c r="D16" s="286" t="s">
        <v>203</v>
      </c>
      <c r="E16" s="287" t="e">
        <f>SUMIF('[1]Base Formules'!$O$8:$O$362,$B16,'[1]Base Formules'!X$8:X$362)</f>
        <v>#VALUE!</v>
      </c>
      <c r="F16" s="287" t="e">
        <f>SUMIF('[1]Base Formules'!$O$8:$O$362,$B16,'[1]Base Formules'!Y$8:Y$362)</f>
        <v>#VALUE!</v>
      </c>
      <c r="G16" s="287" t="e">
        <f>SUMIF('[1]Base Formules'!$O$8:$O$362,$B16,'[1]Base Formules'!Z$8:Z$362)</f>
        <v>#VALUE!</v>
      </c>
      <c r="H16" s="287" t="e">
        <f>SUMIF('[1]Base Formules'!$O$8:$O$362,$B16,'[1]Base Formules'!AA$8:AA$362)</f>
        <v>#VALUE!</v>
      </c>
      <c r="I16" s="287" t="e">
        <f>SUMIF('[1]Base Formules'!$O$8:$O$362,$B16,'[1]Base Formules'!AB$8:AB$362)</f>
        <v>#VALUE!</v>
      </c>
      <c r="J16" s="287" t="e">
        <f>SUMIF('[1]Base Formules'!$O$8:$O$362,$B16,'[1]Base Formules'!AC$8:AC$362)</f>
        <v>#VALUE!</v>
      </c>
      <c r="K16" s="287" t="e">
        <f>SUMIF('[1]Base Formules'!$O$8:$O$362,$B16,'[1]Base Formules'!AD$8:AD$362)</f>
        <v>#VALUE!</v>
      </c>
      <c r="L16" s="287" t="e">
        <f>SUMIF('[1]Base Formules'!$O$8:$O$362,$B16,'[1]Base Formules'!AE$8:AE$362)</f>
        <v>#VALUE!</v>
      </c>
      <c r="M16" s="287" t="e">
        <f>SUMIF('[1]Base Formules'!$O$8:$O$362,$B16,'[1]Base Formules'!AF$8:AF$362)</f>
        <v>#VALUE!</v>
      </c>
      <c r="N16" s="287" t="e">
        <f>SUMIF('[1]Base Formules'!$O$8:$O$362,$B16,'[1]Base Formules'!AG$8:AG$362)</f>
        <v>#VALUE!</v>
      </c>
      <c r="O16" s="287" t="e">
        <f>SUMIF('[1]Base Formules'!$O$8:$O$362,$B16,'[1]Base Formules'!AH$8:AH$362)</f>
        <v>#VALUE!</v>
      </c>
      <c r="P16" s="287" t="e">
        <f>SUMIF('[1]Base Formules'!$O$8:$O$362,$B16,'[1]Base Formules'!AI$8:AI$362)</f>
        <v>#VALUE!</v>
      </c>
      <c r="Q16" s="288" t="e">
        <f t="shared" si="1"/>
        <v>#VALUE!</v>
      </c>
      <c r="R16" s="266"/>
      <c r="S16" s="266"/>
    </row>
    <row r="17" spans="2:19" ht="6.75" customHeight="1">
      <c r="B17" s="279"/>
      <c r="C17" s="279"/>
      <c r="D17" s="280"/>
      <c r="E17" s="281"/>
      <c r="F17" s="281"/>
      <c r="G17" s="281"/>
      <c r="H17" s="281"/>
      <c r="I17" s="281"/>
      <c r="J17" s="281"/>
      <c r="K17" s="281"/>
      <c r="L17" s="281"/>
      <c r="M17" s="281"/>
      <c r="N17" s="282"/>
      <c r="O17" s="282"/>
      <c r="P17" s="282"/>
      <c r="Q17" s="283"/>
    </row>
    <row r="18" spans="2:19">
      <c r="B18" s="275" t="str">
        <f>VLOOKUP($B20,Base_MP,3,FALSE)</f>
        <v>R02</v>
      </c>
      <c r="C18" s="275" t="str">
        <f>VLOOKUP($B20,Base_MP,4,FALSE)</f>
        <v xml:space="preserve">Electricité </v>
      </c>
      <c r="D18" s="276"/>
      <c r="E18" s="277"/>
      <c r="F18" s="277"/>
      <c r="G18" s="277"/>
      <c r="H18" s="277"/>
      <c r="I18" s="277"/>
      <c r="J18" s="277"/>
      <c r="K18" s="277"/>
      <c r="L18" s="277"/>
      <c r="M18" s="277"/>
      <c r="N18" s="278"/>
      <c r="O18" s="278"/>
      <c r="P18" s="278"/>
      <c r="Q18" s="278"/>
    </row>
    <row r="19" spans="2:19" ht="6.75" customHeight="1">
      <c r="B19" s="279"/>
      <c r="C19" s="279"/>
      <c r="D19" s="280"/>
      <c r="E19" s="281"/>
      <c r="F19" s="281"/>
      <c r="G19" s="281"/>
      <c r="H19" s="281"/>
      <c r="I19" s="281"/>
      <c r="J19" s="281"/>
      <c r="K19" s="281"/>
      <c r="L19" s="281"/>
      <c r="M19" s="281"/>
      <c r="N19" s="282"/>
      <c r="O19" s="282"/>
      <c r="P19" s="282"/>
      <c r="Q19" s="283"/>
    </row>
    <row r="20" spans="2:19">
      <c r="B20" s="279" t="s">
        <v>206</v>
      </c>
      <c r="C20" s="289" t="str">
        <f t="shared" ref="C20:C22" si="2">VLOOKUP($B20,Base_MP,2,FALSE)</f>
        <v>Elec Kwh</v>
      </c>
      <c r="D20" s="290" t="s">
        <v>207</v>
      </c>
      <c r="E20" s="287">
        <v>2786744</v>
      </c>
      <c r="F20" s="287">
        <v>2333186</v>
      </c>
      <c r="G20" s="287">
        <v>2519432</v>
      </c>
      <c r="H20" s="287">
        <v>2312277</v>
      </c>
      <c r="I20" s="287">
        <v>2274979</v>
      </c>
      <c r="J20" s="287">
        <v>1740615</v>
      </c>
      <c r="K20" s="287">
        <v>1678793</v>
      </c>
      <c r="L20" s="287">
        <v>2159746</v>
      </c>
      <c r="M20" s="287">
        <v>2099716</v>
      </c>
      <c r="N20" s="287" t="e">
        <f>SUMIF('[1]Base Formules'!$O$9:$O$358,$B20,'[1]Base Formules'!AG$9:AG$358)+482211</f>
        <v>#VALUE!</v>
      </c>
      <c r="O20" s="287" t="e">
        <f>SUMIF('[1]Base Formules'!$O$9:$O$358,$B20,'[1]Base Formules'!AH$9:AH$358)+482211</f>
        <v>#VALUE!</v>
      </c>
      <c r="P20" s="287" t="e">
        <f>SUMIF('[1]Base Formules'!$O$9:$O$358,$B20,'[1]Base Formules'!AI$9:AI$358)+482211</f>
        <v>#VALUE!</v>
      </c>
      <c r="Q20" s="288" t="e">
        <f t="shared" ref="Q20:Q22" si="3">SUM(E20:P20)</f>
        <v>#VALUE!</v>
      </c>
    </row>
    <row r="21" spans="2:19">
      <c r="B21" s="279" t="s">
        <v>208</v>
      </c>
      <c r="C21" s="289" t="str">
        <f t="shared" si="2"/>
        <v>Gaz Naturel NM3</v>
      </c>
      <c r="D21" s="290" t="s">
        <v>209</v>
      </c>
      <c r="E21" s="287">
        <v>705812</v>
      </c>
      <c r="F21" s="287">
        <v>808139</v>
      </c>
      <c r="G21" s="287">
        <v>758072</v>
      </c>
      <c r="H21" s="287">
        <v>693442</v>
      </c>
      <c r="I21" s="287">
        <v>696206</v>
      </c>
      <c r="J21" s="287">
        <v>543244</v>
      </c>
      <c r="K21" s="287">
        <v>470204</v>
      </c>
      <c r="L21" s="287">
        <v>513296</v>
      </c>
      <c r="M21" s="287">
        <v>677608</v>
      </c>
      <c r="N21" s="287" t="e">
        <f>SUMIF('[1]Base Formules'!$O$8:$O$362,$B21,'[1]Base Formules'!AG$8:AG$362)</f>
        <v>#VALUE!</v>
      </c>
      <c r="O21" s="287" t="e">
        <f>SUMIF('[1]Base Formules'!$O$8:$O$362,$B21,'[1]Base Formules'!AH$8:AH$362)</f>
        <v>#VALUE!</v>
      </c>
      <c r="P21" s="287" t="e">
        <f>SUMIF('[1]Base Formules'!$O$8:$O$362,$B21,'[1]Base Formules'!AI$8:AI$362)</f>
        <v>#VALUE!</v>
      </c>
      <c r="Q21" s="288" t="e">
        <f t="shared" si="3"/>
        <v>#VALUE!</v>
      </c>
    </row>
    <row r="22" spans="2:19">
      <c r="B22" s="279" t="s">
        <v>210</v>
      </c>
      <c r="C22" s="289" t="str">
        <f t="shared" si="2"/>
        <v>Eau de refroidissement</v>
      </c>
      <c r="D22" s="290" t="s">
        <v>211</v>
      </c>
      <c r="E22" s="287" t="e">
        <f>SUMIF('[1]Base Formules'!$O$8:$O$362,$B22,'[1]Base Formules'!X$8:X$362)</f>
        <v>#VALUE!</v>
      </c>
      <c r="F22" s="287" t="e">
        <f>SUMIF('[1]Base Formules'!$O$8:$O$362,$B22,'[1]Base Formules'!Y$8:Y$362)</f>
        <v>#VALUE!</v>
      </c>
      <c r="G22" s="287" t="e">
        <f>SUMIF('[1]Base Formules'!$O$8:$O$362,$B22,'[1]Base Formules'!Z$8:Z$362)</f>
        <v>#VALUE!</v>
      </c>
      <c r="H22" s="287" t="e">
        <f>SUMIF('[1]Base Formules'!$O$8:$O$362,$B22,'[1]Base Formules'!AA$8:AA$362)</f>
        <v>#VALUE!</v>
      </c>
      <c r="I22" s="287" t="e">
        <f>SUMIF('[1]Base Formules'!$O$8:$O$362,$B22,'[1]Base Formules'!AB$8:AB$362)</f>
        <v>#VALUE!</v>
      </c>
      <c r="J22" s="287" t="e">
        <f>SUMIF('[1]Base Formules'!$O$8:$O$362,$B22,'[1]Base Formules'!AC$8:AC$362)</f>
        <v>#VALUE!</v>
      </c>
      <c r="K22" s="287" t="e">
        <f>SUMIF('[1]Base Formules'!$O$8:$O$362,$B22,'[1]Base Formules'!AD$8:AD$362)</f>
        <v>#VALUE!</v>
      </c>
      <c r="L22" s="287" t="e">
        <f>SUMIF('[1]Base Formules'!$O$8:$O$362,$B22,'[1]Base Formules'!AE$8:AE$362)</f>
        <v>#VALUE!</v>
      </c>
      <c r="M22" s="287" t="e">
        <f>SUMIF('[1]Base Formules'!$O$8:$O$362,$B22,'[1]Base Formules'!AF$8:AF$362)</f>
        <v>#VALUE!</v>
      </c>
      <c r="N22" s="287" t="e">
        <f>SUMIF('[1]Base Formules'!$O$8:$O$362,$B22,'[1]Base Formules'!AG$8:AG$362)</f>
        <v>#VALUE!</v>
      </c>
      <c r="O22" s="287" t="e">
        <f>SUMIF('[1]Base Formules'!$O$8:$O$362,$B22,'[1]Base Formules'!AH$8:AH$362)</f>
        <v>#VALUE!</v>
      </c>
      <c r="P22" s="287" t="e">
        <f>SUMIF('[1]Base Formules'!$O$8:$O$362,$B22,'[1]Base Formules'!AI$8:AI$362)</f>
        <v>#VALUE!</v>
      </c>
      <c r="Q22" s="288" t="e">
        <f t="shared" si="3"/>
        <v>#VALUE!</v>
      </c>
    </row>
    <row r="23" spans="2:19" ht="6.75" customHeight="1">
      <c r="B23" s="279"/>
      <c r="C23" s="279"/>
      <c r="D23" s="280"/>
      <c r="E23" s="281"/>
      <c r="F23" s="281"/>
      <c r="G23" s="281"/>
      <c r="H23" s="281"/>
      <c r="I23" s="281"/>
      <c r="J23" s="281"/>
      <c r="K23" s="281"/>
      <c r="L23" s="281"/>
      <c r="M23" s="281"/>
      <c r="N23" s="282"/>
      <c r="O23" s="282"/>
      <c r="P23" s="282"/>
      <c r="Q23" s="283"/>
    </row>
    <row r="24" spans="2:19">
      <c r="B24" s="271" t="str">
        <f>VLOOKUP($B28,Base_MP,5,FALSE)</f>
        <v>C03</v>
      </c>
      <c r="C24" s="271" t="str">
        <f>VLOOKUP($B28,Base_MP,6,FALSE)</f>
        <v>Piéces de rechange</v>
      </c>
      <c r="D24" s="272"/>
      <c r="E24" s="273"/>
      <c r="F24" s="273"/>
      <c r="G24" s="273"/>
      <c r="H24" s="273"/>
      <c r="I24" s="273"/>
      <c r="J24" s="273"/>
      <c r="K24" s="273"/>
      <c r="L24" s="273"/>
      <c r="M24" s="273"/>
      <c r="N24" s="274"/>
      <c r="O24" s="274"/>
      <c r="P24" s="274"/>
      <c r="Q24" s="274"/>
    </row>
    <row r="25" spans="2:19" ht="6.75" customHeight="1">
      <c r="B25" s="279"/>
      <c r="C25" s="279"/>
      <c r="D25" s="280"/>
      <c r="E25" s="281"/>
      <c r="F25" s="281"/>
      <c r="G25" s="281"/>
      <c r="H25" s="281"/>
      <c r="I25" s="281"/>
      <c r="J25" s="281"/>
      <c r="K25" s="281"/>
      <c r="L25" s="281"/>
      <c r="M25" s="281"/>
      <c r="N25" s="282"/>
      <c r="O25" s="282"/>
      <c r="P25" s="282"/>
      <c r="Q25" s="283"/>
    </row>
    <row r="26" spans="2:19">
      <c r="B26" s="275" t="str">
        <f>VLOOKUP($B28,Base_MP,3,FALSE)</f>
        <v>R03</v>
      </c>
      <c r="C26" s="275" t="str">
        <f>VLOOKUP($B28,Base_MP,4,FALSE)</f>
        <v>Piéces de rechange</v>
      </c>
      <c r="D26" s="276"/>
      <c r="E26" s="278">
        <f>200000*S28</f>
        <v>60606.060606060608</v>
      </c>
      <c r="F26" s="278" t="e">
        <f t="shared" ref="F26:M26" si="4">SUM(F28:F34)</f>
        <v>#VALUE!</v>
      </c>
      <c r="G26" s="278" t="e">
        <f t="shared" si="4"/>
        <v>#VALUE!</v>
      </c>
      <c r="H26" s="278" t="e">
        <f t="shared" si="4"/>
        <v>#VALUE!</v>
      </c>
      <c r="I26" s="278" t="e">
        <f t="shared" si="4"/>
        <v>#VALUE!</v>
      </c>
      <c r="J26" s="278" t="e">
        <f t="shared" si="4"/>
        <v>#VALUE!</v>
      </c>
      <c r="K26" s="278" t="e">
        <f t="shared" si="4"/>
        <v>#VALUE!</v>
      </c>
      <c r="L26" s="278" t="e">
        <f t="shared" si="4"/>
        <v>#VALUE!</v>
      </c>
      <c r="M26" s="278" t="e">
        <f t="shared" si="4"/>
        <v>#VALUE!</v>
      </c>
      <c r="N26" s="278" t="e">
        <f>SUM(N28:N34)</f>
        <v>#VALUE!</v>
      </c>
      <c r="O26" s="278" t="e">
        <f t="shared" ref="O26:Q26" si="5">SUM(O28:O34)</f>
        <v>#VALUE!</v>
      </c>
      <c r="P26" s="278" t="e">
        <f t="shared" si="5"/>
        <v>#VALUE!</v>
      </c>
      <c r="Q26" s="278" t="e">
        <f t="shared" si="5"/>
        <v>#VALUE!</v>
      </c>
      <c r="R26" s="251">
        <f>SUM(R28:R34)</f>
        <v>16.5</v>
      </c>
    </row>
    <row r="27" spans="2:19" ht="6.75" customHeight="1">
      <c r="B27" s="279"/>
      <c r="C27" s="279"/>
      <c r="D27" s="280"/>
      <c r="E27" s="281"/>
      <c r="F27" s="281"/>
      <c r="G27" s="281"/>
      <c r="H27" s="281"/>
      <c r="I27" s="281"/>
      <c r="J27" s="281"/>
      <c r="K27" s="281"/>
      <c r="L27" s="281"/>
      <c r="M27" s="281"/>
      <c r="N27" s="282"/>
      <c r="O27" s="282"/>
      <c r="P27" s="282"/>
      <c r="Q27" s="283"/>
    </row>
    <row r="28" spans="2:19">
      <c r="B28" s="291" t="s">
        <v>212</v>
      </c>
      <c r="C28" s="284" t="str">
        <f t="shared" ref="C28:C34" si="6">VLOOKUP($B28,Base_MP,2,FALSE)</f>
        <v>Cylindre Laminage (Fonte)</v>
      </c>
      <c r="D28" s="292" t="s">
        <v>100</v>
      </c>
      <c r="E28" s="293">
        <f>[1]VAL_Billett_Cha_Fix!E28/[1]QTé_Billettes_Ch_Fix!E$45</f>
        <v>1.1779373007971692</v>
      </c>
      <c r="F28" s="293">
        <f>[1]VAL_Billett_Cha_Fix!F28/[1]QTé_Billettes_Ch_Fix!F$45</f>
        <v>0</v>
      </c>
      <c r="G28" s="293">
        <f>[1]VAL_Billett_Cha_Fix!G28/[1]QTé_Billettes_Ch_Fix!G$45</f>
        <v>0.56766675881181561</v>
      </c>
      <c r="H28" s="293">
        <f>[1]VAL_Billett_Cha_Fix!H28/[1]QTé_Billettes_Ch_Fix!H$45</f>
        <v>0.46988343267872995</v>
      </c>
      <c r="I28" s="293">
        <f>[1]VAL_Billett_Cha_Fix!I28/[1]QTé_Billettes_Ch_Fix!I$45</f>
        <v>3.188499335012511E-2</v>
      </c>
      <c r="J28" s="293">
        <f>[1]VAL_Billett_Cha_Fix!J28/[1]QTé_Billettes_Ch_Fix!J$45</f>
        <v>4.3186367961480938</v>
      </c>
      <c r="K28" s="293">
        <f>[1]VAL_Billett_Cha_Fix!K28/[1]QTé_Billettes_Ch_Fix!K$45</f>
        <v>0</v>
      </c>
      <c r="L28" s="293">
        <f>[1]VAL_Billett_Cha_Fix!L28/[1]QTé_Billettes_Ch_Fix!L$45</f>
        <v>0.50815217122720902</v>
      </c>
      <c r="M28" s="293">
        <f>[1]VAL_Billett_Cha_Fix!M28/[1]QTé_Billettes_Ch_Fix!M$45</f>
        <v>3.6917376665491641</v>
      </c>
      <c r="N28" s="287" t="e">
        <f>SUMIF('[1]Base Formules'!$O$8:$O$362,$B28,'[1]Base Formules'!AG$8:AG$362)</f>
        <v>#VALUE!</v>
      </c>
      <c r="O28" s="287" t="e">
        <f>SUMIF('[1]Base Formules'!$O$8:$O$362,$B28,'[1]Base Formules'!AH$8:AH$362)</f>
        <v>#VALUE!</v>
      </c>
      <c r="P28" s="287" t="e">
        <f>SUMIF('[1]Base Formules'!$O$8:$O$362,$B28,'[1]Base Formules'!AI$8:AI$362)</f>
        <v>#VALUE!</v>
      </c>
      <c r="Q28" s="288" t="e">
        <f t="shared" ref="Q28:Q34" si="7">SUM(E28:P28)</f>
        <v>#VALUE!</v>
      </c>
      <c r="R28" s="251">
        <f>+'[1]Base Prix MP &amp; EMB'!V28</f>
        <v>5</v>
      </c>
      <c r="S28" s="294">
        <f>+R28/$R$26</f>
        <v>0.30303030303030304</v>
      </c>
    </row>
    <row r="29" spans="2:19">
      <c r="B29" s="291" t="s">
        <v>213</v>
      </c>
      <c r="C29" s="284" t="str">
        <f t="shared" si="6"/>
        <v>Guide de Laminage</v>
      </c>
      <c r="D29" s="292" t="s">
        <v>100</v>
      </c>
      <c r="E29" s="293">
        <f>[1]VAL_Billett_Cha_Fix!E29/[1]QTé_Billettes_Ch_Fix!E$45</f>
        <v>0.51309840146603047</v>
      </c>
      <c r="F29" s="293">
        <f>[1]VAL_Billett_Cha_Fix!F29/[1]QTé_Billettes_Ch_Fix!F$45</f>
        <v>0.12266794384154414</v>
      </c>
      <c r="G29" s="293">
        <f>[1]VAL_Billett_Cha_Fix!G29/[1]QTé_Billettes_Ch_Fix!G$45</f>
        <v>5.2632848872225059E-2</v>
      </c>
      <c r="H29" s="293">
        <f>[1]VAL_Billett_Cha_Fix!H29/[1]QTé_Billettes_Ch_Fix!H$45</f>
        <v>0.11599058705199133</v>
      </c>
      <c r="I29" s="293">
        <f>[1]VAL_Billett_Cha_Fix!I29/[1]QTé_Billettes_Ch_Fix!I$45</f>
        <v>9.3836333757110757E-2</v>
      </c>
      <c r="J29" s="293">
        <f>[1]VAL_Billett_Cha_Fix!J29/[1]QTé_Billettes_Ch_Fix!J$45</f>
        <v>0.31651415192820004</v>
      </c>
      <c r="K29" s="293">
        <f>[1]VAL_Billett_Cha_Fix!K29/[1]QTé_Billettes_Ch_Fix!K$45</f>
        <v>0</v>
      </c>
      <c r="L29" s="293">
        <f>[1]VAL_Billett_Cha_Fix!L29/[1]QTé_Billettes_Ch_Fix!L$45</f>
        <v>0.13283547714376487</v>
      </c>
      <c r="M29" s="293">
        <f>[1]VAL_Billett_Cha_Fix!M29/[1]QTé_Billettes_Ch_Fix!M$45</f>
        <v>3.0450448607505374E-2</v>
      </c>
      <c r="N29" s="287" t="e">
        <f>SUMIF('[1]Base Formules'!$O$8:$O$362,$B29,'[1]Base Formules'!AG$8:AG$362)</f>
        <v>#VALUE!</v>
      </c>
      <c r="O29" s="287" t="e">
        <f>SUMIF('[1]Base Formules'!$O$8:$O$362,$B29,'[1]Base Formules'!AH$8:AH$362)</f>
        <v>#VALUE!</v>
      </c>
      <c r="P29" s="287" t="e">
        <f>SUMIF('[1]Base Formules'!$O$8:$O$362,$B29,'[1]Base Formules'!AI$8:AI$362)</f>
        <v>#VALUE!</v>
      </c>
      <c r="Q29" s="288" t="e">
        <f t="shared" si="7"/>
        <v>#VALUE!</v>
      </c>
      <c r="R29" s="251">
        <f>+'[1]Base Prix MP &amp; EMB'!V29</f>
        <v>4</v>
      </c>
      <c r="S29" s="294">
        <f t="shared" ref="S29:S34" si="8">+R29/$R$26</f>
        <v>0.24242424242424243</v>
      </c>
    </row>
    <row r="30" spans="2:19">
      <c r="B30" s="291" t="s">
        <v>214</v>
      </c>
      <c r="C30" s="284" t="str">
        <f t="shared" si="6"/>
        <v xml:space="preserve">Lame de Cisalle </v>
      </c>
      <c r="D30" s="292" t="s">
        <v>100</v>
      </c>
      <c r="E30" s="293">
        <f>[1]VAL_Billett_Cha_Fix!E30/[1]QTé_Billettes_Ch_Fix!E$45</f>
        <v>0.12142023240799193</v>
      </c>
      <c r="F30" s="293">
        <f>[1]VAL_Billett_Cha_Fix!F30/[1]QTé_Billettes_Ch_Fix!F$45</f>
        <v>0.12266794384154414</v>
      </c>
      <c r="G30" s="293">
        <f>[1]VAL_Billett_Cha_Fix!G30/[1]QTé_Billettes_Ch_Fix!G$45</f>
        <v>0</v>
      </c>
      <c r="H30" s="293">
        <f>[1]VAL_Billett_Cha_Fix!H30/[1]QTé_Billettes_Ch_Fix!H$45</f>
        <v>3.3066585583851442E-2</v>
      </c>
      <c r="I30" s="293">
        <f>[1]VAL_Billett_Cha_Fix!I30/[1]QTé_Billettes_Ch_Fix!I$45</f>
        <v>0</v>
      </c>
      <c r="J30" s="293">
        <f>[1]VAL_Billett_Cha_Fix!J30/[1]QTé_Billettes_Ch_Fix!J$45</f>
        <v>0.30915516509481888</v>
      </c>
      <c r="K30" s="293">
        <f>[1]VAL_Billett_Cha_Fix!K30/[1]QTé_Billettes_Ch_Fix!K$45</f>
        <v>0</v>
      </c>
      <c r="L30" s="293">
        <f>[1]VAL_Billett_Cha_Fix!L30/[1]QTé_Billettes_Ch_Fix!L$45</f>
        <v>0</v>
      </c>
      <c r="M30" s="293">
        <f>[1]VAL_Billett_Cha_Fix!M30/[1]QTé_Billettes_Ch_Fix!M$45</f>
        <v>0</v>
      </c>
      <c r="N30" s="287" t="e">
        <f>SUMIF('[1]Base Formules'!$O$8:$O$362,$B30,'[1]Base Formules'!AG$8:AG$362)</f>
        <v>#VALUE!</v>
      </c>
      <c r="O30" s="287" t="e">
        <f>SUMIF('[1]Base Formules'!$O$8:$O$362,$B30,'[1]Base Formules'!AH$8:AH$362)</f>
        <v>#VALUE!</v>
      </c>
      <c r="P30" s="287" t="e">
        <f>SUMIF('[1]Base Formules'!$O$8:$O$362,$B30,'[1]Base Formules'!AI$8:AI$362)</f>
        <v>#VALUE!</v>
      </c>
      <c r="Q30" s="288" t="e">
        <f t="shared" si="7"/>
        <v>#VALUE!</v>
      </c>
      <c r="R30" s="251">
        <f>+'[1]Base Prix MP &amp; EMB'!V30</f>
        <v>3</v>
      </c>
      <c r="S30" s="294">
        <f t="shared" si="8"/>
        <v>0.18181818181818182</v>
      </c>
    </row>
    <row r="31" spans="2:19">
      <c r="B31" s="291" t="s">
        <v>215</v>
      </c>
      <c r="C31" s="284" t="str">
        <f t="shared" si="6"/>
        <v>ProduitsConsommables</v>
      </c>
      <c r="D31" s="292" t="s">
        <v>100</v>
      </c>
      <c r="E31" s="293">
        <f>[1]VAL_Billett_Cha_Fix!E31/[1]QTé_Billettes_Ch_Fix!E$45</f>
        <v>0</v>
      </c>
      <c r="F31" s="293">
        <f>[1]VAL_Billett_Cha_Fix!F31/[1]QTé_Billettes_Ch_Fix!F$45</f>
        <v>0</v>
      </c>
      <c r="G31" s="293">
        <f>[1]VAL_Billett_Cha_Fix!G31/[1]QTé_Billettes_Ch_Fix!G$45</f>
        <v>0</v>
      </c>
      <c r="H31" s="293">
        <f>[1]VAL_Billett_Cha_Fix!H31/[1]QTé_Billettes_Ch_Fix!H$45</f>
        <v>0</v>
      </c>
      <c r="I31" s="293">
        <f>[1]VAL_Billett_Cha_Fix!I31/[1]QTé_Billettes_Ch_Fix!I$45</f>
        <v>0</v>
      </c>
      <c r="J31" s="293">
        <f>[1]VAL_Billett_Cha_Fix!J31/[1]QTé_Billettes_Ch_Fix!J$45</f>
        <v>0</v>
      </c>
      <c r="K31" s="293">
        <f>[1]VAL_Billett_Cha_Fix!K31/[1]QTé_Billettes_Ch_Fix!K$45</f>
        <v>0</v>
      </c>
      <c r="L31" s="293">
        <f>[1]VAL_Billett_Cha_Fix!L31/[1]QTé_Billettes_Ch_Fix!L$45</f>
        <v>0</v>
      </c>
      <c r="M31" s="293">
        <f>[1]VAL_Billett_Cha_Fix!M31/[1]QTé_Billettes_Ch_Fix!M$45</f>
        <v>0</v>
      </c>
      <c r="N31" s="287" t="e">
        <f>SUMIF('[1]Base Formules'!$O$8:$O$362,$B31,'[1]Base Formules'!AG$8:AG$362)</f>
        <v>#VALUE!</v>
      </c>
      <c r="O31" s="287" t="e">
        <f>SUMIF('[1]Base Formules'!$O$8:$O$362,$B31,'[1]Base Formules'!AH$8:AH$362)</f>
        <v>#VALUE!</v>
      </c>
      <c r="P31" s="287" t="e">
        <f>SUMIF('[1]Base Formules'!$O$8:$O$362,$B31,'[1]Base Formules'!AI$8:AI$362)</f>
        <v>#VALUE!</v>
      </c>
      <c r="Q31" s="288" t="e">
        <f t="shared" si="7"/>
        <v>#VALUE!</v>
      </c>
      <c r="R31" s="251">
        <f>+'[1]Base Prix MP &amp; EMB'!V31</f>
        <v>2.5</v>
      </c>
      <c r="S31" s="294">
        <f t="shared" si="8"/>
        <v>0.15151515151515152</v>
      </c>
    </row>
    <row r="32" spans="2:19">
      <c r="B32" s="291" t="s">
        <v>216</v>
      </c>
      <c r="C32" s="284" t="str">
        <f t="shared" si="6"/>
        <v>Galet /Laminoir à chaud</v>
      </c>
      <c r="D32" s="292" t="s">
        <v>100</v>
      </c>
      <c r="E32" s="293">
        <f>[1]VAL_Billett_Cha_Fix!E32/[1]QTé_Billettes_Ch_Fix!E$45</f>
        <v>0.261047081350681</v>
      </c>
      <c r="F32" s="293">
        <f>[1]VAL_Billett_Cha_Fix!F32/[1]QTé_Billettes_Ch_Fix!F$45</f>
        <v>0.14105694081876258</v>
      </c>
      <c r="G32" s="293">
        <f>[1]VAL_Billett_Cha_Fix!G32/[1]QTé_Billettes_Ch_Fix!G$45</f>
        <v>0.14081988662212155</v>
      </c>
      <c r="H32" s="293">
        <f>[1]VAL_Billett_Cha_Fix!H32/[1]QTé_Billettes_Ch_Fix!H$45</f>
        <v>0.39829583220573678</v>
      </c>
      <c r="I32" s="293">
        <f>[1]VAL_Billett_Cha_Fix!I32/[1]QTé_Billettes_Ch_Fix!I$45</f>
        <v>0.4350350459036208</v>
      </c>
      <c r="J32" s="293">
        <f>[1]VAL_Billett_Cha_Fix!J32/[1]QTé_Billettes_Ch_Fix!J$45</f>
        <v>2.9956494132531413</v>
      </c>
      <c r="K32" s="293">
        <f>[1]VAL_Billett_Cha_Fix!K32/[1]QTé_Billettes_Ch_Fix!K$45</f>
        <v>0</v>
      </c>
      <c r="L32" s="293">
        <f>[1]VAL_Billett_Cha_Fix!L32/[1]QTé_Billettes_Ch_Fix!L$45</f>
        <v>1.1909390214537943</v>
      </c>
      <c r="M32" s="293">
        <f>[1]VAL_Billett_Cha_Fix!M32/[1]QTé_Billettes_Ch_Fix!M$45</f>
        <v>1.8276204302188841</v>
      </c>
      <c r="N32" s="287" t="e">
        <f>SUMIF('[1]Base Formules'!$O$8:$O$362,$B32,'[1]Base Formules'!AG$8:AG$362)</f>
        <v>#VALUE!</v>
      </c>
      <c r="O32" s="287" t="e">
        <f>SUMIF('[1]Base Formules'!$O$8:$O$362,$B32,'[1]Base Formules'!AH$8:AH$362)</f>
        <v>#VALUE!</v>
      </c>
      <c r="P32" s="287" t="e">
        <f>SUMIF('[1]Base Formules'!$O$8:$O$362,$B32,'[1]Base Formules'!AI$8:AI$362)</f>
        <v>#VALUE!</v>
      </c>
      <c r="Q32" s="288" t="e">
        <f t="shared" si="7"/>
        <v>#VALUE!</v>
      </c>
      <c r="R32" s="251">
        <f>+'[1]Base Prix MP &amp; EMB'!V32</f>
        <v>0</v>
      </c>
      <c r="S32" s="294">
        <f t="shared" si="8"/>
        <v>0</v>
      </c>
    </row>
    <row r="33" spans="2:19">
      <c r="B33" s="291" t="s">
        <v>217</v>
      </c>
      <c r="C33" s="284" t="str">
        <f t="shared" si="6"/>
        <v>Galet TS</v>
      </c>
      <c r="D33" s="292" t="s">
        <v>218</v>
      </c>
      <c r="E33" s="287" t="e">
        <f>SUMIF('[1]Base Formules'!$O$8:$O$362,$B33,'[1]Base Formules'!X$8:X$362)</f>
        <v>#VALUE!</v>
      </c>
      <c r="F33" s="287" t="e">
        <f>SUMIF('[1]Base Formules'!$O$8:$O$362,$B33,'[1]Base Formules'!Y$8:Y$362)</f>
        <v>#VALUE!</v>
      </c>
      <c r="G33" s="287" t="e">
        <f>SUMIF('[1]Base Formules'!$O$8:$O$362,$B33,'[1]Base Formules'!Z$8:Z$362)</f>
        <v>#VALUE!</v>
      </c>
      <c r="H33" s="287" t="e">
        <f>SUMIF('[1]Base Formules'!$O$8:$O$362,$B33,'[1]Base Formules'!AA$8:AA$362)</f>
        <v>#VALUE!</v>
      </c>
      <c r="I33" s="287" t="e">
        <f>SUMIF('[1]Base Formules'!$O$8:$O$362,$B33,'[1]Base Formules'!AB$8:AB$362)</f>
        <v>#VALUE!</v>
      </c>
      <c r="J33" s="287" t="e">
        <f>SUMIF('[1]Base Formules'!$O$8:$O$362,$B33,'[1]Base Formules'!AC$8:AC$362)</f>
        <v>#VALUE!</v>
      </c>
      <c r="K33" s="287" t="e">
        <f>SUMIF('[1]Base Formules'!$O$8:$O$362,$B33,'[1]Base Formules'!AD$8:AD$362)</f>
        <v>#VALUE!</v>
      </c>
      <c r="L33" s="287" t="e">
        <f>SUMIF('[1]Base Formules'!$O$8:$O$362,$B33,'[1]Base Formules'!AE$8:AE$362)</f>
        <v>#VALUE!</v>
      </c>
      <c r="M33" s="287" t="e">
        <f>SUMIF('[1]Base Formules'!$O$8:$O$362,$B33,'[1]Base Formules'!AF$8:AF$362)</f>
        <v>#VALUE!</v>
      </c>
      <c r="N33" s="287" t="e">
        <f>SUMIF('[1]Base Formules'!$O$8:$O$362,$B33,'[1]Base Formules'!AG$8:AG$362)</f>
        <v>#VALUE!</v>
      </c>
      <c r="O33" s="287" t="e">
        <f>SUMIF('[1]Base Formules'!$O$8:$O$362,$B33,'[1]Base Formules'!AH$8:AH$362)</f>
        <v>#VALUE!</v>
      </c>
      <c r="P33" s="287" t="e">
        <f>SUMIF('[1]Base Formules'!$O$8:$O$362,$B33,'[1]Base Formules'!AI$8:AI$362)</f>
        <v>#VALUE!</v>
      </c>
      <c r="Q33" s="288" t="e">
        <f t="shared" si="7"/>
        <v>#VALUE!</v>
      </c>
      <c r="R33" s="251">
        <f>+'[1]Base Prix MP &amp; EMB'!V33</f>
        <v>0</v>
      </c>
      <c r="S33" s="294">
        <f t="shared" si="8"/>
        <v>0</v>
      </c>
    </row>
    <row r="34" spans="2:19">
      <c r="B34" s="291" t="s">
        <v>219</v>
      </c>
      <c r="C34" s="284" t="str">
        <f t="shared" si="6"/>
        <v>Autres PDR</v>
      </c>
      <c r="D34" s="292" t="s">
        <v>100</v>
      </c>
      <c r="E34" s="287">
        <f>[1]VAL_Billett_Cha_Fix!E34/[1]QTé_Billettes_Ch_Fix!E$45</f>
        <v>12.739374931284631</v>
      </c>
      <c r="F34" s="287">
        <f>[1]VAL_Billett_Cha_Fix!F34/[1]QTé_Billettes_Ch_Fix!F$45</f>
        <v>15.305473822047672</v>
      </c>
      <c r="G34" s="287">
        <f>[1]VAL_Billett_Cha_Fix!G34/[1]QTé_Billettes_Ch_Fix!G$45</f>
        <v>17.302973490419365</v>
      </c>
      <c r="H34" s="287">
        <f>[1]VAL_Billett_Cha_Fix!H34/[1]QTé_Billettes_Ch_Fix!H$45</f>
        <v>17.746633606266563</v>
      </c>
      <c r="I34" s="287">
        <f>[1]VAL_Billett_Cha_Fix!I34/[1]QTé_Billettes_Ch_Fix!I$45</f>
        <v>22.236833754500807</v>
      </c>
      <c r="J34" s="287">
        <f>[1]VAL_Billett_Cha_Fix!J34/[1]QTé_Billettes_Ch_Fix!J$45</f>
        <v>19.851929953152684</v>
      </c>
      <c r="K34" s="287">
        <f>[1]VAL_Billett_Cha_Fix!K34/[1]QTé_Billettes_Ch_Fix!K$45</f>
        <v>1.1442851384404114</v>
      </c>
      <c r="L34" s="287">
        <f>[1]VAL_Billett_Cha_Fix!L34/[1]QTé_Billettes_Ch_Fix!L$45</f>
        <v>33.853712257651665</v>
      </c>
      <c r="M34" s="287">
        <f>[1]VAL_Billett_Cha_Fix!M34/[1]QTé_Billettes_Ch_Fix!M$45</f>
        <v>22.392031381699475</v>
      </c>
      <c r="N34" s="287" t="e">
        <f>SUMIF('[1]Base Formules'!$O$8:$O$362,$B34,'[1]Base Formules'!AG$8:AG$362)</f>
        <v>#VALUE!</v>
      </c>
      <c r="O34" s="287" t="e">
        <f>SUMIF('[1]Base Formules'!$O$8:$O$362,$B34,'[1]Base Formules'!AH$8:AH$362)</f>
        <v>#VALUE!</v>
      </c>
      <c r="P34" s="287" t="e">
        <f>SUMIF('[1]Base Formules'!$O$8:$O$362,$B34,'[1]Base Formules'!AI$8:AI$362)</f>
        <v>#VALUE!</v>
      </c>
      <c r="Q34" s="288" t="e">
        <f t="shared" si="7"/>
        <v>#VALUE!</v>
      </c>
      <c r="R34" s="251">
        <f>+'[1]Base Prix MP &amp; EMB'!V34</f>
        <v>2</v>
      </c>
      <c r="S34" s="294">
        <f t="shared" si="8"/>
        <v>0.12121212121212122</v>
      </c>
    </row>
    <row r="35" spans="2:19" ht="6.75" customHeight="1">
      <c r="B35" s="279"/>
      <c r="C35" s="279"/>
      <c r="D35" s="280"/>
      <c r="E35" s="281"/>
      <c r="F35" s="281"/>
      <c r="G35" s="281"/>
      <c r="H35" s="281"/>
      <c r="I35" s="281"/>
      <c r="J35" s="281"/>
      <c r="K35" s="281"/>
      <c r="L35" s="281"/>
      <c r="M35" s="281"/>
      <c r="N35" s="282"/>
      <c r="O35" s="282"/>
      <c r="P35" s="282"/>
      <c r="Q35" s="283"/>
    </row>
    <row r="36" spans="2:19">
      <c r="B36" s="271" t="str">
        <f>VLOOKUP($B40,Base_MP,5,FALSE)</f>
        <v>C04</v>
      </c>
      <c r="C36" s="271" t="str">
        <f>VLOOKUP($B40,Base_MP,6,FALSE)</f>
        <v xml:space="preserve">Consommables </v>
      </c>
      <c r="D36" s="272" t="s">
        <v>201</v>
      </c>
      <c r="E36" s="273"/>
      <c r="F36" s="273"/>
      <c r="G36" s="273"/>
      <c r="H36" s="273"/>
      <c r="I36" s="273"/>
      <c r="J36" s="273"/>
      <c r="K36" s="273"/>
      <c r="L36" s="273"/>
      <c r="M36" s="273"/>
      <c r="N36" s="274"/>
      <c r="O36" s="274"/>
      <c r="P36" s="274"/>
      <c r="Q36" s="274"/>
    </row>
    <row r="37" spans="2:19" ht="6.75" customHeight="1">
      <c r="B37" s="279"/>
      <c r="C37" s="279"/>
      <c r="D37" s="280"/>
      <c r="E37" s="281"/>
      <c r="F37" s="281"/>
      <c r="G37" s="281"/>
      <c r="H37" s="281"/>
      <c r="I37" s="281"/>
      <c r="J37" s="281"/>
      <c r="K37" s="281"/>
      <c r="L37" s="281"/>
      <c r="M37" s="281"/>
      <c r="N37" s="282"/>
      <c r="O37" s="282"/>
      <c r="P37" s="282"/>
      <c r="Q37" s="283"/>
    </row>
    <row r="38" spans="2:19">
      <c r="B38" s="275" t="str">
        <f>VLOOKUP($B40,Base_MP,3,FALSE)</f>
        <v>R04</v>
      </c>
      <c r="C38" s="275" t="str">
        <f>VLOOKUP($B40,Base_MP,4,FALSE)</f>
        <v xml:space="preserve">Consommables </v>
      </c>
      <c r="D38" s="276"/>
      <c r="E38" s="277"/>
      <c r="F38" s="277"/>
      <c r="G38" s="277"/>
      <c r="H38" s="277"/>
      <c r="I38" s="277"/>
      <c r="J38" s="277"/>
      <c r="K38" s="277"/>
      <c r="L38" s="277"/>
      <c r="M38" s="277"/>
      <c r="N38" s="278"/>
      <c r="O38" s="278"/>
      <c r="P38" s="278"/>
      <c r="Q38" s="278"/>
    </row>
    <row r="39" spans="2:19" ht="6.75" customHeight="1">
      <c r="B39" s="279"/>
      <c r="C39" s="279"/>
      <c r="D39" s="280"/>
      <c r="E39" s="281"/>
      <c r="F39" s="281"/>
      <c r="G39" s="281"/>
      <c r="H39" s="281"/>
      <c r="I39" s="281"/>
      <c r="J39" s="281"/>
      <c r="K39" s="281"/>
      <c r="L39" s="281"/>
      <c r="M39" s="281"/>
      <c r="N39" s="282"/>
      <c r="O39" s="282"/>
      <c r="P39" s="282"/>
      <c r="Q39" s="283"/>
    </row>
    <row r="40" spans="2:19">
      <c r="B40" s="251" t="s">
        <v>220</v>
      </c>
      <c r="C40" s="251" t="str">
        <f t="shared" ref="C40:C43" si="9">VLOOKUP(B40,Base_MP,2,FALSE)</f>
        <v>Huiles &amp; Autres lubrification</v>
      </c>
      <c r="D40" s="295" t="s">
        <v>100</v>
      </c>
      <c r="E40" s="293">
        <f>[1]VAL_Billett_Cha_Fix!E40/[1]QTé_Billettes_Ch_Fix!E45</f>
        <v>0.20154995543031873</v>
      </c>
      <c r="F40" s="293">
        <f>[1]VAL_Billett_Cha_Fix!F40/[1]QTé_Billettes_Ch_Fix!F45</f>
        <v>0.75791821017912031</v>
      </c>
      <c r="G40" s="293">
        <f>[1]VAL_Billett_Cha_Fix!G40/[1]QTé_Billettes_Ch_Fix!G45</f>
        <v>0.64423979367743689</v>
      </c>
      <c r="H40" s="293">
        <f>[1]VAL_Billett_Cha_Fix!H40/[1]QTé_Billettes_Ch_Fix!H45</f>
        <v>0.12332396977588948</v>
      </c>
      <c r="I40" s="293">
        <f>[1]VAL_Billett_Cha_Fix!I40/[1]QTé_Billettes_Ch_Fix!I45</f>
        <v>0.75413759369982925</v>
      </c>
      <c r="J40" s="293">
        <f>[1]VAL_Billett_Cha_Fix!J40/[1]QTé_Billettes_Ch_Fix!J45</f>
        <v>0.55642708566870192</v>
      </c>
      <c r="K40" s="293">
        <f>[1]VAL_Billett_Cha_Fix!K40/[1]QTé_Billettes_Ch_Fix!K45</f>
        <v>0</v>
      </c>
      <c r="L40" s="293">
        <f>[1]VAL_Billett_Cha_Fix!L40/[1]QTé_Billettes_Ch_Fix!L45</f>
        <v>0.35894112577488868</v>
      </c>
      <c r="M40" s="293">
        <f>[1]VAL_Billett_Cha_Fix!M40/[1]QTé_Billettes_Ch_Fix!M45</f>
        <v>4.7528491970639228E-2</v>
      </c>
      <c r="N40" s="287" t="e">
        <f>SUMIF('[1]Base Formules'!$O$8:$O$362,$B40,'[1]Base Formules'!AG$8:AG$362)</f>
        <v>#VALUE!</v>
      </c>
      <c r="O40" s="287" t="e">
        <f>SUMIF('[1]Base Formules'!$O$8:$O$362,$B40,'[1]Base Formules'!AH$8:AH$362)</f>
        <v>#VALUE!</v>
      </c>
      <c r="P40" s="287" t="e">
        <f>SUMIF('[1]Base Formules'!$O$8:$O$362,$B40,'[1]Base Formules'!AI$8:AI$362)</f>
        <v>#VALUE!</v>
      </c>
      <c r="Q40" s="288" t="e">
        <f t="shared" ref="Q40:Q43" si="10">SUM(E40:P40)</f>
        <v>#VALUE!</v>
      </c>
    </row>
    <row r="41" spans="2:19">
      <c r="B41" s="251" t="s">
        <v>221</v>
      </c>
      <c r="C41" s="251" t="str">
        <f t="shared" si="9"/>
        <v>Savon</v>
      </c>
      <c r="D41" s="295" t="s">
        <v>222</v>
      </c>
      <c r="E41" s="287" t="e">
        <f>SUMIF('[1]Base Formules'!$O$8:$O$362,$B41,'[1]Base Formules'!X$8:X$362)</f>
        <v>#VALUE!</v>
      </c>
      <c r="F41" s="287" t="e">
        <f>SUMIF('[1]Base Formules'!$O$8:$O$362,$B41,'[1]Base Formules'!Y$8:Y$362)</f>
        <v>#VALUE!</v>
      </c>
      <c r="G41" s="287" t="e">
        <f>SUMIF('[1]Base Formules'!$O$8:$O$362,$B41,'[1]Base Formules'!Z$8:Z$362)</f>
        <v>#VALUE!</v>
      </c>
      <c r="H41" s="287" t="e">
        <f>SUMIF('[1]Base Formules'!$O$8:$O$362,$B41,'[1]Base Formules'!AA$8:AA$362)</f>
        <v>#VALUE!</v>
      </c>
      <c r="I41" s="287" t="e">
        <f>SUMIF('[1]Base Formules'!$O$8:$O$362,$B41,'[1]Base Formules'!AB$8:AB$362)</f>
        <v>#VALUE!</v>
      </c>
      <c r="J41" s="287" t="e">
        <f>SUMIF('[1]Base Formules'!$O$8:$O$362,$B41,'[1]Base Formules'!AC$8:AC$362)</f>
        <v>#VALUE!</v>
      </c>
      <c r="K41" s="287" t="e">
        <f>SUMIF('[1]Base Formules'!$O$8:$O$362,$B41,'[1]Base Formules'!AD$8:AD$362)</f>
        <v>#VALUE!</v>
      </c>
      <c r="L41" s="287" t="e">
        <f>SUMIF('[1]Base Formules'!$O$8:$O$362,$B41,'[1]Base Formules'!AE$8:AE$362)</f>
        <v>#VALUE!</v>
      </c>
      <c r="M41" s="287" t="e">
        <f>SUMIF('[1]Base Formules'!$O$8:$O$362,$B41,'[1]Base Formules'!AF$8:AF$362)</f>
        <v>#VALUE!</v>
      </c>
      <c r="N41" s="287" t="e">
        <f>SUMIF('[1]Base Formules'!$O$8:$O$362,$B41,'[1]Base Formules'!AG$8:AG$362)</f>
        <v>#VALUE!</v>
      </c>
      <c r="O41" s="287" t="e">
        <f>SUMIF('[1]Base Formules'!$O$8:$O$362,$B41,'[1]Base Formules'!AH$8:AH$362)</f>
        <v>#VALUE!</v>
      </c>
      <c r="P41" s="287" t="e">
        <f>SUMIF('[1]Base Formules'!$O$8:$O$362,$B41,'[1]Base Formules'!AI$8:AI$362)</f>
        <v>#VALUE!</v>
      </c>
      <c r="Q41" s="288" t="e">
        <f t="shared" si="10"/>
        <v>#VALUE!</v>
      </c>
    </row>
    <row r="42" spans="2:19">
      <c r="B42" s="251" t="s">
        <v>223</v>
      </c>
      <c r="C42" s="251" t="str">
        <f t="shared" si="9"/>
        <v xml:space="preserve">Amica </v>
      </c>
      <c r="D42" s="295" t="s">
        <v>222</v>
      </c>
      <c r="E42" s="287" t="e">
        <f>SUMIF('[1]Base Formules'!$O$8:$O$362,$B42,'[1]Base Formules'!X$8:X$362)</f>
        <v>#VALUE!</v>
      </c>
      <c r="F42" s="287" t="e">
        <f>SUMIF('[1]Base Formules'!$O$8:$O$362,$B42,'[1]Base Formules'!Y$8:Y$362)</f>
        <v>#VALUE!</v>
      </c>
      <c r="G42" s="287" t="e">
        <f>SUMIF('[1]Base Formules'!$O$8:$O$362,$B42,'[1]Base Formules'!Z$8:Z$362)</f>
        <v>#VALUE!</v>
      </c>
      <c r="H42" s="287" t="e">
        <f>SUMIF('[1]Base Formules'!$O$8:$O$362,$B42,'[1]Base Formules'!AA$8:AA$362)</f>
        <v>#VALUE!</v>
      </c>
      <c r="I42" s="287" t="e">
        <f>SUMIF('[1]Base Formules'!$O$8:$O$362,$B42,'[1]Base Formules'!AB$8:AB$362)</f>
        <v>#VALUE!</v>
      </c>
      <c r="J42" s="287" t="e">
        <f>SUMIF('[1]Base Formules'!$O$8:$O$362,$B42,'[1]Base Formules'!AC$8:AC$362)</f>
        <v>#VALUE!</v>
      </c>
      <c r="K42" s="287" t="e">
        <f>SUMIF('[1]Base Formules'!$O$8:$O$362,$B42,'[1]Base Formules'!AD$8:AD$362)</f>
        <v>#VALUE!</v>
      </c>
      <c r="L42" s="287" t="e">
        <f>SUMIF('[1]Base Formules'!$O$8:$O$362,$B42,'[1]Base Formules'!AE$8:AE$362)</f>
        <v>#VALUE!</v>
      </c>
      <c r="M42" s="287" t="e">
        <f>SUMIF('[1]Base Formules'!$O$8:$O$362,$B42,'[1]Base Formules'!AF$8:AF$362)</f>
        <v>#VALUE!</v>
      </c>
      <c r="N42" s="287" t="e">
        <f>SUMIF('[1]Base Formules'!$O$8:$O$362,$B42,'[1]Base Formules'!AG$8:AG$362)</f>
        <v>#VALUE!</v>
      </c>
      <c r="O42" s="287" t="e">
        <f>SUMIF('[1]Base Formules'!$O$8:$O$362,$B42,'[1]Base Formules'!AH$8:AH$362)</f>
        <v>#VALUE!</v>
      </c>
      <c r="P42" s="287" t="e">
        <f>SUMIF('[1]Base Formules'!$O$8:$O$362,$B42,'[1]Base Formules'!AI$8:AI$362)</f>
        <v>#VALUE!</v>
      </c>
      <c r="Q42" s="288" t="e">
        <f t="shared" si="10"/>
        <v>#VALUE!</v>
      </c>
    </row>
    <row r="43" spans="2:19">
      <c r="B43" s="251" t="s">
        <v>224</v>
      </c>
      <c r="C43" s="251" t="str">
        <f t="shared" si="9"/>
        <v>Graisse</v>
      </c>
      <c r="D43" s="295" t="s">
        <v>222</v>
      </c>
      <c r="E43" s="287" t="e">
        <f>SUMIF('[1]Base Formules'!$O$8:$O$362,$B43,'[1]Base Formules'!X$8:X$362)</f>
        <v>#VALUE!</v>
      </c>
      <c r="F43" s="287" t="e">
        <f>SUMIF('[1]Base Formules'!$O$8:$O$362,$B43,'[1]Base Formules'!Y$8:Y$362)</f>
        <v>#VALUE!</v>
      </c>
      <c r="G43" s="287" t="e">
        <f>SUMIF('[1]Base Formules'!$O$8:$O$362,$B43,'[1]Base Formules'!Z$8:Z$362)</f>
        <v>#VALUE!</v>
      </c>
      <c r="H43" s="287" t="e">
        <f>SUMIF('[1]Base Formules'!$O$8:$O$362,$B43,'[1]Base Formules'!AA$8:AA$362)</f>
        <v>#VALUE!</v>
      </c>
      <c r="I43" s="287" t="e">
        <f>SUMIF('[1]Base Formules'!$O$8:$O$362,$B43,'[1]Base Formules'!AB$8:AB$362)</f>
        <v>#VALUE!</v>
      </c>
      <c r="J43" s="287" t="e">
        <f>SUMIF('[1]Base Formules'!$O$8:$O$362,$B43,'[1]Base Formules'!AC$8:AC$362)</f>
        <v>#VALUE!</v>
      </c>
      <c r="K43" s="287" t="e">
        <f>SUMIF('[1]Base Formules'!$O$8:$O$362,$B43,'[1]Base Formules'!AD$8:AD$362)</f>
        <v>#VALUE!</v>
      </c>
      <c r="L43" s="287" t="e">
        <f>SUMIF('[1]Base Formules'!$O$8:$O$362,$B43,'[1]Base Formules'!AE$8:AE$362)</f>
        <v>#VALUE!</v>
      </c>
      <c r="M43" s="287" t="e">
        <f>SUMIF('[1]Base Formules'!$O$8:$O$362,$B43,'[1]Base Formules'!AF$8:AF$362)</f>
        <v>#VALUE!</v>
      </c>
      <c r="N43" s="287" t="e">
        <f>SUMIF('[1]Base Formules'!$O$8:$O$362,$B43,'[1]Base Formules'!AG$8:AG$362)</f>
        <v>#VALUE!</v>
      </c>
      <c r="O43" s="287" t="e">
        <f>SUMIF('[1]Base Formules'!$O$8:$O$362,$B43,'[1]Base Formules'!AH$8:AH$362)</f>
        <v>#VALUE!</v>
      </c>
      <c r="P43" s="287" t="e">
        <f>SUMIF('[1]Base Formules'!$O$8:$O$362,$B43,'[1]Base Formules'!AI$8:AI$362)</f>
        <v>#VALUE!</v>
      </c>
      <c r="Q43" s="288" t="e">
        <f t="shared" si="10"/>
        <v>#VALUE!</v>
      </c>
    </row>
    <row r="45" spans="2:19">
      <c r="B45" s="725" t="s">
        <v>225</v>
      </c>
      <c r="C45" s="725"/>
      <c r="E45" s="296">
        <f>'[1]Production '!G105</f>
        <v>19546.660000000003</v>
      </c>
      <c r="F45" s="296">
        <f>'[1]Production '!H105</f>
        <v>20015.008999999998</v>
      </c>
      <c r="G45" s="296">
        <f>'[1]Production '!I105</f>
        <v>21203.078000000001</v>
      </c>
      <c r="H45" s="296">
        <f>'[1]Production '!J105</f>
        <v>17943.794000000002</v>
      </c>
      <c r="I45" s="296">
        <f>'[1]Production '!K105</f>
        <v>16857.46</v>
      </c>
      <c r="J45" s="296">
        <f>'[1]Production '!L105</f>
        <v>13434.612999999999</v>
      </c>
      <c r="K45" s="296">
        <f>'[1]Production '!M105</f>
        <v>12021.124000000002</v>
      </c>
      <c r="L45" s="296">
        <f>'[1]Production '!N105</f>
        <v>15029.424999999999</v>
      </c>
      <c r="M45" s="296">
        <f>'[1]Production '!O105</f>
        <v>16233.774000000001</v>
      </c>
      <c r="N45" s="296"/>
    </row>
  </sheetData>
  <mergeCells count="1">
    <mergeCell ref="B45:C4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W54"/>
  <sheetViews>
    <sheetView topLeftCell="A3" workbookViewId="0">
      <selection activeCell="D23" sqref="D23"/>
    </sheetView>
  </sheetViews>
  <sheetFormatPr baseColWidth="10" defaultRowHeight="14.5"/>
  <cols>
    <col min="1" max="1" width="38" style="1" customWidth="1"/>
    <col min="2" max="2" width="11" style="14" customWidth="1"/>
    <col min="3" max="3" width="13.7265625" style="14" customWidth="1"/>
    <col min="4" max="7" width="12.7265625" customWidth="1"/>
    <col min="8" max="8" width="14" customWidth="1"/>
    <col min="9" max="9" width="14.453125" customWidth="1"/>
    <col min="10" max="10" width="12.7265625" customWidth="1"/>
    <col min="11" max="11" width="10.54296875" hidden="1" customWidth="1"/>
    <col min="12" max="12" width="10.453125" hidden="1" customWidth="1"/>
    <col min="13" max="13" width="10.54296875" hidden="1" customWidth="1"/>
    <col min="15" max="15" width="14.453125" hidden="1" customWidth="1"/>
  </cols>
  <sheetData>
    <row r="5" spans="1:10">
      <c r="B5" s="21">
        <v>1</v>
      </c>
      <c r="C5" s="80">
        <v>3.4</v>
      </c>
    </row>
    <row r="6" spans="1:10">
      <c r="D6" t="s">
        <v>20</v>
      </c>
    </row>
    <row r="7" spans="1:10" s="16" customFormat="1">
      <c r="A7" s="1" t="s">
        <v>84</v>
      </c>
      <c r="B7" s="15"/>
      <c r="C7" s="100" t="e">
        <f>I7*B9/J9</f>
        <v>#REF!</v>
      </c>
      <c r="D7" s="102">
        <v>10</v>
      </c>
      <c r="E7" t="s">
        <v>21</v>
      </c>
      <c r="G7" s="1" t="s">
        <v>69</v>
      </c>
      <c r="I7" s="71">
        <f>'Inv-Financement'!D7</f>
        <v>1000000</v>
      </c>
    </row>
    <row r="8" spans="1:10">
      <c r="A8" s="1" t="s">
        <v>17</v>
      </c>
      <c r="C8" s="19" t="e">
        <f>I8*C9/I9</f>
        <v>#REF!</v>
      </c>
      <c r="D8" s="18">
        <v>7</v>
      </c>
      <c r="E8" t="s">
        <v>21</v>
      </c>
      <c r="G8" s="1" t="s">
        <v>22</v>
      </c>
      <c r="I8" s="79" t="e">
        <f>'Inv-Financement'!D5</f>
        <v>#REF!</v>
      </c>
    </row>
    <row r="9" spans="1:10">
      <c r="A9" s="1" t="s">
        <v>19</v>
      </c>
      <c r="B9" s="22">
        <v>0</v>
      </c>
      <c r="C9" s="20">
        <f>B9*C5</f>
        <v>0</v>
      </c>
      <c r="D9" s="18">
        <v>5</v>
      </c>
      <c r="E9" t="s">
        <v>21</v>
      </c>
      <c r="G9" s="1" t="s">
        <v>82</v>
      </c>
      <c r="I9" s="17" t="e">
        <f>C5*J9</f>
        <v>#REF!</v>
      </c>
      <c r="J9" s="81" t="e">
        <f>Volumes!P5</f>
        <v>#REF!</v>
      </c>
    </row>
    <row r="10" spans="1:10">
      <c r="A10" s="1" t="s">
        <v>81</v>
      </c>
      <c r="C10" s="19" t="e">
        <f>SUM(C7:C9)</f>
        <v>#REF!</v>
      </c>
      <c r="G10" s="1" t="s">
        <v>83</v>
      </c>
      <c r="I10" s="101" t="e">
        <f>SUM(I7:I9)</f>
        <v>#REF!</v>
      </c>
    </row>
    <row r="13" spans="1:10">
      <c r="A13" s="1" t="s">
        <v>50</v>
      </c>
      <c r="B13" s="77">
        <v>6</v>
      </c>
      <c r="C13" s="14" t="s">
        <v>51</v>
      </c>
      <c r="D13" s="53">
        <f>$B$13*$B$14*2084</f>
        <v>9378</v>
      </c>
      <c r="E13" t="s">
        <v>53</v>
      </c>
      <c r="F13" s="53">
        <f>D13*2</f>
        <v>18756</v>
      </c>
      <c r="G13" t="s">
        <v>54</v>
      </c>
      <c r="H13" s="53">
        <f>D13*3</f>
        <v>28134</v>
      </c>
      <c r="I13" t="s">
        <v>55</v>
      </c>
    </row>
    <row r="14" spans="1:10">
      <c r="A14" s="1" t="s">
        <v>52</v>
      </c>
      <c r="B14" s="78">
        <v>0.75</v>
      </c>
    </row>
    <row r="16" spans="1:10">
      <c r="A16" s="1" t="s">
        <v>73</v>
      </c>
      <c r="C16" s="76">
        <v>43200</v>
      </c>
      <c r="D16" t="s">
        <v>65</v>
      </c>
      <c r="E16" s="53">
        <f>C16/12</f>
        <v>3600</v>
      </c>
      <c r="F16" t="s">
        <v>74</v>
      </c>
    </row>
    <row r="17" spans="1:22">
      <c r="A17" s="1" t="s">
        <v>56</v>
      </c>
      <c r="C17" s="76">
        <v>200000</v>
      </c>
      <c r="D17" t="s">
        <v>65</v>
      </c>
    </row>
    <row r="19" spans="1:22">
      <c r="E19" s="1" t="s">
        <v>78</v>
      </c>
    </row>
    <row r="20" spans="1:22">
      <c r="A20" s="1" t="s">
        <v>75</v>
      </c>
      <c r="C20" s="77">
        <v>1750</v>
      </c>
      <c r="D20" t="s">
        <v>77</v>
      </c>
      <c r="E20" s="90">
        <v>0.67</v>
      </c>
    </row>
    <row r="21" spans="1:22">
      <c r="A21" s="1" t="s">
        <v>76</v>
      </c>
      <c r="C21" s="77">
        <v>1850</v>
      </c>
      <c r="D21" t="s">
        <v>77</v>
      </c>
      <c r="E21" s="90">
        <v>0.33</v>
      </c>
    </row>
    <row r="23" spans="1:22">
      <c r="A23" s="2" t="s">
        <v>89</v>
      </c>
      <c r="B23" s="23"/>
      <c r="C23" s="23"/>
      <c r="D23" s="104" t="e">
        <f>Volumes!D6</f>
        <v>#REF!</v>
      </c>
      <c r="E23" s="104" t="e">
        <f>Volumes!E6</f>
        <v>#REF!</v>
      </c>
      <c r="F23" s="104" t="e">
        <f>Volumes!F6</f>
        <v>#REF!</v>
      </c>
      <c r="G23" s="104" t="e">
        <f>Volumes!G6</f>
        <v>#REF!</v>
      </c>
      <c r="H23" s="104" t="e">
        <f>Volumes!H6</f>
        <v>#REF!</v>
      </c>
      <c r="I23" s="104" t="e">
        <f>Volumes!I6</f>
        <v>#REF!</v>
      </c>
      <c r="J23" s="104" t="e">
        <f>Volumes!J6</f>
        <v>#REF!</v>
      </c>
    </row>
    <row r="24" spans="1:22" s="4" customFormat="1" ht="28.5" customHeight="1">
      <c r="A24" s="106" t="s">
        <v>90</v>
      </c>
      <c r="B24" s="86" t="s">
        <v>25</v>
      </c>
      <c r="C24" s="86" t="s">
        <v>24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3"/>
      <c r="L24" s="3"/>
      <c r="M24" s="3"/>
      <c r="N24" s="87" t="s">
        <v>28</v>
      </c>
      <c r="O24" s="88" t="s">
        <v>8</v>
      </c>
      <c r="P24" s="89"/>
      <c r="Q24" s="89"/>
      <c r="R24" s="89"/>
      <c r="S24" s="89"/>
      <c r="T24" s="89"/>
      <c r="U24" s="89"/>
      <c r="V24" s="89"/>
    </row>
    <row r="25" spans="1:22" s="89" customFormat="1" ht="28.5" customHeight="1">
      <c r="A25" s="107" t="s">
        <v>91</v>
      </c>
      <c r="B25" s="110">
        <v>0.1</v>
      </c>
      <c r="C25" s="105" t="s">
        <v>92</v>
      </c>
      <c r="D25" s="108">
        <v>20000</v>
      </c>
      <c r="E25" s="108">
        <f t="shared" ref="E25:J25" si="0">D25*(1+$B$25)</f>
        <v>22000</v>
      </c>
      <c r="F25" s="108">
        <f t="shared" si="0"/>
        <v>24200.000000000004</v>
      </c>
      <c r="G25" s="108">
        <f t="shared" si="0"/>
        <v>26620.000000000007</v>
      </c>
      <c r="H25" s="108">
        <f t="shared" si="0"/>
        <v>29282.000000000011</v>
      </c>
      <c r="I25" s="108">
        <f t="shared" si="0"/>
        <v>32210.200000000015</v>
      </c>
      <c r="J25" s="108">
        <f t="shared" si="0"/>
        <v>35431.220000000023</v>
      </c>
      <c r="K25" s="109"/>
      <c r="L25" s="109"/>
      <c r="M25" s="109"/>
      <c r="N25" s="87"/>
      <c r="O25" s="88"/>
    </row>
    <row r="26" spans="1:22" s="89" customFormat="1" ht="28.5" customHeight="1">
      <c r="A26" s="107" t="s">
        <v>93</v>
      </c>
      <c r="B26" s="105"/>
      <c r="C26" s="105"/>
      <c r="D26" s="108"/>
      <c r="E26" s="108"/>
      <c r="F26" s="108"/>
      <c r="G26" s="108"/>
      <c r="H26" s="108"/>
      <c r="I26" s="108"/>
      <c r="J26" s="108"/>
      <c r="K26" s="109"/>
      <c r="L26" s="109"/>
      <c r="M26" s="109"/>
      <c r="N26" s="87"/>
      <c r="O26" s="88"/>
    </row>
    <row r="27" spans="1:22" s="89" customFormat="1" ht="12.75" customHeight="1">
      <c r="A27" s="107"/>
      <c r="B27" s="105"/>
      <c r="C27" s="105"/>
      <c r="D27" s="108"/>
      <c r="E27" s="108"/>
      <c r="F27" s="108"/>
      <c r="G27" s="108"/>
      <c r="H27" s="108"/>
      <c r="I27" s="108"/>
      <c r="J27" s="108"/>
      <c r="K27" s="109"/>
      <c r="L27" s="109"/>
      <c r="M27" s="109"/>
      <c r="N27" s="87"/>
      <c r="O27" s="88"/>
    </row>
    <row r="28" spans="1:22" s="47" customFormat="1">
      <c r="A28" s="42" t="s">
        <v>9</v>
      </c>
      <c r="B28" s="43">
        <v>1</v>
      </c>
      <c r="C28" s="43">
        <f>$C$20*$E$20+$C$21*$E$21</f>
        <v>1783</v>
      </c>
      <c r="D28" s="44">
        <f>$C$28*$B$28</f>
        <v>1783</v>
      </c>
      <c r="E28" s="44">
        <f t="shared" ref="E28:J28" si="1">$C$28*$B$28</f>
        <v>1783</v>
      </c>
      <c r="F28" s="44">
        <f t="shared" si="1"/>
        <v>1783</v>
      </c>
      <c r="G28" s="44">
        <f t="shared" si="1"/>
        <v>1783</v>
      </c>
      <c r="H28" s="44">
        <f t="shared" si="1"/>
        <v>1783</v>
      </c>
      <c r="I28" s="44">
        <f t="shared" si="1"/>
        <v>1783</v>
      </c>
      <c r="J28" s="44">
        <f t="shared" si="1"/>
        <v>1783</v>
      </c>
      <c r="K28" s="44"/>
      <c r="L28" s="44"/>
      <c r="M28" s="44"/>
      <c r="N28" s="60"/>
      <c r="O28" s="45">
        <v>0.01</v>
      </c>
      <c r="P28" s="46"/>
    </row>
    <row r="29" spans="1:22" s="47" customFormat="1" ht="3.75" customHeight="1">
      <c r="A29" s="42"/>
      <c r="B29" s="43"/>
      <c r="C29" s="43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60"/>
      <c r="O29" s="45"/>
      <c r="P29" s="46"/>
    </row>
    <row r="30" spans="1:22" s="47" customFormat="1">
      <c r="A30" s="42" t="s">
        <v>10</v>
      </c>
      <c r="B30" s="91">
        <v>143</v>
      </c>
      <c r="C30" s="43">
        <v>0.2</v>
      </c>
      <c r="D30" s="44">
        <f>$C$30*$B$30</f>
        <v>28.6</v>
      </c>
      <c r="E30" s="44">
        <f t="shared" ref="E30:J30" si="2">$C$30*$B$30</f>
        <v>28.6</v>
      </c>
      <c r="F30" s="44">
        <f t="shared" si="2"/>
        <v>28.6</v>
      </c>
      <c r="G30" s="44">
        <f t="shared" si="2"/>
        <v>28.6</v>
      </c>
      <c r="H30" s="44">
        <f t="shared" si="2"/>
        <v>28.6</v>
      </c>
      <c r="I30" s="44">
        <f t="shared" si="2"/>
        <v>28.6</v>
      </c>
      <c r="J30" s="44">
        <f t="shared" si="2"/>
        <v>28.6</v>
      </c>
      <c r="K30" s="44"/>
      <c r="L30" s="44"/>
      <c r="M30" s="44"/>
      <c r="N30" s="60"/>
      <c r="O30" s="45">
        <v>0.01</v>
      </c>
    </row>
    <row r="31" spans="1:22" s="47" customFormat="1">
      <c r="A31" s="42" t="s">
        <v>11</v>
      </c>
      <c r="B31" s="43">
        <v>1</v>
      </c>
      <c r="C31" s="91">
        <v>8</v>
      </c>
      <c r="D31" s="44">
        <f>$C$31*$B$31</f>
        <v>8</v>
      </c>
      <c r="E31" s="44">
        <f t="shared" ref="E31:J31" si="3">$C$31*$B$31</f>
        <v>8</v>
      </c>
      <c r="F31" s="44">
        <f t="shared" si="3"/>
        <v>8</v>
      </c>
      <c r="G31" s="44">
        <f t="shared" si="3"/>
        <v>8</v>
      </c>
      <c r="H31" s="44">
        <f t="shared" si="3"/>
        <v>8</v>
      </c>
      <c r="I31" s="44">
        <f t="shared" si="3"/>
        <v>8</v>
      </c>
      <c r="J31" s="44">
        <f t="shared" si="3"/>
        <v>8</v>
      </c>
      <c r="K31" s="44"/>
      <c r="L31" s="44"/>
      <c r="M31" s="44"/>
      <c r="N31" s="60"/>
      <c r="O31" s="45">
        <v>0.02</v>
      </c>
    </row>
    <row r="32" spans="1:22" s="8" customFormat="1" ht="9.75" customHeight="1">
      <c r="A32" s="5"/>
      <c r="B32" s="24"/>
      <c r="C32" s="24"/>
      <c r="D32" s="6"/>
      <c r="E32" s="6"/>
      <c r="F32" s="6"/>
      <c r="G32" s="6"/>
      <c r="H32" s="6"/>
      <c r="I32" s="6"/>
      <c r="J32" s="6"/>
      <c r="K32" s="6"/>
      <c r="L32" s="6"/>
      <c r="M32" s="6"/>
      <c r="N32" s="55"/>
      <c r="O32" s="7"/>
    </row>
    <row r="33" spans="1:23" s="8" customFormat="1" ht="17.25" customHeight="1">
      <c r="A33" s="75" t="s">
        <v>60</v>
      </c>
      <c r="B33" s="24"/>
      <c r="C33" s="24"/>
      <c r="D33" s="6">
        <f>IF(D24&gt;$F$13,$C$16*3,IF(D24&gt;$D$13,2*$C$16,$C$16))</f>
        <v>43200</v>
      </c>
      <c r="E33" s="6">
        <f t="shared" ref="E33:J33" si="4">IF(E24&gt;$F$13,$C$16*3,IF(E24&gt;$D$13,2*$C$16,$C$16))</f>
        <v>43200</v>
      </c>
      <c r="F33" s="6">
        <f t="shared" si="4"/>
        <v>43200</v>
      </c>
      <c r="G33" s="6">
        <f t="shared" si="4"/>
        <v>43200</v>
      </c>
      <c r="H33" s="6">
        <f t="shared" si="4"/>
        <v>43200</v>
      </c>
      <c r="I33" s="6">
        <f t="shared" si="4"/>
        <v>43200</v>
      </c>
      <c r="J33" s="6">
        <f t="shared" si="4"/>
        <v>43200</v>
      </c>
      <c r="K33" s="6"/>
      <c r="L33" s="6"/>
      <c r="M33" s="6"/>
      <c r="N33" s="55"/>
      <c r="O33" s="7"/>
    </row>
    <row r="34" spans="1:23" s="65" customFormat="1">
      <c r="A34" s="61" t="s">
        <v>29</v>
      </c>
      <c r="B34" s="62"/>
      <c r="C34" s="62"/>
      <c r="D34" s="63">
        <f>IF(D24=0,0,D33/D24)</f>
        <v>0</v>
      </c>
      <c r="E34" s="63">
        <f t="shared" ref="E34:J34" si="5">IF(E24=0,0,E33/E24)</f>
        <v>0</v>
      </c>
      <c r="F34" s="63">
        <f t="shared" si="5"/>
        <v>0</v>
      </c>
      <c r="G34" s="63">
        <f t="shared" si="5"/>
        <v>0</v>
      </c>
      <c r="H34" s="63">
        <f t="shared" si="5"/>
        <v>0</v>
      </c>
      <c r="I34" s="63">
        <f t="shared" si="5"/>
        <v>0</v>
      </c>
      <c r="J34" s="63">
        <f t="shared" si="5"/>
        <v>0</v>
      </c>
      <c r="K34" s="63"/>
      <c r="L34" s="63"/>
      <c r="M34" s="63"/>
      <c r="N34" s="59"/>
      <c r="O34" s="64">
        <v>0.02</v>
      </c>
    </row>
    <row r="35" spans="1:23" s="12" customFormat="1">
      <c r="A35" s="73" t="s">
        <v>66</v>
      </c>
      <c r="B35" s="25"/>
      <c r="C35" s="25"/>
      <c r="D35" s="74" t="e">
        <f>D24/Volumes!D5</f>
        <v>#REF!</v>
      </c>
      <c r="E35" s="74" t="e">
        <f>E24/Volumes!E5</f>
        <v>#REF!</v>
      </c>
      <c r="F35" s="74" t="e">
        <f>F24/Volumes!F5</f>
        <v>#REF!</v>
      </c>
      <c r="G35" s="74" t="e">
        <f>G24/Volumes!G5</f>
        <v>#REF!</v>
      </c>
      <c r="H35" s="74" t="e">
        <f>H24/Volumes!H5</f>
        <v>#REF!</v>
      </c>
      <c r="I35" s="74" t="e">
        <f>I24/Volumes!I5</f>
        <v>#REF!</v>
      </c>
      <c r="J35" s="74" t="e">
        <f>J24/Volumes!J5</f>
        <v>#REF!</v>
      </c>
      <c r="K35" s="72"/>
      <c r="L35" s="72"/>
      <c r="M35" s="72"/>
      <c r="N35" s="59"/>
      <c r="O35" s="11"/>
    </row>
    <row r="36" spans="1:23" s="65" customFormat="1">
      <c r="A36" s="61" t="s">
        <v>67</v>
      </c>
      <c r="B36" s="62"/>
      <c r="C36" s="62"/>
      <c r="D36" s="63">
        <f>IF(D24=0,0,$C$17*D35/D24)</f>
        <v>0</v>
      </c>
      <c r="E36" s="63">
        <f t="shared" ref="E36:J36" si="6">IF(E24=0,0,$C$17*E35/E24)</f>
        <v>0</v>
      </c>
      <c r="F36" s="63">
        <f t="shared" si="6"/>
        <v>0</v>
      </c>
      <c r="G36" s="63">
        <f t="shared" si="6"/>
        <v>0</v>
      </c>
      <c r="H36" s="63">
        <f t="shared" si="6"/>
        <v>0</v>
      </c>
      <c r="I36" s="63">
        <f t="shared" si="6"/>
        <v>0</v>
      </c>
      <c r="J36" s="63">
        <f t="shared" si="6"/>
        <v>0</v>
      </c>
      <c r="K36" s="63"/>
      <c r="L36" s="63"/>
      <c r="M36" s="63"/>
      <c r="N36" s="59"/>
      <c r="O36" s="64"/>
    </row>
    <row r="37" spans="1:23" s="12" customFormat="1" ht="5.25" customHeight="1">
      <c r="A37" s="9"/>
      <c r="B37" s="25"/>
      <c r="C37" s="2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55"/>
      <c r="O37" s="11"/>
    </row>
    <row r="38" spans="1:23" s="70" customFormat="1" ht="24.75" customHeight="1">
      <c r="A38" s="66" t="s">
        <v>59</v>
      </c>
      <c r="B38" s="92">
        <v>0.01</v>
      </c>
      <c r="C38" s="67"/>
      <c r="D38" s="63">
        <f>D50*$B$38</f>
        <v>21</v>
      </c>
      <c r="E38" s="63">
        <f t="shared" ref="E38:J38" si="7">E50*$B$38</f>
        <v>21</v>
      </c>
      <c r="F38" s="63">
        <f t="shared" si="7"/>
        <v>21</v>
      </c>
      <c r="G38" s="63">
        <f t="shared" si="7"/>
        <v>21</v>
      </c>
      <c r="H38" s="63">
        <f t="shared" si="7"/>
        <v>21</v>
      </c>
      <c r="I38" s="63">
        <f t="shared" si="7"/>
        <v>21</v>
      </c>
      <c r="J38" s="63">
        <f t="shared" si="7"/>
        <v>21</v>
      </c>
      <c r="K38" s="63"/>
      <c r="L38" s="63"/>
      <c r="M38" s="63"/>
      <c r="N38" s="59"/>
      <c r="O38" s="68"/>
      <c r="P38" s="68">
        <v>0.03</v>
      </c>
      <c r="Q38" s="69" t="s">
        <v>12</v>
      </c>
    </row>
    <row r="39" spans="1:23" s="8" customFormat="1" ht="5.25" customHeight="1">
      <c r="A39" s="5"/>
      <c r="B39" s="24"/>
      <c r="C39" s="24"/>
      <c r="D39" s="6"/>
      <c r="E39" s="6"/>
      <c r="F39" s="6"/>
      <c r="G39" s="6"/>
      <c r="H39" s="6"/>
      <c r="I39" s="6"/>
      <c r="J39" s="6"/>
      <c r="K39" s="6"/>
      <c r="L39" s="6"/>
      <c r="M39" s="6"/>
      <c r="N39" s="55"/>
      <c r="O39" s="7"/>
      <c r="P39" s="7"/>
      <c r="Q39" s="13"/>
    </row>
    <row r="40" spans="1:23" s="8" customFormat="1">
      <c r="A40" s="5" t="s">
        <v>26</v>
      </c>
      <c r="B40" s="26"/>
      <c r="C40" s="26"/>
      <c r="D40" s="6">
        <f>IF(D24=0,0,$N$40/D24)</f>
        <v>0</v>
      </c>
      <c r="E40" s="6">
        <f t="shared" ref="E40:J40" si="8">IF(E24=0,0,$N$40/E24)</f>
        <v>0</v>
      </c>
      <c r="F40" s="6">
        <f t="shared" si="8"/>
        <v>0</v>
      </c>
      <c r="G40" s="6">
        <f t="shared" si="8"/>
        <v>0</v>
      </c>
      <c r="H40" s="6">
        <f t="shared" si="8"/>
        <v>0</v>
      </c>
      <c r="I40" s="6">
        <f t="shared" si="8"/>
        <v>0</v>
      </c>
      <c r="J40" s="6">
        <f t="shared" si="8"/>
        <v>0</v>
      </c>
      <c r="K40" s="6"/>
      <c r="L40" s="6"/>
      <c r="M40" s="6"/>
      <c r="N40" s="54" t="e">
        <f>C8/D8</f>
        <v>#REF!</v>
      </c>
      <c r="O40" s="7"/>
      <c r="P40" s="7"/>
      <c r="Q40" s="13"/>
    </row>
    <row r="41" spans="1:23" s="8" customFormat="1">
      <c r="A41" s="5" t="s">
        <v>27</v>
      </c>
      <c r="B41" s="26"/>
      <c r="C41" s="26"/>
      <c r="D41" s="6">
        <f>IF(D24=0,0,$N$41/D24)</f>
        <v>0</v>
      </c>
      <c r="E41" s="6">
        <f t="shared" ref="E41:J41" si="9">IF(E24=0,0,$N$41/E24)</f>
        <v>0</v>
      </c>
      <c r="F41" s="6">
        <f t="shared" si="9"/>
        <v>0</v>
      </c>
      <c r="G41" s="6">
        <f t="shared" si="9"/>
        <v>0</v>
      </c>
      <c r="H41" s="6">
        <f t="shared" si="9"/>
        <v>0</v>
      </c>
      <c r="I41" s="6">
        <f t="shared" si="9"/>
        <v>0</v>
      </c>
      <c r="J41" s="6">
        <f t="shared" si="9"/>
        <v>0</v>
      </c>
      <c r="K41" s="6"/>
      <c r="L41" s="6"/>
      <c r="M41" s="6"/>
      <c r="N41" s="54" t="e">
        <f>C9/D9+C7/D7</f>
        <v>#REF!</v>
      </c>
      <c r="O41" s="7"/>
      <c r="P41" s="7"/>
      <c r="Q41" s="13"/>
    </row>
    <row r="42" spans="1:23" s="8" customFormat="1" ht="7.5" customHeight="1">
      <c r="A42" s="5"/>
      <c r="B42" s="24"/>
      <c r="C42" s="24"/>
      <c r="D42" s="6"/>
      <c r="E42" s="6"/>
      <c r="F42" s="6"/>
      <c r="G42" s="6"/>
      <c r="H42" s="6"/>
      <c r="I42" s="6"/>
      <c r="J42" s="6"/>
      <c r="K42" s="6"/>
      <c r="L42" s="6"/>
      <c r="M42" s="6"/>
      <c r="N42" s="55"/>
      <c r="O42" s="7"/>
      <c r="P42" s="7"/>
      <c r="Q42" s="13"/>
    </row>
    <row r="43" spans="1:23" s="8" customFormat="1" ht="15.75" customHeight="1">
      <c r="A43" s="75" t="s">
        <v>72</v>
      </c>
      <c r="B43" s="24"/>
      <c r="C43" s="24"/>
      <c r="D43" s="6" t="e">
        <f>'Inv-Financement'!C21*Volumes!$Q$8</f>
        <v>#REF!</v>
      </c>
      <c r="E43" s="6" t="e">
        <f>'Inv-Financement'!D21*Volumes!$Q$8</f>
        <v>#REF!</v>
      </c>
      <c r="F43" s="6" t="e">
        <f>'Inv-Financement'!E21*Volumes!$Q$8</f>
        <v>#REF!</v>
      </c>
      <c r="G43" s="6" t="e">
        <f>'Inv-Financement'!F21*Volumes!$Q$8</f>
        <v>#REF!</v>
      </c>
      <c r="H43" s="6" t="e">
        <f>'Inv-Financement'!G21*Volumes!$Q$8</f>
        <v>#REF!</v>
      </c>
      <c r="I43" s="6" t="e">
        <f>'Inv-Financement'!H21*Volumes!$Q$8</f>
        <v>#REF!</v>
      </c>
      <c r="J43" s="6" t="e">
        <f>'Inv-Financement'!I21*Volumes!$Q$8</f>
        <v>#REF!</v>
      </c>
      <c r="K43" s="6"/>
      <c r="L43" s="6"/>
      <c r="M43" s="6"/>
      <c r="N43" s="55"/>
      <c r="O43" s="7"/>
      <c r="P43" s="7"/>
      <c r="Q43" s="13"/>
    </row>
    <row r="44" spans="1:23" s="65" customFormat="1" ht="18" customHeight="1">
      <c r="A44" s="61" t="s">
        <v>33</v>
      </c>
      <c r="B44" s="62"/>
      <c r="C44" s="62"/>
      <c r="D44" s="63">
        <f>IF(D24=0,0,D43/D24)</f>
        <v>0</v>
      </c>
      <c r="E44" s="63">
        <f t="shared" ref="E44:J44" si="10">IF(E24=0,0,E43/E24)</f>
        <v>0</v>
      </c>
      <c r="F44" s="63">
        <f t="shared" si="10"/>
        <v>0</v>
      </c>
      <c r="G44" s="63">
        <f t="shared" si="10"/>
        <v>0</v>
      </c>
      <c r="H44" s="63">
        <f t="shared" si="10"/>
        <v>0</v>
      </c>
      <c r="I44" s="63">
        <f t="shared" si="10"/>
        <v>0</v>
      </c>
      <c r="J44" s="63">
        <f t="shared" si="10"/>
        <v>0</v>
      </c>
      <c r="K44" s="63"/>
      <c r="L44" s="63"/>
      <c r="M44" s="63"/>
      <c r="N44" s="55"/>
      <c r="O44" s="64"/>
      <c r="P44" s="68"/>
      <c r="Q44" s="68"/>
      <c r="R44" s="68"/>
      <c r="S44" s="68"/>
      <c r="T44" s="68"/>
      <c r="U44" s="68"/>
      <c r="V44" s="68"/>
      <c r="W44" s="68"/>
    </row>
    <row r="45" spans="1:23" s="8" customFormat="1" ht="25.5" customHeight="1">
      <c r="A45" s="5" t="s">
        <v>58</v>
      </c>
      <c r="B45" s="92">
        <v>3.0000000000000001E-3</v>
      </c>
      <c r="C45" s="24"/>
      <c r="D45" s="6">
        <f>$B$45*D50</f>
        <v>6.3</v>
      </c>
      <c r="E45" s="6">
        <f t="shared" ref="E45:J45" si="11">$B$45*E50</f>
        <v>6.3</v>
      </c>
      <c r="F45" s="6">
        <f t="shared" si="11"/>
        <v>6.3</v>
      </c>
      <c r="G45" s="6">
        <f t="shared" si="11"/>
        <v>6.3</v>
      </c>
      <c r="H45" s="6">
        <f t="shared" si="11"/>
        <v>6.3</v>
      </c>
      <c r="I45" s="6">
        <f t="shared" si="11"/>
        <v>6.3</v>
      </c>
      <c r="J45" s="6">
        <f t="shared" si="11"/>
        <v>6.3</v>
      </c>
      <c r="K45" s="6"/>
      <c r="L45" s="6"/>
      <c r="M45" s="6"/>
      <c r="N45" s="55"/>
      <c r="O45" s="7"/>
      <c r="P45" s="7"/>
      <c r="Q45" s="13"/>
    </row>
    <row r="46" spans="1:23" s="8" customFormat="1" ht="10.5" customHeight="1">
      <c r="A46" s="5"/>
      <c r="B46" s="24"/>
      <c r="C46" s="24"/>
      <c r="D46" s="6"/>
      <c r="E46" s="6"/>
      <c r="F46" s="6"/>
      <c r="G46" s="6"/>
      <c r="H46" s="6"/>
      <c r="I46" s="6"/>
      <c r="J46" s="6"/>
      <c r="K46" s="6"/>
      <c r="L46" s="6"/>
      <c r="M46" s="6"/>
      <c r="N46" s="55"/>
      <c r="O46" s="7"/>
      <c r="P46" s="7"/>
      <c r="Q46" s="13"/>
    </row>
    <row r="47" spans="1:23" s="99" customFormat="1" ht="15.75" customHeight="1">
      <c r="A47" s="93" t="s">
        <v>86</v>
      </c>
      <c r="B47" s="94"/>
      <c r="C47" s="94"/>
      <c r="D47" s="95">
        <f t="shared" ref="D47:J47" si="12">D30+D31+D34+D36+D38+D40+D41+D44+D45</f>
        <v>63.9</v>
      </c>
      <c r="E47" s="95">
        <f t="shared" si="12"/>
        <v>63.9</v>
      </c>
      <c r="F47" s="95">
        <f t="shared" si="12"/>
        <v>63.9</v>
      </c>
      <c r="G47" s="95">
        <f t="shared" si="12"/>
        <v>63.9</v>
      </c>
      <c r="H47" s="95">
        <f t="shared" si="12"/>
        <v>63.9</v>
      </c>
      <c r="I47" s="95">
        <f t="shared" si="12"/>
        <v>63.9</v>
      </c>
      <c r="J47" s="95">
        <f t="shared" si="12"/>
        <v>63.9</v>
      </c>
      <c r="K47" s="95"/>
      <c r="L47" s="95"/>
      <c r="M47" s="95"/>
      <c r="N47" s="96"/>
      <c r="O47" s="97"/>
      <c r="P47" s="97"/>
      <c r="Q47" s="98"/>
    </row>
    <row r="48" spans="1:23" s="41" customFormat="1" ht="15.5">
      <c r="A48" s="37" t="s">
        <v>85</v>
      </c>
      <c r="B48" s="38"/>
      <c r="C48" s="38"/>
      <c r="D48" s="39">
        <f>D28+D30+D31+D34+D36+D38+D40+D41+D44+D45</f>
        <v>1846.8999999999999</v>
      </c>
      <c r="E48" s="39">
        <f t="shared" ref="E48:J48" si="13">E28+E30+E31+E34+E36+E38+E40+E41+E44+E45</f>
        <v>1846.8999999999999</v>
      </c>
      <c r="F48" s="39">
        <f t="shared" si="13"/>
        <v>1846.8999999999999</v>
      </c>
      <c r="G48" s="39">
        <f t="shared" si="13"/>
        <v>1846.8999999999999</v>
      </c>
      <c r="H48" s="39">
        <f t="shared" si="13"/>
        <v>1846.8999999999999</v>
      </c>
      <c r="I48" s="39">
        <f t="shared" si="13"/>
        <v>1846.8999999999999</v>
      </c>
      <c r="J48" s="39">
        <f t="shared" si="13"/>
        <v>1846.8999999999999</v>
      </c>
      <c r="K48" s="39"/>
      <c r="L48" s="39"/>
      <c r="M48" s="39"/>
      <c r="N48" s="56"/>
      <c r="O48" s="40"/>
    </row>
    <row r="49" spans="1:15" s="31" customFormat="1" ht="15.5">
      <c r="A49" s="27" t="s">
        <v>80</v>
      </c>
      <c r="B49" s="28">
        <v>1</v>
      </c>
      <c r="C49" s="28">
        <v>2200</v>
      </c>
      <c r="D49" s="29">
        <f>$B$49*$C$49</f>
        <v>2200</v>
      </c>
      <c r="E49" s="29">
        <f t="shared" ref="E49:J49" si="14">$B$49*$C$49</f>
        <v>2200</v>
      </c>
      <c r="F49" s="29">
        <f t="shared" si="14"/>
        <v>2200</v>
      </c>
      <c r="G49" s="29">
        <f t="shared" si="14"/>
        <v>2200</v>
      </c>
      <c r="H49" s="29">
        <f t="shared" si="14"/>
        <v>2200</v>
      </c>
      <c r="I49" s="29">
        <f t="shared" si="14"/>
        <v>2200</v>
      </c>
      <c r="J49" s="29">
        <f t="shared" si="14"/>
        <v>2200</v>
      </c>
      <c r="K49" s="29"/>
      <c r="L49" s="29"/>
      <c r="M49" s="29"/>
      <c r="N49" s="57"/>
      <c r="O49" s="30"/>
    </row>
    <row r="50" spans="1:15" s="36" customFormat="1" ht="15.5">
      <c r="A50" s="32" t="s">
        <v>79</v>
      </c>
      <c r="B50" s="33"/>
      <c r="C50" s="33"/>
      <c r="D50" s="82">
        <v>2100</v>
      </c>
      <c r="E50" s="82">
        <v>2100</v>
      </c>
      <c r="F50" s="82">
        <v>2100</v>
      </c>
      <c r="G50" s="82">
        <v>2100</v>
      </c>
      <c r="H50" s="82">
        <v>2100</v>
      </c>
      <c r="I50" s="82">
        <v>2100</v>
      </c>
      <c r="J50" s="82">
        <v>2100</v>
      </c>
      <c r="K50" s="34"/>
      <c r="L50" s="34"/>
      <c r="M50" s="34"/>
      <c r="N50" s="58"/>
      <c r="O50" s="35"/>
    </row>
    <row r="51" spans="1:15" ht="22.5" customHeight="1">
      <c r="N51" s="83"/>
    </row>
    <row r="52" spans="1:15" s="41" customFormat="1" ht="15.5">
      <c r="A52" s="37" t="s">
        <v>30</v>
      </c>
      <c r="B52" s="38"/>
      <c r="C52" s="38"/>
      <c r="D52" s="39">
        <f>D48*D24</f>
        <v>0</v>
      </c>
      <c r="E52" s="39">
        <f t="shared" ref="E52:J52" si="15">E48*E24</f>
        <v>0</v>
      </c>
      <c r="F52" s="39">
        <f t="shared" si="15"/>
        <v>0</v>
      </c>
      <c r="G52" s="39">
        <f t="shared" si="15"/>
        <v>0</v>
      </c>
      <c r="H52" s="39">
        <f t="shared" si="15"/>
        <v>0</v>
      </c>
      <c r="I52" s="39">
        <f t="shared" si="15"/>
        <v>0</v>
      </c>
      <c r="J52" s="39">
        <f t="shared" si="15"/>
        <v>0</v>
      </c>
      <c r="K52" s="39"/>
      <c r="L52" s="39"/>
      <c r="M52" s="39"/>
      <c r="N52" s="56"/>
      <c r="O52" s="40"/>
    </row>
    <row r="53" spans="1:15" s="36" customFormat="1" ht="15.5">
      <c r="A53" s="32" t="s">
        <v>31</v>
      </c>
      <c r="B53" s="33"/>
      <c r="C53" s="33"/>
      <c r="D53" s="34">
        <f>D50*D24</f>
        <v>0</v>
      </c>
      <c r="E53" s="34">
        <f t="shared" ref="E53:J53" si="16">E50*E24</f>
        <v>0</v>
      </c>
      <c r="F53" s="34">
        <f t="shared" si="16"/>
        <v>0</v>
      </c>
      <c r="G53" s="34">
        <f t="shared" si="16"/>
        <v>0</v>
      </c>
      <c r="H53" s="34">
        <f t="shared" si="16"/>
        <v>0</v>
      </c>
      <c r="I53" s="34">
        <f t="shared" si="16"/>
        <v>0</v>
      </c>
      <c r="J53" s="34">
        <f t="shared" si="16"/>
        <v>0</v>
      </c>
      <c r="K53" s="34"/>
      <c r="L53" s="34"/>
      <c r="M53" s="34"/>
      <c r="N53" s="58"/>
      <c r="O53" s="35"/>
    </row>
    <row r="54" spans="1:15" s="52" customFormat="1" ht="15.5">
      <c r="A54" s="48" t="s">
        <v>32</v>
      </c>
      <c r="B54" s="49"/>
      <c r="C54" s="49"/>
      <c r="D54" s="50">
        <f>D53-D52</f>
        <v>0</v>
      </c>
      <c r="E54" s="50">
        <f t="shared" ref="E54:J54" si="17">E53-E52</f>
        <v>0</v>
      </c>
      <c r="F54" s="50">
        <f t="shared" si="17"/>
        <v>0</v>
      </c>
      <c r="G54" s="50">
        <f t="shared" si="17"/>
        <v>0</v>
      </c>
      <c r="H54" s="50">
        <f t="shared" si="17"/>
        <v>0</v>
      </c>
      <c r="I54" s="50">
        <f t="shared" si="17"/>
        <v>0</v>
      </c>
      <c r="J54" s="50">
        <f t="shared" si="17"/>
        <v>0</v>
      </c>
      <c r="K54" s="50"/>
      <c r="L54" s="50"/>
      <c r="M54" s="50"/>
      <c r="N54" s="84"/>
      <c r="O54" s="5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W54"/>
  <sheetViews>
    <sheetView topLeftCell="A10" workbookViewId="0">
      <selection activeCell="D23" sqref="D23"/>
    </sheetView>
  </sheetViews>
  <sheetFormatPr baseColWidth="10" defaultRowHeight="14.5"/>
  <cols>
    <col min="1" max="1" width="38" style="1" customWidth="1"/>
    <col min="2" max="2" width="11" style="14" customWidth="1"/>
    <col min="3" max="3" width="13.7265625" style="14" customWidth="1"/>
    <col min="4" max="7" width="12.7265625" customWidth="1"/>
    <col min="8" max="8" width="14" customWidth="1"/>
    <col min="9" max="9" width="14.453125" customWidth="1"/>
    <col min="10" max="10" width="12.7265625" customWidth="1"/>
    <col min="11" max="11" width="10.54296875" hidden="1" customWidth="1"/>
    <col min="12" max="12" width="10.453125" hidden="1" customWidth="1"/>
    <col min="13" max="13" width="10.54296875" hidden="1" customWidth="1"/>
    <col min="15" max="15" width="14.453125" hidden="1" customWidth="1"/>
  </cols>
  <sheetData>
    <row r="5" spans="1:10">
      <c r="B5" s="21">
        <v>1</v>
      </c>
      <c r="C5" s="80">
        <v>3.4</v>
      </c>
    </row>
    <row r="6" spans="1:10">
      <c r="D6" t="s">
        <v>20</v>
      </c>
    </row>
    <row r="7" spans="1:10" s="16" customFormat="1">
      <c r="A7" s="1" t="s">
        <v>84</v>
      </c>
      <c r="B7" s="15"/>
      <c r="C7" s="100" t="e">
        <f>I7*B9/J9</f>
        <v>#REF!</v>
      </c>
      <c r="D7" s="102">
        <v>10</v>
      </c>
      <c r="E7" t="s">
        <v>21</v>
      </c>
      <c r="G7" s="1" t="s">
        <v>69</v>
      </c>
      <c r="I7" s="71">
        <f>'Inv-Financement'!D7</f>
        <v>1000000</v>
      </c>
    </row>
    <row r="8" spans="1:10">
      <c r="A8" s="1" t="s">
        <v>17</v>
      </c>
      <c r="C8" s="19" t="e">
        <f>I8*C9/I9</f>
        <v>#REF!</v>
      </c>
      <c r="D8" s="18">
        <v>7</v>
      </c>
      <c r="E8" t="s">
        <v>21</v>
      </c>
      <c r="G8" s="1" t="s">
        <v>22</v>
      </c>
      <c r="I8" s="79" t="e">
        <f>'Inv-Financement'!D5</f>
        <v>#REF!</v>
      </c>
    </row>
    <row r="9" spans="1:10">
      <c r="A9" s="1" t="s">
        <v>19</v>
      </c>
      <c r="B9" s="22">
        <v>0</v>
      </c>
      <c r="C9" s="20">
        <f>B9*C5</f>
        <v>0</v>
      </c>
      <c r="D9" s="18">
        <v>5</v>
      </c>
      <c r="E9" t="s">
        <v>21</v>
      </c>
      <c r="G9" s="1" t="s">
        <v>82</v>
      </c>
      <c r="I9" s="17" t="e">
        <f>C5*J9</f>
        <v>#REF!</v>
      </c>
      <c r="J9" s="81" t="e">
        <f>Volumes!P5</f>
        <v>#REF!</v>
      </c>
    </row>
    <row r="10" spans="1:10">
      <c r="A10" s="1" t="s">
        <v>81</v>
      </c>
      <c r="C10" s="19" t="e">
        <f>SUM(C7:C9)</f>
        <v>#REF!</v>
      </c>
      <c r="G10" s="1" t="s">
        <v>83</v>
      </c>
      <c r="I10" s="101" t="e">
        <f>SUM(I7:I9)</f>
        <v>#REF!</v>
      </c>
    </row>
    <row r="13" spans="1:10">
      <c r="A13" s="1" t="s">
        <v>50</v>
      </c>
      <c r="B13" s="77">
        <v>1</v>
      </c>
      <c r="C13" s="14" t="s">
        <v>51</v>
      </c>
      <c r="D13" s="53">
        <f>$B$13*$B$14*2084</f>
        <v>1667.2</v>
      </c>
      <c r="E13" t="s">
        <v>53</v>
      </c>
      <c r="F13" s="53">
        <f>D13*2</f>
        <v>3334.4</v>
      </c>
      <c r="G13" t="s">
        <v>54</v>
      </c>
      <c r="H13" s="53">
        <f>D13*3</f>
        <v>5001.6000000000004</v>
      </c>
      <c r="I13" t="s">
        <v>55</v>
      </c>
    </row>
    <row r="14" spans="1:10">
      <c r="A14" s="1" t="s">
        <v>52</v>
      </c>
      <c r="B14" s="78">
        <v>0.8</v>
      </c>
    </row>
    <row r="16" spans="1:10">
      <c r="A16" s="1" t="s">
        <v>73</v>
      </c>
      <c r="C16" s="76">
        <v>72000</v>
      </c>
      <c r="D16" t="s">
        <v>65</v>
      </c>
      <c r="E16" s="53">
        <f>C16/12</f>
        <v>6000</v>
      </c>
      <c r="F16" t="s">
        <v>74</v>
      </c>
      <c r="H16" s="103">
        <v>100</v>
      </c>
      <c r="I16" t="s">
        <v>88</v>
      </c>
    </row>
    <row r="17" spans="1:22">
      <c r="A17" s="1" t="s">
        <v>56</v>
      </c>
      <c r="C17" s="76">
        <v>200000</v>
      </c>
      <c r="D17" t="s">
        <v>65</v>
      </c>
    </row>
    <row r="19" spans="1:22">
      <c r="E19" s="1" t="s">
        <v>78</v>
      </c>
    </row>
    <row r="20" spans="1:22">
      <c r="A20" s="1" t="s">
        <v>75</v>
      </c>
      <c r="C20" s="77">
        <v>1750</v>
      </c>
      <c r="D20" t="s">
        <v>77</v>
      </c>
      <c r="E20" s="90">
        <v>0.8</v>
      </c>
    </row>
    <row r="21" spans="1:22">
      <c r="A21" s="1" t="s">
        <v>76</v>
      </c>
      <c r="C21" s="77">
        <v>1850</v>
      </c>
      <c r="D21" t="s">
        <v>77</v>
      </c>
      <c r="E21" s="90">
        <v>0.2</v>
      </c>
    </row>
    <row r="23" spans="1:22">
      <c r="A23" s="2" t="s">
        <v>89</v>
      </c>
      <c r="B23" s="23"/>
      <c r="C23" s="23"/>
      <c r="D23" s="104" t="e">
        <f>Volumes!D6</f>
        <v>#REF!</v>
      </c>
      <c r="E23" s="104" t="e">
        <f>Volumes!E6</f>
        <v>#REF!</v>
      </c>
      <c r="F23" s="104" t="e">
        <f>Volumes!F6</f>
        <v>#REF!</v>
      </c>
      <c r="G23" s="104" t="e">
        <f>Volumes!G6</f>
        <v>#REF!</v>
      </c>
      <c r="H23" s="104" t="e">
        <f>Volumes!H6</f>
        <v>#REF!</v>
      </c>
      <c r="I23" s="104" t="e">
        <f>Volumes!I6</f>
        <v>#REF!</v>
      </c>
      <c r="J23" s="104" t="e">
        <f>Volumes!J6</f>
        <v>#REF!</v>
      </c>
    </row>
    <row r="24" spans="1:22" s="4" customFormat="1" ht="28.5" customHeight="1">
      <c r="A24" s="106" t="s">
        <v>90</v>
      </c>
      <c r="B24" s="86" t="s">
        <v>25</v>
      </c>
      <c r="C24" s="86" t="s">
        <v>24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3"/>
      <c r="L24" s="3"/>
      <c r="M24" s="3"/>
      <c r="N24" s="87" t="s">
        <v>28</v>
      </c>
      <c r="O24" s="88" t="s">
        <v>8</v>
      </c>
      <c r="P24" s="89"/>
      <c r="Q24" s="89"/>
      <c r="R24" s="89"/>
      <c r="S24" s="89"/>
      <c r="T24" s="89"/>
      <c r="U24" s="89"/>
      <c r="V24" s="89"/>
    </row>
    <row r="25" spans="1:22" s="89" customFormat="1" ht="28.5" customHeight="1">
      <c r="A25" s="107" t="s">
        <v>91</v>
      </c>
      <c r="B25" s="110">
        <v>0.1</v>
      </c>
      <c r="C25" s="105" t="s">
        <v>92</v>
      </c>
      <c r="D25" s="108">
        <v>20000</v>
      </c>
      <c r="E25" s="108">
        <f t="shared" ref="E25:J25" si="0">D25*(1+$B$25)</f>
        <v>22000</v>
      </c>
      <c r="F25" s="108">
        <f t="shared" si="0"/>
        <v>24200.000000000004</v>
      </c>
      <c r="G25" s="108">
        <f t="shared" si="0"/>
        <v>26620.000000000007</v>
      </c>
      <c r="H25" s="108">
        <f t="shared" si="0"/>
        <v>29282.000000000011</v>
      </c>
      <c r="I25" s="108">
        <f t="shared" si="0"/>
        <v>32210.200000000015</v>
      </c>
      <c r="J25" s="108">
        <f t="shared" si="0"/>
        <v>35431.220000000023</v>
      </c>
      <c r="K25" s="109"/>
      <c r="L25" s="109"/>
      <c r="M25" s="109"/>
      <c r="N25" s="87"/>
      <c r="O25" s="88"/>
    </row>
    <row r="26" spans="1:22" s="89" customFormat="1" ht="28.5" customHeight="1">
      <c r="A26" s="107" t="s">
        <v>93</v>
      </c>
      <c r="B26" s="105"/>
      <c r="C26" s="105"/>
      <c r="D26" s="108"/>
      <c r="E26" s="108"/>
      <c r="F26" s="108"/>
      <c r="G26" s="108"/>
      <c r="H26" s="108"/>
      <c r="I26" s="108"/>
      <c r="J26" s="108"/>
      <c r="K26" s="109"/>
      <c r="L26" s="109"/>
      <c r="M26" s="109"/>
      <c r="N26" s="87"/>
      <c r="O26" s="88"/>
    </row>
    <row r="27" spans="1:22" s="89" customFormat="1" ht="12.75" customHeight="1">
      <c r="A27" s="107"/>
      <c r="B27" s="105"/>
      <c r="C27" s="105"/>
      <c r="D27" s="108"/>
      <c r="E27" s="108"/>
      <c r="F27" s="108"/>
      <c r="G27" s="108"/>
      <c r="H27" s="108"/>
      <c r="I27" s="108"/>
      <c r="J27" s="108"/>
      <c r="K27" s="109"/>
      <c r="L27" s="109"/>
      <c r="M27" s="109"/>
      <c r="N27" s="87"/>
      <c r="O27" s="88"/>
    </row>
    <row r="28" spans="1:22" s="47" customFormat="1">
      <c r="A28" s="42" t="s">
        <v>9</v>
      </c>
      <c r="B28" s="43">
        <v>1</v>
      </c>
      <c r="C28" s="43">
        <f>$C$20*$E$20+$C$21*$E$21</f>
        <v>1770</v>
      </c>
      <c r="D28" s="44">
        <f>$C$28*$B$28</f>
        <v>1770</v>
      </c>
      <c r="E28" s="44">
        <f t="shared" ref="E28:J28" si="1">$C$28*$B$28</f>
        <v>1770</v>
      </c>
      <c r="F28" s="44">
        <f t="shared" si="1"/>
        <v>1770</v>
      </c>
      <c r="G28" s="44">
        <f t="shared" si="1"/>
        <v>1770</v>
      </c>
      <c r="H28" s="44">
        <f t="shared" si="1"/>
        <v>1770</v>
      </c>
      <c r="I28" s="44">
        <f t="shared" si="1"/>
        <v>1770</v>
      </c>
      <c r="J28" s="44">
        <f t="shared" si="1"/>
        <v>1770</v>
      </c>
      <c r="K28" s="44"/>
      <c r="L28" s="44"/>
      <c r="M28" s="44"/>
      <c r="N28" s="60"/>
      <c r="O28" s="45">
        <v>0.01</v>
      </c>
      <c r="P28" s="46"/>
    </row>
    <row r="29" spans="1:22" s="47" customFormat="1" ht="3.75" customHeight="1">
      <c r="A29" s="42"/>
      <c r="B29" s="43"/>
      <c r="C29" s="43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60"/>
      <c r="O29" s="45"/>
      <c r="P29" s="46"/>
    </row>
    <row r="30" spans="1:22" s="47" customFormat="1">
      <c r="A30" s="42" t="s">
        <v>10</v>
      </c>
      <c r="B30" s="91">
        <v>30</v>
      </c>
      <c r="C30" s="43">
        <v>0.2</v>
      </c>
      <c r="D30" s="44">
        <f>$C$30*$B$30</f>
        <v>6</v>
      </c>
      <c r="E30" s="44">
        <f t="shared" ref="E30:J30" si="2">$C$30*$B$30</f>
        <v>6</v>
      </c>
      <c r="F30" s="44">
        <f t="shared" si="2"/>
        <v>6</v>
      </c>
      <c r="G30" s="44">
        <f t="shared" si="2"/>
        <v>6</v>
      </c>
      <c r="H30" s="44">
        <f t="shared" si="2"/>
        <v>6</v>
      </c>
      <c r="I30" s="44">
        <f t="shared" si="2"/>
        <v>6</v>
      </c>
      <c r="J30" s="44">
        <f t="shared" si="2"/>
        <v>6</v>
      </c>
      <c r="K30" s="44"/>
      <c r="L30" s="44"/>
      <c r="M30" s="44"/>
      <c r="N30" s="60"/>
      <c r="O30" s="45">
        <v>0.01</v>
      </c>
    </row>
    <row r="31" spans="1:22" s="47" customFormat="1">
      <c r="A31" s="42" t="s">
        <v>11</v>
      </c>
      <c r="B31" s="43">
        <v>1</v>
      </c>
      <c r="C31" s="91">
        <v>10</v>
      </c>
      <c r="D31" s="44">
        <f>$C$31*$B$31</f>
        <v>10</v>
      </c>
      <c r="E31" s="44">
        <f t="shared" ref="E31:J31" si="3">$C$31*$B$31</f>
        <v>10</v>
      </c>
      <c r="F31" s="44">
        <f t="shared" si="3"/>
        <v>10</v>
      </c>
      <c r="G31" s="44">
        <f t="shared" si="3"/>
        <v>10</v>
      </c>
      <c r="H31" s="44">
        <f t="shared" si="3"/>
        <v>10</v>
      </c>
      <c r="I31" s="44">
        <f t="shared" si="3"/>
        <v>10</v>
      </c>
      <c r="J31" s="44">
        <f t="shared" si="3"/>
        <v>10</v>
      </c>
      <c r="K31" s="44"/>
      <c r="L31" s="44"/>
      <c r="M31" s="44"/>
      <c r="N31" s="60"/>
      <c r="O31" s="45">
        <v>0.02</v>
      </c>
    </row>
    <row r="32" spans="1:22" s="8" customFormat="1" ht="9.75" customHeight="1">
      <c r="A32" s="5"/>
      <c r="B32" s="24"/>
      <c r="C32" s="24"/>
      <c r="D32" s="6"/>
      <c r="E32" s="6"/>
      <c r="F32" s="6"/>
      <c r="G32" s="6"/>
      <c r="H32" s="6"/>
      <c r="I32" s="6"/>
      <c r="J32" s="6"/>
      <c r="K32" s="6"/>
      <c r="L32" s="6"/>
      <c r="M32" s="6"/>
      <c r="N32" s="55"/>
      <c r="O32" s="7"/>
    </row>
    <row r="33" spans="1:23" s="8" customFormat="1" ht="17.25" customHeight="1">
      <c r="A33" s="75" t="s">
        <v>60</v>
      </c>
      <c r="B33" s="24"/>
      <c r="C33" s="24"/>
      <c r="D33" s="6">
        <f>IF(D24&gt;$F$13,$C$16*3,IF(D24&gt;$D$13,2*$C$16,$C$16))</f>
        <v>72000</v>
      </c>
      <c r="E33" s="6">
        <f t="shared" ref="E33:J33" si="4">IF(E24&gt;$F$13,$C$16*3,IF(E24&gt;$D$13,2*$C$16,$C$16))</f>
        <v>72000</v>
      </c>
      <c r="F33" s="6">
        <f t="shared" si="4"/>
        <v>72000</v>
      </c>
      <c r="G33" s="6">
        <f t="shared" si="4"/>
        <v>72000</v>
      </c>
      <c r="H33" s="6">
        <f t="shared" si="4"/>
        <v>72000</v>
      </c>
      <c r="I33" s="6">
        <f t="shared" si="4"/>
        <v>72000</v>
      </c>
      <c r="J33" s="6">
        <f t="shared" si="4"/>
        <v>72000</v>
      </c>
      <c r="K33" s="6"/>
      <c r="L33" s="6"/>
      <c r="M33" s="6"/>
      <c r="N33" s="55"/>
      <c r="O33" s="7"/>
    </row>
    <row r="34" spans="1:23" s="65" customFormat="1">
      <c r="A34" s="61" t="s">
        <v>29</v>
      </c>
      <c r="B34" s="62"/>
      <c r="C34" s="62"/>
      <c r="D34" s="63">
        <f>IF(D24=0,0,D33/D24)</f>
        <v>0</v>
      </c>
      <c r="E34" s="63">
        <f t="shared" ref="E34:J34" si="5">IF(E24=0,0,E33/E24)</f>
        <v>0</v>
      </c>
      <c r="F34" s="63">
        <f t="shared" si="5"/>
        <v>0</v>
      </c>
      <c r="G34" s="63">
        <f t="shared" si="5"/>
        <v>0</v>
      </c>
      <c r="H34" s="63">
        <f t="shared" si="5"/>
        <v>0</v>
      </c>
      <c r="I34" s="63">
        <f t="shared" si="5"/>
        <v>0</v>
      </c>
      <c r="J34" s="63">
        <f t="shared" si="5"/>
        <v>0</v>
      </c>
      <c r="K34" s="63"/>
      <c r="L34" s="63"/>
      <c r="M34" s="63"/>
      <c r="N34" s="59"/>
      <c r="O34" s="64">
        <v>0.02</v>
      </c>
    </row>
    <row r="35" spans="1:23" s="12" customFormat="1">
      <c r="A35" s="73" t="s">
        <v>66</v>
      </c>
      <c r="B35" s="25"/>
      <c r="C35" s="25"/>
      <c r="D35" s="74" t="e">
        <f>D24/Volumes!D5</f>
        <v>#REF!</v>
      </c>
      <c r="E35" s="74" t="e">
        <f>E24/Volumes!E5</f>
        <v>#REF!</v>
      </c>
      <c r="F35" s="74" t="e">
        <f>F24/Volumes!F5</f>
        <v>#REF!</v>
      </c>
      <c r="G35" s="74" t="e">
        <f>G24/Volumes!G5</f>
        <v>#REF!</v>
      </c>
      <c r="H35" s="74" t="e">
        <f>H24/Volumes!H5</f>
        <v>#REF!</v>
      </c>
      <c r="I35" s="74" t="e">
        <f>I24/Volumes!I5</f>
        <v>#REF!</v>
      </c>
      <c r="J35" s="74" t="e">
        <f>J24/Volumes!J5</f>
        <v>#REF!</v>
      </c>
      <c r="K35" s="72"/>
      <c r="L35" s="72"/>
      <c r="M35" s="72"/>
      <c r="N35" s="59"/>
      <c r="O35" s="11"/>
    </row>
    <row r="36" spans="1:23" s="65" customFormat="1">
      <c r="A36" s="61" t="s">
        <v>67</v>
      </c>
      <c r="B36" s="62"/>
      <c r="C36" s="62"/>
      <c r="D36" s="63">
        <f>IF(D24=0,0,$C$17*D35/D24)</f>
        <v>0</v>
      </c>
      <c r="E36" s="63">
        <f t="shared" ref="E36:J36" si="6">IF(E24=0,0,$C$17*E35/E24)</f>
        <v>0</v>
      </c>
      <c r="F36" s="63">
        <f t="shared" si="6"/>
        <v>0</v>
      </c>
      <c r="G36" s="63">
        <f t="shared" si="6"/>
        <v>0</v>
      </c>
      <c r="H36" s="63">
        <f t="shared" si="6"/>
        <v>0</v>
      </c>
      <c r="I36" s="63">
        <f t="shared" si="6"/>
        <v>0</v>
      </c>
      <c r="J36" s="63">
        <f t="shared" si="6"/>
        <v>0</v>
      </c>
      <c r="K36" s="63"/>
      <c r="L36" s="63"/>
      <c r="M36" s="63"/>
      <c r="N36" s="59"/>
      <c r="O36" s="64"/>
    </row>
    <row r="37" spans="1:23" s="12" customFormat="1" ht="5.25" customHeight="1">
      <c r="A37" s="9"/>
      <c r="B37" s="25"/>
      <c r="C37" s="2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55"/>
      <c r="O37" s="11"/>
    </row>
    <row r="38" spans="1:23" s="70" customFormat="1" ht="24.75" customHeight="1">
      <c r="A38" s="66" t="s">
        <v>59</v>
      </c>
      <c r="B38" s="92">
        <v>0.01</v>
      </c>
      <c r="C38" s="67"/>
      <c r="D38" s="63">
        <f>D50*$B$38</f>
        <v>21</v>
      </c>
      <c r="E38" s="63">
        <f t="shared" ref="E38:J38" si="7">E50*$B$38</f>
        <v>21</v>
      </c>
      <c r="F38" s="63">
        <f t="shared" si="7"/>
        <v>21</v>
      </c>
      <c r="G38" s="63">
        <f t="shared" si="7"/>
        <v>21</v>
      </c>
      <c r="H38" s="63">
        <f t="shared" si="7"/>
        <v>21</v>
      </c>
      <c r="I38" s="63">
        <f t="shared" si="7"/>
        <v>21</v>
      </c>
      <c r="J38" s="63">
        <f t="shared" si="7"/>
        <v>21</v>
      </c>
      <c r="K38" s="63"/>
      <c r="L38" s="63"/>
      <c r="M38" s="63"/>
      <c r="N38" s="59"/>
      <c r="O38" s="68"/>
      <c r="P38" s="68">
        <v>0.03</v>
      </c>
      <c r="Q38" s="69" t="s">
        <v>12</v>
      </c>
    </row>
    <row r="39" spans="1:23" s="8" customFormat="1" ht="5.25" customHeight="1">
      <c r="A39" s="5"/>
      <c r="B39" s="24"/>
      <c r="C39" s="24"/>
      <c r="D39" s="6"/>
      <c r="E39" s="6"/>
      <c r="F39" s="6"/>
      <c r="G39" s="6"/>
      <c r="H39" s="6"/>
      <c r="I39" s="6"/>
      <c r="J39" s="6"/>
      <c r="K39" s="6"/>
      <c r="L39" s="6"/>
      <c r="M39" s="6"/>
      <c r="N39" s="55"/>
      <c r="O39" s="7"/>
      <c r="P39" s="7"/>
      <c r="Q39" s="13"/>
    </row>
    <row r="40" spans="1:23" s="8" customFormat="1">
      <c r="A40" s="5" t="s">
        <v>26</v>
      </c>
      <c r="B40" s="26"/>
      <c r="C40" s="26"/>
      <c r="D40" s="6">
        <f>IF(D24=0,0,$N$40/D24)</f>
        <v>0</v>
      </c>
      <c r="E40" s="6">
        <f t="shared" ref="E40:J40" si="8">IF(E24=0,0,$N$40/E24)</f>
        <v>0</v>
      </c>
      <c r="F40" s="6">
        <f t="shared" si="8"/>
        <v>0</v>
      </c>
      <c r="G40" s="6">
        <f t="shared" si="8"/>
        <v>0</v>
      </c>
      <c r="H40" s="6">
        <f t="shared" si="8"/>
        <v>0</v>
      </c>
      <c r="I40" s="6">
        <f t="shared" si="8"/>
        <v>0</v>
      </c>
      <c r="J40" s="6">
        <f t="shared" si="8"/>
        <v>0</v>
      </c>
      <c r="K40" s="6"/>
      <c r="L40" s="6"/>
      <c r="M40" s="6"/>
      <c r="N40" s="54" t="e">
        <f>C8/D8</f>
        <v>#REF!</v>
      </c>
      <c r="O40" s="7"/>
      <c r="P40" s="7"/>
      <c r="Q40" s="13"/>
    </row>
    <row r="41" spans="1:23" s="8" customFormat="1">
      <c r="A41" s="5" t="s">
        <v>27</v>
      </c>
      <c r="B41" s="26"/>
      <c r="C41" s="26"/>
      <c r="D41" s="6">
        <f>IF(D24=0,0,$N$41/D24)</f>
        <v>0</v>
      </c>
      <c r="E41" s="6">
        <f t="shared" ref="E41:J41" si="9">IF(E24=0,0,$N$41/E24)</f>
        <v>0</v>
      </c>
      <c r="F41" s="6">
        <f t="shared" si="9"/>
        <v>0</v>
      </c>
      <c r="G41" s="6">
        <f t="shared" si="9"/>
        <v>0</v>
      </c>
      <c r="H41" s="6">
        <f t="shared" si="9"/>
        <v>0</v>
      </c>
      <c r="I41" s="6">
        <f t="shared" si="9"/>
        <v>0</v>
      </c>
      <c r="J41" s="6">
        <f t="shared" si="9"/>
        <v>0</v>
      </c>
      <c r="K41" s="6"/>
      <c r="L41" s="6"/>
      <c r="M41" s="6"/>
      <c r="N41" s="54" t="e">
        <f>(C9+C7)/D9</f>
        <v>#REF!</v>
      </c>
      <c r="O41" s="7"/>
      <c r="P41" s="7"/>
      <c r="Q41" s="13"/>
    </row>
    <row r="42" spans="1:23" s="8" customFormat="1" ht="7.5" customHeight="1">
      <c r="A42" s="5"/>
      <c r="B42" s="24"/>
      <c r="C42" s="24"/>
      <c r="D42" s="6"/>
      <c r="E42" s="6"/>
      <c r="F42" s="6"/>
      <c r="G42" s="6"/>
      <c r="H42" s="6"/>
      <c r="I42" s="6"/>
      <c r="J42" s="6"/>
      <c r="K42" s="6"/>
      <c r="L42" s="6"/>
      <c r="M42" s="6"/>
      <c r="N42" s="55"/>
      <c r="O42" s="7"/>
      <c r="P42" s="7"/>
      <c r="Q42" s="13"/>
    </row>
    <row r="43" spans="1:23" s="8" customFormat="1" ht="15.75" customHeight="1">
      <c r="A43" s="75" t="s">
        <v>72</v>
      </c>
      <c r="B43" s="24"/>
      <c r="C43" s="24"/>
      <c r="D43" s="6" t="e">
        <f>'Inv-Financement'!C21*Volumes!$Q$10</f>
        <v>#REF!</v>
      </c>
      <c r="E43" s="6" t="e">
        <f>'Inv-Financement'!D21*Volumes!$Q$10</f>
        <v>#REF!</v>
      </c>
      <c r="F43" s="6" t="e">
        <f>'Inv-Financement'!E21*Volumes!$Q$10</f>
        <v>#REF!</v>
      </c>
      <c r="G43" s="6" t="e">
        <f>'Inv-Financement'!F21*Volumes!$Q$10</f>
        <v>#REF!</v>
      </c>
      <c r="H43" s="6" t="e">
        <f>'Inv-Financement'!G21*Volumes!$Q$10</f>
        <v>#REF!</v>
      </c>
      <c r="I43" s="6" t="e">
        <f>'Inv-Financement'!H21*Volumes!$Q$10</f>
        <v>#REF!</v>
      </c>
      <c r="J43" s="6" t="e">
        <f>'Inv-Financement'!I21*Volumes!$Q$10</f>
        <v>#REF!</v>
      </c>
      <c r="K43" s="6"/>
      <c r="L43" s="6"/>
      <c r="M43" s="6"/>
      <c r="N43" s="55"/>
      <c r="O43" s="7"/>
      <c r="P43" s="7"/>
      <c r="Q43" s="13"/>
    </row>
    <row r="44" spans="1:23" s="65" customFormat="1" ht="18" customHeight="1">
      <c r="A44" s="61" t="s">
        <v>33</v>
      </c>
      <c r="B44" s="62"/>
      <c r="C44" s="62"/>
      <c r="D44" s="63">
        <f>IF(D24=0,0,D43/D24)</f>
        <v>0</v>
      </c>
      <c r="E44" s="63">
        <f t="shared" ref="E44:J44" si="10">IF(E24=0,0,E43/E24)</f>
        <v>0</v>
      </c>
      <c r="F44" s="63">
        <f t="shared" si="10"/>
        <v>0</v>
      </c>
      <c r="G44" s="63">
        <f t="shared" si="10"/>
        <v>0</v>
      </c>
      <c r="H44" s="63">
        <f t="shared" si="10"/>
        <v>0</v>
      </c>
      <c r="I44" s="63">
        <f t="shared" si="10"/>
        <v>0</v>
      </c>
      <c r="J44" s="63">
        <f t="shared" si="10"/>
        <v>0</v>
      </c>
      <c r="K44" s="63"/>
      <c r="L44" s="63"/>
      <c r="M44" s="63"/>
      <c r="N44" s="55"/>
      <c r="O44" s="64"/>
      <c r="P44" s="68"/>
      <c r="Q44" s="68"/>
      <c r="R44" s="68"/>
      <c r="S44" s="68"/>
      <c r="T44" s="68"/>
      <c r="U44" s="68"/>
      <c r="V44" s="68"/>
      <c r="W44" s="68"/>
    </row>
    <row r="45" spans="1:23" s="8" customFormat="1" ht="25.5" customHeight="1">
      <c r="A45" s="5" t="s">
        <v>58</v>
      </c>
      <c r="B45" s="92">
        <v>3.0000000000000001E-3</v>
      </c>
      <c r="C45" s="24"/>
      <c r="D45" s="6">
        <f>$B$45*D50</f>
        <v>6.3</v>
      </c>
      <c r="E45" s="6">
        <f t="shared" ref="E45:J45" si="11">$B$45*E50</f>
        <v>6.3</v>
      </c>
      <c r="F45" s="6">
        <f t="shared" si="11"/>
        <v>6.3</v>
      </c>
      <c r="G45" s="6">
        <f t="shared" si="11"/>
        <v>6.3</v>
      </c>
      <c r="H45" s="6">
        <f t="shared" si="11"/>
        <v>6.3</v>
      </c>
      <c r="I45" s="6">
        <f t="shared" si="11"/>
        <v>6.3</v>
      </c>
      <c r="J45" s="6">
        <f t="shared" si="11"/>
        <v>6.3</v>
      </c>
      <c r="K45" s="6"/>
      <c r="L45" s="6"/>
      <c r="M45" s="6"/>
      <c r="N45" s="55"/>
      <c r="O45" s="7"/>
      <c r="P45" s="7"/>
      <c r="Q45" s="13"/>
    </row>
    <row r="46" spans="1:23" s="8" customFormat="1" ht="10.5" customHeight="1">
      <c r="A46" s="5"/>
      <c r="B46" s="24"/>
      <c r="C46" s="24"/>
      <c r="D46" s="6"/>
      <c r="E46" s="6"/>
      <c r="F46" s="6"/>
      <c r="G46" s="6"/>
      <c r="H46" s="6"/>
      <c r="I46" s="6"/>
      <c r="J46" s="6"/>
      <c r="K46" s="6"/>
      <c r="L46" s="6"/>
      <c r="M46" s="6"/>
      <c r="N46" s="55"/>
      <c r="O46" s="7"/>
      <c r="P46" s="7"/>
      <c r="Q46" s="13"/>
    </row>
    <row r="47" spans="1:23" s="99" customFormat="1" ht="15.75" customHeight="1">
      <c r="A47" s="93" t="s">
        <v>86</v>
      </c>
      <c r="B47" s="94"/>
      <c r="C47" s="94"/>
      <c r="D47" s="95">
        <f t="shared" ref="D47:J47" si="12">D30+D31+D34+D36+D38+D40+D41+D44+D45</f>
        <v>43.3</v>
      </c>
      <c r="E47" s="95">
        <f t="shared" si="12"/>
        <v>43.3</v>
      </c>
      <c r="F47" s="95">
        <f t="shared" si="12"/>
        <v>43.3</v>
      </c>
      <c r="G47" s="95">
        <f t="shared" si="12"/>
        <v>43.3</v>
      </c>
      <c r="H47" s="95">
        <f t="shared" si="12"/>
        <v>43.3</v>
      </c>
      <c r="I47" s="95">
        <f t="shared" si="12"/>
        <v>43.3</v>
      </c>
      <c r="J47" s="95">
        <f t="shared" si="12"/>
        <v>43.3</v>
      </c>
      <c r="K47" s="95"/>
      <c r="L47" s="95"/>
      <c r="M47" s="95"/>
      <c r="N47" s="96"/>
      <c r="O47" s="97"/>
      <c r="P47" s="97"/>
      <c r="Q47" s="98"/>
    </row>
    <row r="48" spans="1:23" s="41" customFormat="1" ht="15.5">
      <c r="A48" s="37" t="s">
        <v>85</v>
      </c>
      <c r="B48" s="38"/>
      <c r="C48" s="38"/>
      <c r="D48" s="39">
        <f>D28+D30+D31+D34+D36+D38+D40+D41+D44+D45</f>
        <v>1813.3</v>
      </c>
      <c r="E48" s="39">
        <f t="shared" ref="E48:J48" si="13">E28+E30+E31+E34+E36+E38+E40+E41+E44+E45</f>
        <v>1813.3</v>
      </c>
      <c r="F48" s="39">
        <f t="shared" si="13"/>
        <v>1813.3</v>
      </c>
      <c r="G48" s="39">
        <f t="shared" si="13"/>
        <v>1813.3</v>
      </c>
      <c r="H48" s="39">
        <f t="shared" si="13"/>
        <v>1813.3</v>
      </c>
      <c r="I48" s="39">
        <f t="shared" si="13"/>
        <v>1813.3</v>
      </c>
      <c r="J48" s="39">
        <f t="shared" si="13"/>
        <v>1813.3</v>
      </c>
      <c r="K48" s="39"/>
      <c r="L48" s="39"/>
      <c r="M48" s="39"/>
      <c r="N48" s="56"/>
      <c r="O48" s="40"/>
    </row>
    <row r="49" spans="1:15" s="31" customFormat="1" ht="15.5">
      <c r="A49" s="27" t="s">
        <v>80</v>
      </c>
      <c r="B49" s="28">
        <v>1</v>
      </c>
      <c r="C49" s="28">
        <v>2200</v>
      </c>
      <c r="D49" s="29">
        <f>$B$49*$C$49</f>
        <v>2200</v>
      </c>
      <c r="E49" s="29">
        <f t="shared" ref="E49:J49" si="14">$B$49*$C$49</f>
        <v>2200</v>
      </c>
      <c r="F49" s="29">
        <f t="shared" si="14"/>
        <v>2200</v>
      </c>
      <c r="G49" s="29">
        <f t="shared" si="14"/>
        <v>2200</v>
      </c>
      <c r="H49" s="29">
        <f t="shared" si="14"/>
        <v>2200</v>
      </c>
      <c r="I49" s="29">
        <f t="shared" si="14"/>
        <v>2200</v>
      </c>
      <c r="J49" s="29">
        <f t="shared" si="14"/>
        <v>2200</v>
      </c>
      <c r="K49" s="29"/>
      <c r="L49" s="29"/>
      <c r="M49" s="29"/>
      <c r="N49" s="57"/>
      <c r="O49" s="30"/>
    </row>
    <row r="50" spans="1:15" s="36" customFormat="1" ht="15.5">
      <c r="A50" s="32" t="s">
        <v>79</v>
      </c>
      <c r="B50" s="33"/>
      <c r="C50" s="33"/>
      <c r="D50" s="82">
        <v>2100</v>
      </c>
      <c r="E50" s="82">
        <v>2100</v>
      </c>
      <c r="F50" s="82">
        <v>2100</v>
      </c>
      <c r="G50" s="82">
        <v>2100</v>
      </c>
      <c r="H50" s="82">
        <v>2100</v>
      </c>
      <c r="I50" s="82">
        <v>2100</v>
      </c>
      <c r="J50" s="82">
        <v>2100</v>
      </c>
      <c r="K50" s="34"/>
      <c r="L50" s="34"/>
      <c r="M50" s="34"/>
      <c r="N50" s="58"/>
      <c r="O50" s="35"/>
    </row>
    <row r="51" spans="1:15" ht="22.5" customHeight="1">
      <c r="N51" s="83"/>
    </row>
    <row r="52" spans="1:15" s="41" customFormat="1" ht="15.5">
      <c r="A52" s="37" t="s">
        <v>30</v>
      </c>
      <c r="B52" s="38"/>
      <c r="C52" s="38"/>
      <c r="D52" s="39">
        <f>D48*D24</f>
        <v>0</v>
      </c>
      <c r="E52" s="39">
        <f t="shared" ref="E52:J52" si="15">E48*E24</f>
        <v>0</v>
      </c>
      <c r="F52" s="39">
        <f t="shared" si="15"/>
        <v>0</v>
      </c>
      <c r="G52" s="39">
        <f t="shared" si="15"/>
        <v>0</v>
      </c>
      <c r="H52" s="39">
        <f t="shared" si="15"/>
        <v>0</v>
      </c>
      <c r="I52" s="39">
        <f t="shared" si="15"/>
        <v>0</v>
      </c>
      <c r="J52" s="39">
        <f t="shared" si="15"/>
        <v>0</v>
      </c>
      <c r="K52" s="39"/>
      <c r="L52" s="39"/>
      <c r="M52" s="39"/>
      <c r="N52" s="56"/>
      <c r="O52" s="40"/>
    </row>
    <row r="53" spans="1:15" s="36" customFormat="1" ht="15.5">
      <c r="A53" s="32" t="s">
        <v>31</v>
      </c>
      <c r="B53" s="33"/>
      <c r="C53" s="33"/>
      <c r="D53" s="34">
        <f>D50*D24</f>
        <v>0</v>
      </c>
      <c r="E53" s="34">
        <f t="shared" ref="E53:J53" si="16">E50*E24</f>
        <v>0</v>
      </c>
      <c r="F53" s="34">
        <f t="shared" si="16"/>
        <v>0</v>
      </c>
      <c r="G53" s="34">
        <f t="shared" si="16"/>
        <v>0</v>
      </c>
      <c r="H53" s="34">
        <f t="shared" si="16"/>
        <v>0</v>
      </c>
      <c r="I53" s="34">
        <f t="shared" si="16"/>
        <v>0</v>
      </c>
      <c r="J53" s="34">
        <f t="shared" si="16"/>
        <v>0</v>
      </c>
      <c r="K53" s="34"/>
      <c r="L53" s="34"/>
      <c r="M53" s="34"/>
      <c r="N53" s="58"/>
      <c r="O53" s="35"/>
    </row>
    <row r="54" spans="1:15" s="52" customFormat="1" ht="15.5">
      <c r="A54" s="48" t="s">
        <v>32</v>
      </c>
      <c r="B54" s="49"/>
      <c r="C54" s="49"/>
      <c r="D54" s="50">
        <f>D53-D52</f>
        <v>0</v>
      </c>
      <c r="E54" s="50">
        <f t="shared" ref="E54:J54" si="17">E53-E52</f>
        <v>0</v>
      </c>
      <c r="F54" s="50">
        <f t="shared" si="17"/>
        <v>0</v>
      </c>
      <c r="G54" s="50">
        <f t="shared" si="17"/>
        <v>0</v>
      </c>
      <c r="H54" s="50">
        <f t="shared" si="17"/>
        <v>0</v>
      </c>
      <c r="I54" s="50">
        <f t="shared" si="17"/>
        <v>0</v>
      </c>
      <c r="J54" s="50">
        <f t="shared" si="17"/>
        <v>0</v>
      </c>
      <c r="K54" s="50"/>
      <c r="L54" s="50"/>
      <c r="M54" s="50"/>
      <c r="N54" s="84"/>
      <c r="O54" s="5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W54"/>
  <sheetViews>
    <sheetView topLeftCell="A2" workbookViewId="0">
      <selection activeCell="D23" sqref="D23"/>
    </sheetView>
  </sheetViews>
  <sheetFormatPr baseColWidth="10" defaultRowHeight="14.5"/>
  <cols>
    <col min="1" max="1" width="38" style="1" customWidth="1"/>
    <col min="2" max="2" width="11" style="14" customWidth="1"/>
    <col min="3" max="3" width="13.7265625" style="14" customWidth="1"/>
    <col min="4" max="7" width="12.7265625" customWidth="1"/>
    <col min="8" max="8" width="14" customWidth="1"/>
    <col min="9" max="9" width="14.453125" customWidth="1"/>
    <col min="10" max="10" width="12.7265625" customWidth="1"/>
    <col min="11" max="11" width="10.54296875" hidden="1" customWidth="1"/>
    <col min="12" max="12" width="10.453125" hidden="1" customWidth="1"/>
    <col min="13" max="13" width="10.54296875" hidden="1" customWidth="1"/>
    <col min="15" max="15" width="14.453125" hidden="1" customWidth="1"/>
  </cols>
  <sheetData>
    <row r="5" spans="1:10">
      <c r="B5" s="21">
        <v>1</v>
      </c>
      <c r="C5" s="80">
        <v>3.4</v>
      </c>
    </row>
    <row r="6" spans="1:10">
      <c r="D6" t="s">
        <v>20</v>
      </c>
    </row>
    <row r="7" spans="1:10" s="16" customFormat="1">
      <c r="A7" s="1" t="s">
        <v>84</v>
      </c>
      <c r="B7" s="15"/>
      <c r="C7" s="100" t="e">
        <f>I7*B9/J9</f>
        <v>#REF!</v>
      </c>
      <c r="D7" s="102">
        <v>10</v>
      </c>
      <c r="E7" t="s">
        <v>21</v>
      </c>
      <c r="G7" s="1" t="s">
        <v>69</v>
      </c>
      <c r="I7" s="71">
        <f>'Inv-Financement'!D7</f>
        <v>1000000</v>
      </c>
    </row>
    <row r="8" spans="1:10">
      <c r="A8" s="1" t="s">
        <v>17</v>
      </c>
      <c r="C8" s="19" t="e">
        <f>I8*C9/I9</f>
        <v>#REF!</v>
      </c>
      <c r="D8" s="18">
        <v>7</v>
      </c>
      <c r="E8" t="s">
        <v>21</v>
      </c>
      <c r="G8" s="1" t="s">
        <v>22</v>
      </c>
      <c r="I8" s="79" t="e">
        <f>'Inv-Financement'!D5</f>
        <v>#REF!</v>
      </c>
    </row>
    <row r="9" spans="1:10">
      <c r="A9" s="1" t="s">
        <v>19</v>
      </c>
      <c r="B9" s="22">
        <v>0</v>
      </c>
      <c r="C9" s="20">
        <f>B9*C5</f>
        <v>0</v>
      </c>
      <c r="D9" s="18">
        <v>5</v>
      </c>
      <c r="E9" t="s">
        <v>21</v>
      </c>
      <c r="G9" s="1" t="s">
        <v>82</v>
      </c>
      <c r="I9" s="17" t="e">
        <f>C5*J9</f>
        <v>#REF!</v>
      </c>
      <c r="J9" s="81" t="e">
        <f>Volumes!P5</f>
        <v>#REF!</v>
      </c>
    </row>
    <row r="10" spans="1:10">
      <c r="A10" s="1" t="s">
        <v>81</v>
      </c>
      <c r="C10" s="19" t="e">
        <f>SUM(C7:C9)</f>
        <v>#REF!</v>
      </c>
      <c r="G10" s="1" t="s">
        <v>83</v>
      </c>
      <c r="I10" s="101" t="e">
        <f>SUM(I7:I9)</f>
        <v>#REF!</v>
      </c>
    </row>
    <row r="13" spans="1:10">
      <c r="A13" s="1" t="s">
        <v>50</v>
      </c>
      <c r="B13" s="77">
        <v>6</v>
      </c>
      <c r="C13" s="14" t="s">
        <v>51</v>
      </c>
      <c r="D13" s="53">
        <f>$B$13*$B$14*2084</f>
        <v>10003.200000000001</v>
      </c>
      <c r="E13" t="s">
        <v>53</v>
      </c>
      <c r="F13" s="53">
        <f>D13*2</f>
        <v>20006.400000000001</v>
      </c>
      <c r="G13" t="s">
        <v>54</v>
      </c>
      <c r="H13" s="53">
        <f>D13*3</f>
        <v>30009.600000000002</v>
      </c>
      <c r="I13" t="s">
        <v>55</v>
      </c>
    </row>
    <row r="14" spans="1:10">
      <c r="A14" s="1" t="s">
        <v>52</v>
      </c>
      <c r="B14" s="78">
        <v>0.8</v>
      </c>
    </row>
    <row r="16" spans="1:10">
      <c r="A16" s="1" t="s">
        <v>73</v>
      </c>
      <c r="C16" s="76">
        <f>43200*2</f>
        <v>86400</v>
      </c>
      <c r="D16" t="s">
        <v>65</v>
      </c>
      <c r="E16" s="53">
        <f>C16/12</f>
        <v>7200</v>
      </c>
      <c r="F16" t="s">
        <v>74</v>
      </c>
    </row>
    <row r="17" spans="1:22">
      <c r="A17" s="1" t="s">
        <v>56</v>
      </c>
      <c r="C17" s="76">
        <v>200000</v>
      </c>
      <c r="D17" t="s">
        <v>65</v>
      </c>
    </row>
    <row r="19" spans="1:22">
      <c r="E19" s="1" t="s">
        <v>78</v>
      </c>
    </row>
    <row r="20" spans="1:22">
      <c r="A20" s="1" t="s">
        <v>75</v>
      </c>
      <c r="C20" s="77">
        <v>1750</v>
      </c>
      <c r="D20" t="s">
        <v>77</v>
      </c>
      <c r="E20" s="90">
        <v>0.6</v>
      </c>
    </row>
    <row r="21" spans="1:22">
      <c r="A21" s="1" t="s">
        <v>76</v>
      </c>
      <c r="C21" s="77">
        <v>1850</v>
      </c>
      <c r="D21" t="s">
        <v>77</v>
      </c>
      <c r="E21" s="90">
        <v>0.4</v>
      </c>
    </row>
    <row r="23" spans="1:22">
      <c r="A23" s="2" t="s">
        <v>89</v>
      </c>
      <c r="B23" s="23"/>
      <c r="C23" s="23"/>
      <c r="D23" s="104" t="e">
        <f>Volumes!D6</f>
        <v>#REF!</v>
      </c>
      <c r="E23" s="104" t="e">
        <f>Volumes!E6</f>
        <v>#REF!</v>
      </c>
      <c r="F23" s="104" t="e">
        <f>Volumes!F6</f>
        <v>#REF!</v>
      </c>
      <c r="G23" s="104" t="e">
        <f>Volumes!G6</f>
        <v>#REF!</v>
      </c>
      <c r="H23" s="104" t="e">
        <f>Volumes!H6</f>
        <v>#REF!</v>
      </c>
      <c r="I23" s="104" t="e">
        <f>Volumes!I6</f>
        <v>#REF!</v>
      </c>
      <c r="J23" s="104" t="e">
        <f>Volumes!J6</f>
        <v>#REF!</v>
      </c>
    </row>
    <row r="24" spans="1:22" s="4" customFormat="1" ht="28.5" customHeight="1">
      <c r="A24" s="106" t="s">
        <v>90</v>
      </c>
      <c r="B24" s="86" t="s">
        <v>25</v>
      </c>
      <c r="C24" s="86" t="s">
        <v>24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3"/>
      <c r="L24" s="3"/>
      <c r="M24" s="3"/>
      <c r="N24" s="87" t="s">
        <v>28</v>
      </c>
      <c r="O24" s="88" t="s">
        <v>8</v>
      </c>
      <c r="P24" s="89"/>
      <c r="Q24" s="89"/>
      <c r="R24" s="89"/>
      <c r="S24" s="89"/>
      <c r="T24" s="89"/>
      <c r="U24" s="89"/>
      <c r="V24" s="89"/>
    </row>
    <row r="25" spans="1:22" s="89" customFormat="1" ht="28.5" customHeight="1">
      <c r="A25" s="107" t="s">
        <v>91</v>
      </c>
      <c r="B25" s="110">
        <v>0.1</v>
      </c>
      <c r="C25" s="105" t="s">
        <v>92</v>
      </c>
      <c r="D25" s="108">
        <v>20000</v>
      </c>
      <c r="E25" s="108">
        <f t="shared" ref="E25:J25" si="0">D25*(1+$B$25)</f>
        <v>22000</v>
      </c>
      <c r="F25" s="108">
        <f t="shared" si="0"/>
        <v>24200.000000000004</v>
      </c>
      <c r="G25" s="108">
        <f t="shared" si="0"/>
        <v>26620.000000000007</v>
      </c>
      <c r="H25" s="108">
        <f t="shared" si="0"/>
        <v>29282.000000000011</v>
      </c>
      <c r="I25" s="108">
        <f t="shared" si="0"/>
        <v>32210.200000000015</v>
      </c>
      <c r="J25" s="108">
        <f t="shared" si="0"/>
        <v>35431.220000000023</v>
      </c>
      <c r="K25" s="109"/>
      <c r="L25" s="109"/>
      <c r="M25" s="109"/>
      <c r="N25" s="87"/>
      <c r="O25" s="88"/>
    </row>
    <row r="26" spans="1:22" s="89" customFormat="1" ht="28.5" customHeight="1">
      <c r="A26" s="107" t="s">
        <v>93</v>
      </c>
      <c r="B26" s="105"/>
      <c r="C26" s="105"/>
      <c r="D26" s="108"/>
      <c r="E26" s="108"/>
      <c r="F26" s="108"/>
      <c r="G26" s="108"/>
      <c r="H26" s="108"/>
      <c r="I26" s="108"/>
      <c r="J26" s="108"/>
      <c r="K26" s="109"/>
      <c r="L26" s="109"/>
      <c r="M26" s="109"/>
      <c r="N26" s="87"/>
      <c r="O26" s="88"/>
    </row>
    <row r="27" spans="1:22" s="89" customFormat="1" ht="12.75" customHeight="1">
      <c r="A27" s="107"/>
      <c r="B27" s="105"/>
      <c r="C27" s="105"/>
      <c r="D27" s="108"/>
      <c r="E27" s="108"/>
      <c r="F27" s="108"/>
      <c r="G27" s="108"/>
      <c r="H27" s="108"/>
      <c r="I27" s="108"/>
      <c r="J27" s="108"/>
      <c r="K27" s="109"/>
      <c r="L27" s="109"/>
      <c r="M27" s="109"/>
      <c r="N27" s="87"/>
      <c r="O27" s="88"/>
    </row>
    <row r="28" spans="1:22" s="47" customFormat="1">
      <c r="A28" s="42" t="s">
        <v>9</v>
      </c>
      <c r="B28" s="43">
        <v>1</v>
      </c>
      <c r="C28" s="43">
        <f>$C$20*$E$20+$C$21*$E$21</f>
        <v>1790</v>
      </c>
      <c r="D28" s="44">
        <f>$C$28*$B$28</f>
        <v>1790</v>
      </c>
      <c r="E28" s="44">
        <f t="shared" ref="E28:J28" si="1">$C$28*$B$28</f>
        <v>1790</v>
      </c>
      <c r="F28" s="44">
        <f t="shared" si="1"/>
        <v>1790</v>
      </c>
      <c r="G28" s="44">
        <f t="shared" si="1"/>
        <v>1790</v>
      </c>
      <c r="H28" s="44">
        <f t="shared" si="1"/>
        <v>1790</v>
      </c>
      <c r="I28" s="44">
        <f t="shared" si="1"/>
        <v>1790</v>
      </c>
      <c r="J28" s="44">
        <f t="shared" si="1"/>
        <v>1790</v>
      </c>
      <c r="K28" s="44"/>
      <c r="L28" s="44"/>
      <c r="M28" s="44"/>
      <c r="N28" s="60"/>
      <c r="O28" s="45">
        <v>0.01</v>
      </c>
      <c r="P28" s="46"/>
    </row>
    <row r="29" spans="1:22" s="47" customFormat="1" ht="3.75" customHeight="1">
      <c r="A29" s="42"/>
      <c r="B29" s="43"/>
      <c r="C29" s="43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60"/>
      <c r="O29" s="45"/>
      <c r="P29" s="46"/>
    </row>
    <row r="30" spans="1:22" s="47" customFormat="1">
      <c r="A30" s="42" t="s">
        <v>10</v>
      </c>
      <c r="B30" s="91">
        <v>140</v>
      </c>
      <c r="C30" s="43">
        <v>0.2</v>
      </c>
      <c r="D30" s="44">
        <f>$C$30*$B$30</f>
        <v>28</v>
      </c>
      <c r="E30" s="44">
        <f t="shared" ref="E30:J30" si="2">$C$30*$B$30</f>
        <v>28</v>
      </c>
      <c r="F30" s="44">
        <f t="shared" si="2"/>
        <v>28</v>
      </c>
      <c r="G30" s="44">
        <f t="shared" si="2"/>
        <v>28</v>
      </c>
      <c r="H30" s="44">
        <f t="shared" si="2"/>
        <v>28</v>
      </c>
      <c r="I30" s="44">
        <f t="shared" si="2"/>
        <v>28</v>
      </c>
      <c r="J30" s="44">
        <f t="shared" si="2"/>
        <v>28</v>
      </c>
      <c r="K30" s="44"/>
      <c r="L30" s="44"/>
      <c r="M30" s="44"/>
      <c r="N30" s="60"/>
      <c r="O30" s="45">
        <v>0.01</v>
      </c>
    </row>
    <row r="31" spans="1:22" s="47" customFormat="1">
      <c r="A31" s="42" t="s">
        <v>11</v>
      </c>
      <c r="B31" s="43">
        <v>1</v>
      </c>
      <c r="C31" s="91">
        <v>8</v>
      </c>
      <c r="D31" s="44">
        <f>$C$31*$B$31</f>
        <v>8</v>
      </c>
      <c r="E31" s="44">
        <f t="shared" ref="E31:J31" si="3">$C$31*$B$31</f>
        <v>8</v>
      </c>
      <c r="F31" s="44">
        <f t="shared" si="3"/>
        <v>8</v>
      </c>
      <c r="G31" s="44">
        <f t="shared" si="3"/>
        <v>8</v>
      </c>
      <c r="H31" s="44">
        <f t="shared" si="3"/>
        <v>8</v>
      </c>
      <c r="I31" s="44">
        <f t="shared" si="3"/>
        <v>8</v>
      </c>
      <c r="J31" s="44">
        <f t="shared" si="3"/>
        <v>8</v>
      </c>
      <c r="K31" s="44"/>
      <c r="L31" s="44"/>
      <c r="M31" s="44"/>
      <c r="N31" s="60"/>
      <c r="O31" s="45">
        <v>0.02</v>
      </c>
    </row>
    <row r="32" spans="1:22" s="8" customFormat="1" ht="9.75" customHeight="1">
      <c r="A32" s="5"/>
      <c r="B32" s="24"/>
      <c r="C32" s="24"/>
      <c r="D32" s="6"/>
      <c r="E32" s="6"/>
      <c r="F32" s="6"/>
      <c r="G32" s="6"/>
      <c r="H32" s="6"/>
      <c r="I32" s="6"/>
      <c r="J32" s="6"/>
      <c r="K32" s="6"/>
      <c r="L32" s="6"/>
      <c r="M32" s="6"/>
      <c r="N32" s="55"/>
      <c r="O32" s="7"/>
    </row>
    <row r="33" spans="1:23" s="8" customFormat="1" ht="17.25" customHeight="1">
      <c r="A33" s="75" t="s">
        <v>60</v>
      </c>
      <c r="B33" s="24"/>
      <c r="C33" s="24"/>
      <c r="D33" s="6">
        <f>IF(D24&gt;$F$13,$C$16*3,IF(D24&gt;$D$13,2*$C$16,$C$16))</f>
        <v>86400</v>
      </c>
      <c r="E33" s="6">
        <f t="shared" ref="E33:J33" si="4">IF(E24&gt;$F$13,$C$16*3,IF(E24&gt;$D$13,2*$C$16,$C$16))</f>
        <v>86400</v>
      </c>
      <c r="F33" s="6">
        <f t="shared" si="4"/>
        <v>86400</v>
      </c>
      <c r="G33" s="6">
        <f t="shared" si="4"/>
        <v>86400</v>
      </c>
      <c r="H33" s="6">
        <f t="shared" si="4"/>
        <v>86400</v>
      </c>
      <c r="I33" s="6">
        <f t="shared" si="4"/>
        <v>86400</v>
      </c>
      <c r="J33" s="6">
        <f t="shared" si="4"/>
        <v>86400</v>
      </c>
      <c r="K33" s="6"/>
      <c r="L33" s="6"/>
      <c r="M33" s="6"/>
      <c r="N33" s="55"/>
      <c r="O33" s="7"/>
    </row>
    <row r="34" spans="1:23" s="65" customFormat="1">
      <c r="A34" s="61" t="s">
        <v>87</v>
      </c>
      <c r="B34" s="62"/>
      <c r="C34" s="62"/>
      <c r="D34" s="63">
        <f>IF(D24=0,0,D33/D24)</f>
        <v>0</v>
      </c>
      <c r="E34" s="63">
        <f t="shared" ref="E34:J34" si="5">IF(E24=0,0,E33/E24)</f>
        <v>0</v>
      </c>
      <c r="F34" s="63">
        <f t="shared" si="5"/>
        <v>0</v>
      </c>
      <c r="G34" s="63">
        <f t="shared" si="5"/>
        <v>0</v>
      </c>
      <c r="H34" s="63">
        <f t="shared" si="5"/>
        <v>0</v>
      </c>
      <c r="I34" s="63">
        <f t="shared" si="5"/>
        <v>0</v>
      </c>
      <c r="J34" s="63">
        <f t="shared" si="5"/>
        <v>0</v>
      </c>
      <c r="K34" s="63"/>
      <c r="L34" s="63"/>
      <c r="M34" s="63"/>
      <c r="N34" s="59"/>
      <c r="O34" s="64">
        <v>0.02</v>
      </c>
    </row>
    <row r="35" spans="1:23" s="12" customFormat="1">
      <c r="A35" s="73" t="s">
        <v>66</v>
      </c>
      <c r="B35" s="25"/>
      <c r="C35" s="25"/>
      <c r="D35" s="74" t="e">
        <f>D24/Volumes!D5</f>
        <v>#REF!</v>
      </c>
      <c r="E35" s="74" t="e">
        <f>E24/Volumes!E5</f>
        <v>#REF!</v>
      </c>
      <c r="F35" s="74" t="e">
        <f>F24/Volumes!F5</f>
        <v>#REF!</v>
      </c>
      <c r="G35" s="74" t="e">
        <f>G24/Volumes!G5</f>
        <v>#REF!</v>
      </c>
      <c r="H35" s="74" t="e">
        <f>H24/Volumes!H5</f>
        <v>#REF!</v>
      </c>
      <c r="I35" s="74" t="e">
        <f>I24/Volumes!I5</f>
        <v>#REF!</v>
      </c>
      <c r="J35" s="74" t="e">
        <f>J24/Volumes!J5</f>
        <v>#REF!</v>
      </c>
      <c r="K35" s="72"/>
      <c r="L35" s="72"/>
      <c r="M35" s="72"/>
      <c r="N35" s="59"/>
      <c r="O35" s="11"/>
    </row>
    <row r="36" spans="1:23" s="65" customFormat="1">
      <c r="A36" s="61" t="s">
        <v>67</v>
      </c>
      <c r="B36" s="62"/>
      <c r="C36" s="62"/>
      <c r="D36" s="63">
        <f>IF(D24=0,0,$C$17*D35/D24)</f>
        <v>0</v>
      </c>
      <c r="E36" s="63">
        <f t="shared" ref="E36:J36" si="6">IF(E24=0,0,$C$17*E35/E24)</f>
        <v>0</v>
      </c>
      <c r="F36" s="63">
        <f t="shared" si="6"/>
        <v>0</v>
      </c>
      <c r="G36" s="63">
        <f t="shared" si="6"/>
        <v>0</v>
      </c>
      <c r="H36" s="63">
        <f t="shared" si="6"/>
        <v>0</v>
      </c>
      <c r="I36" s="63">
        <f t="shared" si="6"/>
        <v>0</v>
      </c>
      <c r="J36" s="63">
        <f t="shared" si="6"/>
        <v>0</v>
      </c>
      <c r="K36" s="63"/>
      <c r="L36" s="63"/>
      <c r="M36" s="63"/>
      <c r="N36" s="59"/>
      <c r="O36" s="64"/>
    </row>
    <row r="37" spans="1:23" s="12" customFormat="1" ht="5.25" customHeight="1">
      <c r="A37" s="9"/>
      <c r="B37" s="25"/>
      <c r="C37" s="25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55"/>
      <c r="O37" s="11"/>
    </row>
    <row r="38" spans="1:23" s="70" customFormat="1" ht="24.75" customHeight="1">
      <c r="A38" s="66" t="s">
        <v>59</v>
      </c>
      <c r="B38" s="92">
        <v>0.01</v>
      </c>
      <c r="C38" s="67"/>
      <c r="D38" s="63">
        <f>D50*$B$38</f>
        <v>21</v>
      </c>
      <c r="E38" s="63">
        <f t="shared" ref="E38:J38" si="7">E50*$B$38</f>
        <v>21</v>
      </c>
      <c r="F38" s="63">
        <f t="shared" si="7"/>
        <v>21</v>
      </c>
      <c r="G38" s="63">
        <f t="shared" si="7"/>
        <v>21</v>
      </c>
      <c r="H38" s="63">
        <f t="shared" si="7"/>
        <v>21</v>
      </c>
      <c r="I38" s="63">
        <f t="shared" si="7"/>
        <v>21</v>
      </c>
      <c r="J38" s="63">
        <f t="shared" si="7"/>
        <v>21</v>
      </c>
      <c r="K38" s="63"/>
      <c r="L38" s="63"/>
      <c r="M38" s="63"/>
      <c r="N38" s="59"/>
      <c r="O38" s="68"/>
      <c r="P38" s="68">
        <v>0.03</v>
      </c>
      <c r="Q38" s="69" t="s">
        <v>12</v>
      </c>
    </row>
    <row r="39" spans="1:23" s="8" customFormat="1" ht="5.25" customHeight="1">
      <c r="A39" s="5"/>
      <c r="B39" s="24"/>
      <c r="C39" s="24"/>
      <c r="D39" s="6"/>
      <c r="E39" s="6"/>
      <c r="F39" s="6"/>
      <c r="G39" s="6"/>
      <c r="H39" s="6"/>
      <c r="I39" s="6"/>
      <c r="J39" s="6"/>
      <c r="K39" s="6"/>
      <c r="L39" s="6"/>
      <c r="M39" s="6"/>
      <c r="N39" s="55"/>
      <c r="O39" s="7"/>
      <c r="P39" s="7"/>
      <c r="Q39" s="13"/>
    </row>
    <row r="40" spans="1:23" s="8" customFormat="1">
      <c r="A40" s="5" t="s">
        <v>26</v>
      </c>
      <c r="B40" s="26"/>
      <c r="C40" s="26"/>
      <c r="D40" s="6">
        <f>IF(D24=0,0,$N$40/D24)</f>
        <v>0</v>
      </c>
      <c r="E40" s="6">
        <f t="shared" ref="E40:J40" si="8">IF(E24=0,0,$N$40/E24)</f>
        <v>0</v>
      </c>
      <c r="F40" s="6">
        <f t="shared" si="8"/>
        <v>0</v>
      </c>
      <c r="G40" s="6">
        <f t="shared" si="8"/>
        <v>0</v>
      </c>
      <c r="H40" s="6">
        <f t="shared" si="8"/>
        <v>0</v>
      </c>
      <c r="I40" s="6">
        <f t="shared" si="8"/>
        <v>0</v>
      </c>
      <c r="J40" s="6">
        <f t="shared" si="8"/>
        <v>0</v>
      </c>
      <c r="K40" s="6"/>
      <c r="L40" s="6"/>
      <c r="M40" s="6"/>
      <c r="N40" s="54" t="e">
        <f>C8/D8</f>
        <v>#REF!</v>
      </c>
      <c r="O40" s="7"/>
      <c r="P40" s="7"/>
      <c r="Q40" s="13"/>
    </row>
    <row r="41" spans="1:23" s="8" customFormat="1">
      <c r="A41" s="5" t="s">
        <v>27</v>
      </c>
      <c r="B41" s="26"/>
      <c r="C41" s="26"/>
      <c r="D41" s="6">
        <f>IF(D24=0,0,$N$41/D24)</f>
        <v>0</v>
      </c>
      <c r="E41" s="6">
        <f t="shared" ref="E41:J41" si="9">IF(E24=0,0,$N$41/E24)</f>
        <v>0</v>
      </c>
      <c r="F41" s="6">
        <f t="shared" si="9"/>
        <v>0</v>
      </c>
      <c r="G41" s="6">
        <f t="shared" si="9"/>
        <v>0</v>
      </c>
      <c r="H41" s="6">
        <f t="shared" si="9"/>
        <v>0</v>
      </c>
      <c r="I41" s="6">
        <f t="shared" si="9"/>
        <v>0</v>
      </c>
      <c r="J41" s="6">
        <f t="shared" si="9"/>
        <v>0</v>
      </c>
      <c r="K41" s="6"/>
      <c r="L41" s="6"/>
      <c r="M41" s="6"/>
      <c r="N41" s="54" t="e">
        <f>C9/D9+C7/D7</f>
        <v>#REF!</v>
      </c>
      <c r="O41" s="7"/>
      <c r="P41" s="7"/>
      <c r="Q41" s="13"/>
    </row>
    <row r="42" spans="1:23" s="8" customFormat="1" ht="7.5" customHeight="1">
      <c r="A42" s="5"/>
      <c r="B42" s="24"/>
      <c r="C42" s="24"/>
      <c r="D42" s="6"/>
      <c r="E42" s="6"/>
      <c r="F42" s="6"/>
      <c r="G42" s="6"/>
      <c r="H42" s="6"/>
      <c r="I42" s="6"/>
      <c r="J42" s="6"/>
      <c r="K42" s="6"/>
      <c r="L42" s="6"/>
      <c r="M42" s="6"/>
      <c r="N42" s="55"/>
      <c r="O42" s="7"/>
      <c r="P42" s="7"/>
      <c r="Q42" s="13"/>
    </row>
    <row r="43" spans="1:23" s="8" customFormat="1" ht="15.75" customHeight="1">
      <c r="A43" s="75" t="s">
        <v>72</v>
      </c>
      <c r="B43" s="24"/>
      <c r="C43" s="24"/>
      <c r="D43" s="6" t="e">
        <f>'Inv-Financement'!C21*Volumes!$Q$11</f>
        <v>#REF!</v>
      </c>
      <c r="E43" s="6" t="e">
        <f>'Inv-Financement'!D21*Volumes!$Q$7</f>
        <v>#REF!</v>
      </c>
      <c r="F43" s="6" t="e">
        <f>'Inv-Financement'!E21*Volumes!$Q$7</f>
        <v>#REF!</v>
      </c>
      <c r="G43" s="6" t="e">
        <f>'Inv-Financement'!F21*Volumes!$Q$7</f>
        <v>#REF!</v>
      </c>
      <c r="H43" s="6" t="e">
        <f>'Inv-Financement'!G21*Volumes!$Q$7</f>
        <v>#REF!</v>
      </c>
      <c r="I43" s="6" t="e">
        <f>'Inv-Financement'!H21*Volumes!$Q$7</f>
        <v>#REF!</v>
      </c>
      <c r="J43" s="6" t="e">
        <f>'Inv-Financement'!I21*Volumes!$Q$7</f>
        <v>#REF!</v>
      </c>
      <c r="K43" s="6"/>
      <c r="L43" s="6"/>
      <c r="M43" s="6"/>
      <c r="N43" s="55"/>
      <c r="O43" s="7"/>
      <c r="P43" s="7"/>
      <c r="Q43" s="13"/>
    </row>
    <row r="44" spans="1:23" s="65" customFormat="1" ht="18" customHeight="1">
      <c r="A44" s="61" t="s">
        <v>33</v>
      </c>
      <c r="B44" s="62"/>
      <c r="C44" s="62"/>
      <c r="D44" s="63">
        <f>IF(D24=0,0,D43/D24)</f>
        <v>0</v>
      </c>
      <c r="E44" s="63">
        <f t="shared" ref="E44:J44" si="10">IF(E24=0,0,E43/E24)</f>
        <v>0</v>
      </c>
      <c r="F44" s="63">
        <f t="shared" si="10"/>
        <v>0</v>
      </c>
      <c r="G44" s="63">
        <f t="shared" si="10"/>
        <v>0</v>
      </c>
      <c r="H44" s="63">
        <f t="shared" si="10"/>
        <v>0</v>
      </c>
      <c r="I44" s="63">
        <f t="shared" si="10"/>
        <v>0</v>
      </c>
      <c r="J44" s="63">
        <f t="shared" si="10"/>
        <v>0</v>
      </c>
      <c r="K44" s="63"/>
      <c r="L44" s="63"/>
      <c r="M44" s="63"/>
      <c r="N44" s="55"/>
      <c r="O44" s="64"/>
      <c r="P44" s="68"/>
      <c r="Q44" s="68"/>
      <c r="R44" s="68"/>
      <c r="S44" s="68"/>
      <c r="T44" s="68"/>
      <c r="U44" s="68"/>
      <c r="V44" s="68"/>
      <c r="W44" s="68"/>
    </row>
    <row r="45" spans="1:23" s="8" customFormat="1" ht="25.5" customHeight="1">
      <c r="A45" s="5" t="s">
        <v>58</v>
      </c>
      <c r="B45" s="92">
        <v>5.0000000000000001E-3</v>
      </c>
      <c r="C45" s="24"/>
      <c r="D45" s="6">
        <f>$B$45*D50</f>
        <v>10.5</v>
      </c>
      <c r="E45" s="6">
        <f t="shared" ref="E45:J45" si="11">$B$45*E50</f>
        <v>10.5</v>
      </c>
      <c r="F45" s="6">
        <f t="shared" si="11"/>
        <v>10.5</v>
      </c>
      <c r="G45" s="6">
        <f t="shared" si="11"/>
        <v>10.5</v>
      </c>
      <c r="H45" s="6">
        <f t="shared" si="11"/>
        <v>10.5</v>
      </c>
      <c r="I45" s="6">
        <f t="shared" si="11"/>
        <v>10.5</v>
      </c>
      <c r="J45" s="6">
        <f t="shared" si="11"/>
        <v>10.5</v>
      </c>
      <c r="K45" s="6"/>
      <c r="L45" s="6"/>
      <c r="M45" s="6"/>
      <c r="N45" s="55"/>
      <c r="O45" s="7"/>
      <c r="P45" s="7"/>
      <c r="Q45" s="13"/>
    </row>
    <row r="46" spans="1:23" s="8" customFormat="1" ht="10.5" customHeight="1">
      <c r="A46" s="5"/>
      <c r="B46" s="24"/>
      <c r="C46" s="24"/>
      <c r="D46" s="6"/>
      <c r="E46" s="6"/>
      <c r="F46" s="6"/>
      <c r="G46" s="6"/>
      <c r="H46" s="6"/>
      <c r="I46" s="6"/>
      <c r="J46" s="6"/>
      <c r="K46" s="6"/>
      <c r="L46" s="6"/>
      <c r="M46" s="6"/>
      <c r="N46" s="55"/>
      <c r="O46" s="7"/>
      <c r="P46" s="7"/>
      <c r="Q46" s="13"/>
    </row>
    <row r="47" spans="1:23" s="99" customFormat="1" ht="15.75" customHeight="1">
      <c r="A47" s="93" t="s">
        <v>86</v>
      </c>
      <c r="B47" s="94"/>
      <c r="C47" s="94"/>
      <c r="D47" s="95">
        <f t="shared" ref="D47:J47" si="12">D30+D31+D34+D36+D38+D40+D41+D44+D45</f>
        <v>67.5</v>
      </c>
      <c r="E47" s="95">
        <f t="shared" si="12"/>
        <v>67.5</v>
      </c>
      <c r="F47" s="95">
        <f t="shared" si="12"/>
        <v>67.5</v>
      </c>
      <c r="G47" s="95">
        <f t="shared" si="12"/>
        <v>67.5</v>
      </c>
      <c r="H47" s="95">
        <f t="shared" si="12"/>
        <v>67.5</v>
      </c>
      <c r="I47" s="95">
        <f t="shared" si="12"/>
        <v>67.5</v>
      </c>
      <c r="J47" s="95">
        <f t="shared" si="12"/>
        <v>67.5</v>
      </c>
      <c r="K47" s="95"/>
      <c r="L47" s="95"/>
      <c r="M47" s="95"/>
      <c r="N47" s="96"/>
      <c r="O47" s="97"/>
      <c r="P47" s="97"/>
      <c r="Q47" s="98"/>
    </row>
    <row r="48" spans="1:23" s="41" customFormat="1" ht="15.5">
      <c r="A48" s="37" t="s">
        <v>85</v>
      </c>
      <c r="B48" s="38"/>
      <c r="C48" s="38"/>
      <c r="D48" s="39">
        <f>D28+D30+D31+D34+D36+D38+D40+D41+D44+D45</f>
        <v>1857.5</v>
      </c>
      <c r="E48" s="39">
        <f t="shared" ref="E48:J48" si="13">E28+E30+E31+E34+E36+E38+E40+E41+E44+E45</f>
        <v>1857.5</v>
      </c>
      <c r="F48" s="39">
        <f t="shared" si="13"/>
        <v>1857.5</v>
      </c>
      <c r="G48" s="39">
        <f t="shared" si="13"/>
        <v>1857.5</v>
      </c>
      <c r="H48" s="39">
        <f t="shared" si="13"/>
        <v>1857.5</v>
      </c>
      <c r="I48" s="39">
        <f t="shared" si="13"/>
        <v>1857.5</v>
      </c>
      <c r="J48" s="39">
        <f t="shared" si="13"/>
        <v>1857.5</v>
      </c>
      <c r="K48" s="39"/>
      <c r="L48" s="39"/>
      <c r="M48" s="39"/>
      <c r="N48" s="56"/>
      <c r="O48" s="40"/>
    </row>
    <row r="49" spans="1:15" s="31" customFormat="1" ht="15.5">
      <c r="A49" s="27" t="s">
        <v>80</v>
      </c>
      <c r="B49" s="28">
        <v>1</v>
      </c>
      <c r="C49" s="28">
        <v>2200</v>
      </c>
      <c r="D49" s="29">
        <f>$B$49*$C$49</f>
        <v>2200</v>
      </c>
      <c r="E49" s="29">
        <f t="shared" ref="E49:J49" si="14">$B$49*$C$49</f>
        <v>2200</v>
      </c>
      <c r="F49" s="29">
        <f t="shared" si="14"/>
        <v>2200</v>
      </c>
      <c r="G49" s="29">
        <f t="shared" si="14"/>
        <v>2200</v>
      </c>
      <c r="H49" s="29">
        <f t="shared" si="14"/>
        <v>2200</v>
      </c>
      <c r="I49" s="29">
        <f t="shared" si="14"/>
        <v>2200</v>
      </c>
      <c r="J49" s="29">
        <f t="shared" si="14"/>
        <v>2200</v>
      </c>
      <c r="K49" s="29"/>
      <c r="L49" s="29"/>
      <c r="M49" s="29"/>
      <c r="N49" s="57"/>
      <c r="O49" s="30"/>
    </row>
    <row r="50" spans="1:15" s="36" customFormat="1" ht="15.5">
      <c r="A50" s="32" t="s">
        <v>79</v>
      </c>
      <c r="B50" s="33"/>
      <c r="C50" s="33"/>
      <c r="D50" s="82">
        <v>2100</v>
      </c>
      <c r="E50" s="82">
        <v>2100</v>
      </c>
      <c r="F50" s="82">
        <v>2100</v>
      </c>
      <c r="G50" s="82">
        <v>2100</v>
      </c>
      <c r="H50" s="82">
        <v>2100</v>
      </c>
      <c r="I50" s="82">
        <v>2100</v>
      </c>
      <c r="J50" s="82">
        <v>2100</v>
      </c>
      <c r="K50" s="34"/>
      <c r="L50" s="34"/>
      <c r="M50" s="34"/>
      <c r="N50" s="58"/>
      <c r="O50" s="35"/>
    </row>
    <row r="51" spans="1:15" ht="22.5" customHeight="1">
      <c r="N51" s="83"/>
    </row>
    <row r="52" spans="1:15" s="41" customFormat="1" ht="15.5">
      <c r="A52" s="37" t="s">
        <v>30</v>
      </c>
      <c r="B52" s="38"/>
      <c r="C52" s="38"/>
      <c r="D52" s="39">
        <f>D48*D24</f>
        <v>0</v>
      </c>
      <c r="E52" s="39">
        <f t="shared" ref="E52:J52" si="15">E48*E24</f>
        <v>0</v>
      </c>
      <c r="F52" s="39">
        <f t="shared" si="15"/>
        <v>0</v>
      </c>
      <c r="G52" s="39">
        <f t="shared" si="15"/>
        <v>0</v>
      </c>
      <c r="H52" s="39">
        <f t="shared" si="15"/>
        <v>0</v>
      </c>
      <c r="I52" s="39">
        <f t="shared" si="15"/>
        <v>0</v>
      </c>
      <c r="J52" s="39">
        <f t="shared" si="15"/>
        <v>0</v>
      </c>
      <c r="K52" s="39"/>
      <c r="L52" s="39"/>
      <c r="M52" s="39"/>
      <c r="N52" s="56"/>
      <c r="O52" s="40"/>
    </row>
    <row r="53" spans="1:15" s="36" customFormat="1" ht="15.5">
      <c r="A53" s="32" t="s">
        <v>31</v>
      </c>
      <c r="B53" s="33"/>
      <c r="C53" s="33"/>
      <c r="D53" s="34">
        <f>D50*D24</f>
        <v>0</v>
      </c>
      <c r="E53" s="34">
        <f t="shared" ref="E53:J53" si="16">E50*E24</f>
        <v>0</v>
      </c>
      <c r="F53" s="34">
        <f t="shared" si="16"/>
        <v>0</v>
      </c>
      <c r="G53" s="34">
        <f t="shared" si="16"/>
        <v>0</v>
      </c>
      <c r="H53" s="34">
        <f t="shared" si="16"/>
        <v>0</v>
      </c>
      <c r="I53" s="34">
        <f t="shared" si="16"/>
        <v>0</v>
      </c>
      <c r="J53" s="34">
        <f t="shared" si="16"/>
        <v>0</v>
      </c>
      <c r="K53" s="34"/>
      <c r="L53" s="34"/>
      <c r="M53" s="34"/>
      <c r="N53" s="58"/>
      <c r="O53" s="35"/>
    </row>
    <row r="54" spans="1:15" s="52" customFormat="1" ht="15.5">
      <c r="A54" s="48" t="s">
        <v>32</v>
      </c>
      <c r="B54" s="49"/>
      <c r="C54" s="49"/>
      <c r="D54" s="50">
        <f>D53-D52</f>
        <v>0</v>
      </c>
      <c r="E54" s="50">
        <f t="shared" ref="E54:J54" si="17">E53-E52</f>
        <v>0</v>
      </c>
      <c r="F54" s="50">
        <f t="shared" si="17"/>
        <v>0</v>
      </c>
      <c r="G54" s="50">
        <f t="shared" si="17"/>
        <v>0</v>
      </c>
      <c r="H54" s="50">
        <f t="shared" si="17"/>
        <v>0</v>
      </c>
      <c r="I54" s="50">
        <f t="shared" si="17"/>
        <v>0</v>
      </c>
      <c r="J54" s="50">
        <f t="shared" si="17"/>
        <v>0</v>
      </c>
      <c r="K54" s="50"/>
      <c r="L54" s="50"/>
      <c r="M54" s="50"/>
      <c r="N54" s="84"/>
      <c r="O54" s="5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3" sqref="D23"/>
    </sheetView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Volumes</vt:lpstr>
      <vt:lpstr>Inv-Financement</vt:lpstr>
      <vt:lpstr>Volume Local_Export</vt:lpstr>
      <vt:lpstr>Assumptions</vt:lpstr>
      <vt:lpstr>Volume</vt:lpstr>
      <vt:lpstr>Energie_ Poutrelles</vt:lpstr>
      <vt:lpstr>hierarchie</vt:lpstr>
      <vt:lpstr>P&amp;L</vt:lpstr>
      <vt:lpstr>Chiffre Affaires</vt:lpstr>
      <vt:lpstr>Matiéres Consommables</vt:lpstr>
      <vt:lpstr>T.S. Structure</vt:lpstr>
      <vt:lpstr>Coupé façonné</vt:lpstr>
      <vt:lpstr>Armatures STD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ali.omri</dc:creator>
  <cp:lastModifiedBy>Michel</cp:lastModifiedBy>
  <cp:lastPrinted>2019-01-30T10:23:34Z</cp:lastPrinted>
  <dcterms:created xsi:type="dcterms:W3CDTF">2018-09-18T08:39:09Z</dcterms:created>
  <dcterms:modified xsi:type="dcterms:W3CDTF">2019-02-15T11:34:49Z</dcterms:modified>
</cp:coreProperties>
</file>