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23040" windowHeight="9400" firstSheet="1" activeTab="2"/>
  </bookViews>
  <sheets>
    <sheet name="Septembre 17" sheetId="4" state="hidden" r:id="rId1"/>
    <sheet name="Janvier 18" sheetId="13" r:id="rId2"/>
    <sheet name="TOTAUX ANNUEL " sheetId="26" r:id="rId3"/>
    <sheet name="Fevrier 18" sheetId="14" r:id="rId4"/>
    <sheet name="parametres" sheetId="3" r:id="rId5"/>
    <sheet name="JF" sheetId="2" r:id="rId6"/>
    <sheet name="Mars 18" sheetId="15" r:id="rId7"/>
    <sheet name="Avril 18" sheetId="16" r:id="rId8"/>
    <sheet name="mai 18" sheetId="17" r:id="rId9"/>
    <sheet name="juin 18" sheetId="19" r:id="rId10"/>
    <sheet name="Juillet 18" sheetId="20" r:id="rId11"/>
    <sheet name="Aout 18" sheetId="25" r:id="rId12"/>
    <sheet name="Septembre 18" sheetId="24" r:id="rId13"/>
    <sheet name="Octobre 18" sheetId="23" r:id="rId14"/>
    <sheet name="Novembre 18" sheetId="22" r:id="rId15"/>
    <sheet name="Decembre 18" sheetId="21" r:id="rId16"/>
    <sheet name="Janvier 19" sheetId="18" r:id="rId17"/>
  </sheets>
  <definedNames>
    <definedName name="deb_dimJF">parametres!$B$3</definedName>
    <definedName name="deb_nuit">parametres!$B$1</definedName>
    <definedName name="fin_dimJF">parametres!$B$4</definedName>
    <definedName name="fin_nuit">parametres!$B$2</definedName>
    <definedName name="JF">JF!$D$1:$D$12</definedName>
    <definedName name="_xlnm.Print_Area" localSheetId="11">'Aout 18'!$A$1:$J$54</definedName>
    <definedName name="_xlnm.Print_Area" localSheetId="7">'Avril 18'!$A$1:$J$54</definedName>
    <definedName name="_xlnm.Print_Area" localSheetId="15">'Decembre 18'!$A$1:$J$54</definedName>
    <definedName name="_xlnm.Print_Area" localSheetId="3">'Fevrier 18'!$A$1:$J$54</definedName>
    <definedName name="_xlnm.Print_Area" localSheetId="1">'Janvier 18'!$A$1:$J$54</definedName>
    <definedName name="_xlnm.Print_Area" localSheetId="16">'Janvier 19'!$A$1:$J$54</definedName>
    <definedName name="_xlnm.Print_Area" localSheetId="10">'Juillet 18'!$A$1:$J$54</definedName>
    <definedName name="_xlnm.Print_Area" localSheetId="9">'juin 18'!$A$1:$J$54</definedName>
    <definedName name="_xlnm.Print_Area" localSheetId="8">'mai 18'!$A$1:$J$54</definedName>
    <definedName name="_xlnm.Print_Area" localSheetId="6">'Mars 18'!$A$1:$J$54</definedName>
    <definedName name="_xlnm.Print_Area" localSheetId="14">'Novembre 18'!$A$1:$J$54</definedName>
    <definedName name="_xlnm.Print_Area" localSheetId="13">'Octobre 18'!$A$1:$J$54</definedName>
    <definedName name="_xlnm.Print_Area" localSheetId="0">'Septembre 17'!$A$1:$J$54</definedName>
    <definedName name="_xlnm.Print_Area" localSheetId="12">'Septembre 18'!$A$1:$J$54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49" i="25" l="1"/>
  <c r="Q49" i="25"/>
  <c r="P49" i="25"/>
  <c r="O49" i="25"/>
  <c r="N49" i="25"/>
  <c r="M49" i="25"/>
  <c r="L49" i="25"/>
  <c r="K49" i="25"/>
  <c r="S49" i="25" s="1"/>
  <c r="J49" i="25"/>
  <c r="S48" i="25"/>
  <c r="R48" i="25"/>
  <c r="Q48" i="25"/>
  <c r="M48" i="25"/>
  <c r="P48" i="25" s="1"/>
  <c r="L48" i="25"/>
  <c r="K48" i="25"/>
  <c r="J48" i="25"/>
  <c r="M47" i="25"/>
  <c r="S47" i="25" s="1"/>
  <c r="L47" i="25"/>
  <c r="K47" i="25"/>
  <c r="J47" i="25"/>
  <c r="S46" i="25"/>
  <c r="R46" i="25"/>
  <c r="Q46" i="25"/>
  <c r="P46" i="25"/>
  <c r="O46" i="25"/>
  <c r="M46" i="25"/>
  <c r="N46" i="25" s="1"/>
  <c r="L46" i="25"/>
  <c r="K46" i="25"/>
  <c r="J46" i="25"/>
  <c r="S45" i="25"/>
  <c r="R45" i="25"/>
  <c r="M45" i="25"/>
  <c r="Q45" i="25" s="1"/>
  <c r="L45" i="25"/>
  <c r="K45" i="25"/>
  <c r="J45" i="25"/>
  <c r="M44" i="25"/>
  <c r="Q44" i="25" s="1"/>
  <c r="L44" i="25"/>
  <c r="K44" i="25"/>
  <c r="J44" i="25"/>
  <c r="S43" i="25"/>
  <c r="R43" i="25"/>
  <c r="Q43" i="25"/>
  <c r="P43" i="25"/>
  <c r="I43" i="25" s="1"/>
  <c r="N43" i="25"/>
  <c r="M43" i="25"/>
  <c r="O43" i="25" s="1"/>
  <c r="L43" i="25"/>
  <c r="K43" i="25"/>
  <c r="J43" i="25"/>
  <c r="S42" i="25"/>
  <c r="M42" i="25"/>
  <c r="R42" i="25" s="1"/>
  <c r="L42" i="25"/>
  <c r="K42" i="25"/>
  <c r="J42" i="25"/>
  <c r="R41" i="25"/>
  <c r="Q41" i="25"/>
  <c r="P41" i="25"/>
  <c r="O41" i="25"/>
  <c r="N41" i="25"/>
  <c r="M41" i="25"/>
  <c r="L41" i="25"/>
  <c r="K41" i="25"/>
  <c r="S41" i="25" s="1"/>
  <c r="J41" i="25"/>
  <c r="S40" i="25"/>
  <c r="R40" i="25"/>
  <c r="Q40" i="25"/>
  <c r="M40" i="25"/>
  <c r="P40" i="25" s="1"/>
  <c r="L40" i="25"/>
  <c r="K40" i="25"/>
  <c r="J40" i="25"/>
  <c r="M39" i="25"/>
  <c r="S39" i="25" s="1"/>
  <c r="L39" i="25"/>
  <c r="K39" i="25"/>
  <c r="J39" i="25"/>
  <c r="S38" i="25"/>
  <c r="R38" i="25"/>
  <c r="Q38" i="25"/>
  <c r="P38" i="25"/>
  <c r="O38" i="25"/>
  <c r="M38" i="25"/>
  <c r="N38" i="25" s="1"/>
  <c r="I38" i="25" s="1"/>
  <c r="L38" i="25"/>
  <c r="K38" i="25"/>
  <c r="J38" i="25"/>
  <c r="S37" i="25"/>
  <c r="R37" i="25"/>
  <c r="M37" i="25"/>
  <c r="Q37" i="25" s="1"/>
  <c r="L37" i="25"/>
  <c r="K37" i="25"/>
  <c r="J37" i="25"/>
  <c r="M36" i="25"/>
  <c r="O36" i="25" s="1"/>
  <c r="L36" i="25"/>
  <c r="K36" i="25"/>
  <c r="J36" i="25"/>
  <c r="S35" i="25"/>
  <c r="R35" i="25"/>
  <c r="Q35" i="25"/>
  <c r="P35" i="25"/>
  <c r="I35" i="25" s="1"/>
  <c r="N35" i="25"/>
  <c r="M35" i="25"/>
  <c r="O35" i="25" s="1"/>
  <c r="L35" i="25"/>
  <c r="K35" i="25"/>
  <c r="J35" i="25"/>
  <c r="S34" i="25"/>
  <c r="M34" i="25"/>
  <c r="R34" i="25" s="1"/>
  <c r="L34" i="25"/>
  <c r="K34" i="25"/>
  <c r="J34" i="25"/>
  <c r="R33" i="25"/>
  <c r="Q33" i="25"/>
  <c r="P33" i="25"/>
  <c r="O33" i="25"/>
  <c r="N33" i="25"/>
  <c r="I33" i="25" s="1"/>
  <c r="M33" i="25"/>
  <c r="L33" i="25"/>
  <c r="K33" i="25"/>
  <c r="S33" i="25" s="1"/>
  <c r="J33" i="25"/>
  <c r="S32" i="25"/>
  <c r="R32" i="25"/>
  <c r="Q32" i="25"/>
  <c r="M32" i="25"/>
  <c r="P32" i="25" s="1"/>
  <c r="L32" i="25"/>
  <c r="K32" i="25"/>
  <c r="J32" i="25"/>
  <c r="M31" i="25"/>
  <c r="S31" i="25" s="1"/>
  <c r="L31" i="25"/>
  <c r="K31" i="25"/>
  <c r="J31" i="25"/>
  <c r="S30" i="25"/>
  <c r="R30" i="25"/>
  <c r="Q30" i="25"/>
  <c r="P30" i="25"/>
  <c r="O30" i="25"/>
  <c r="M30" i="25"/>
  <c r="N30" i="25" s="1"/>
  <c r="L30" i="25"/>
  <c r="K30" i="25"/>
  <c r="J30" i="25"/>
  <c r="S29" i="25"/>
  <c r="R29" i="25"/>
  <c r="M29" i="25"/>
  <c r="Q29" i="25" s="1"/>
  <c r="L29" i="25"/>
  <c r="K29" i="25"/>
  <c r="J29" i="25"/>
  <c r="M28" i="25"/>
  <c r="Q28" i="25" s="1"/>
  <c r="L28" i="25"/>
  <c r="K28" i="25"/>
  <c r="J28" i="25"/>
  <c r="S27" i="25"/>
  <c r="R27" i="25"/>
  <c r="Q27" i="25"/>
  <c r="P27" i="25"/>
  <c r="M27" i="25"/>
  <c r="O27" i="25" s="1"/>
  <c r="L27" i="25"/>
  <c r="K27" i="25"/>
  <c r="J27" i="25"/>
  <c r="S26" i="25"/>
  <c r="M26" i="25"/>
  <c r="R26" i="25" s="1"/>
  <c r="L26" i="25"/>
  <c r="K26" i="25"/>
  <c r="J26" i="25"/>
  <c r="R25" i="25"/>
  <c r="Q25" i="25"/>
  <c r="P25" i="25"/>
  <c r="O25" i="25"/>
  <c r="N25" i="25"/>
  <c r="M25" i="25"/>
  <c r="L25" i="25"/>
  <c r="K25" i="25"/>
  <c r="S25" i="25" s="1"/>
  <c r="J25" i="25"/>
  <c r="S24" i="25"/>
  <c r="R24" i="25"/>
  <c r="Q24" i="25"/>
  <c r="M24" i="25"/>
  <c r="P24" i="25" s="1"/>
  <c r="L24" i="25"/>
  <c r="K24" i="25"/>
  <c r="J24" i="25"/>
  <c r="M23" i="25"/>
  <c r="S23" i="25" s="1"/>
  <c r="L23" i="25"/>
  <c r="K23" i="25"/>
  <c r="J23" i="25"/>
  <c r="S22" i="25"/>
  <c r="R22" i="25"/>
  <c r="Q22" i="25"/>
  <c r="P22" i="25"/>
  <c r="O22" i="25"/>
  <c r="M22" i="25"/>
  <c r="N22" i="25" s="1"/>
  <c r="I22" i="25" s="1"/>
  <c r="L22" i="25"/>
  <c r="K22" i="25"/>
  <c r="J22" i="25"/>
  <c r="S21" i="25"/>
  <c r="R21" i="25"/>
  <c r="M21" i="25"/>
  <c r="Q21" i="25" s="1"/>
  <c r="L21" i="25"/>
  <c r="K21" i="25"/>
  <c r="J21" i="25"/>
  <c r="M20" i="25"/>
  <c r="N20" i="25" s="1"/>
  <c r="L20" i="25"/>
  <c r="K20" i="25"/>
  <c r="J20" i="25"/>
  <c r="S19" i="25"/>
  <c r="R19" i="25"/>
  <c r="Q19" i="25"/>
  <c r="P19" i="25"/>
  <c r="M19" i="25"/>
  <c r="O19" i="25" s="1"/>
  <c r="L19" i="25"/>
  <c r="K19" i="25"/>
  <c r="J19" i="25"/>
  <c r="S18" i="25"/>
  <c r="M18" i="25"/>
  <c r="R18" i="25" s="1"/>
  <c r="L18" i="25"/>
  <c r="K18" i="25"/>
  <c r="J18" i="25"/>
  <c r="R17" i="25"/>
  <c r="Q17" i="25"/>
  <c r="P17" i="25"/>
  <c r="O17" i="25"/>
  <c r="N17" i="25"/>
  <c r="I17" i="25" s="1"/>
  <c r="M17" i="25"/>
  <c r="L17" i="25"/>
  <c r="K17" i="25"/>
  <c r="S17" i="25" s="1"/>
  <c r="J17" i="25"/>
  <c r="S16" i="25"/>
  <c r="R16" i="25"/>
  <c r="Q16" i="25"/>
  <c r="M16" i="25"/>
  <c r="P16" i="25" s="1"/>
  <c r="L16" i="25"/>
  <c r="K16" i="25"/>
  <c r="J16" i="25"/>
  <c r="M15" i="25"/>
  <c r="S15" i="25" s="1"/>
  <c r="L15" i="25"/>
  <c r="K15" i="25"/>
  <c r="J15" i="25"/>
  <c r="S14" i="25"/>
  <c r="R14" i="25"/>
  <c r="Q14" i="25"/>
  <c r="P14" i="25"/>
  <c r="O14" i="25"/>
  <c r="M14" i="25"/>
  <c r="N14" i="25" s="1"/>
  <c r="L14" i="25"/>
  <c r="K14" i="25"/>
  <c r="J14" i="25"/>
  <c r="S13" i="25"/>
  <c r="R13" i="25"/>
  <c r="M13" i="25"/>
  <c r="Q13" i="25" s="1"/>
  <c r="L13" i="25"/>
  <c r="K13" i="25"/>
  <c r="J13" i="25"/>
  <c r="J50" i="25" s="1"/>
  <c r="S49" i="24"/>
  <c r="R49" i="24"/>
  <c r="Q49" i="24"/>
  <c r="P49" i="24"/>
  <c r="O49" i="24"/>
  <c r="N49" i="24"/>
  <c r="M49" i="24"/>
  <c r="L49" i="24"/>
  <c r="K49" i="24"/>
  <c r="J49" i="24"/>
  <c r="S48" i="24"/>
  <c r="R48" i="24"/>
  <c r="Q48" i="24"/>
  <c r="O48" i="24"/>
  <c r="N48" i="24"/>
  <c r="M48" i="24"/>
  <c r="P48" i="24" s="1"/>
  <c r="I48" i="24" s="1"/>
  <c r="L48" i="24"/>
  <c r="K48" i="24"/>
  <c r="J48" i="24"/>
  <c r="M47" i="24"/>
  <c r="S47" i="24" s="1"/>
  <c r="L47" i="24"/>
  <c r="K47" i="24"/>
  <c r="J47" i="24"/>
  <c r="R46" i="24"/>
  <c r="Q46" i="24"/>
  <c r="P46" i="24"/>
  <c r="O46" i="24"/>
  <c r="M46" i="24"/>
  <c r="N46" i="24" s="1"/>
  <c r="L46" i="24"/>
  <c r="K46" i="24"/>
  <c r="J46" i="24"/>
  <c r="S45" i="24"/>
  <c r="R45" i="24"/>
  <c r="M45" i="24"/>
  <c r="Q45" i="24" s="1"/>
  <c r="L45" i="24"/>
  <c r="K45" i="24"/>
  <c r="J45" i="24"/>
  <c r="M44" i="24"/>
  <c r="R44" i="24" s="1"/>
  <c r="L44" i="24"/>
  <c r="K44" i="24"/>
  <c r="J44" i="24"/>
  <c r="R43" i="24"/>
  <c r="Q43" i="24"/>
  <c r="P43" i="24"/>
  <c r="M43" i="24"/>
  <c r="O43" i="24" s="1"/>
  <c r="L43" i="24"/>
  <c r="K43" i="24"/>
  <c r="S43" i="24" s="1"/>
  <c r="J43" i="24"/>
  <c r="S42" i="24"/>
  <c r="M42" i="24"/>
  <c r="R42" i="24" s="1"/>
  <c r="L42" i="24"/>
  <c r="K42" i="24"/>
  <c r="J42" i="24"/>
  <c r="S41" i="24"/>
  <c r="R41" i="24"/>
  <c r="Q41" i="24"/>
  <c r="P41" i="24"/>
  <c r="O41" i="24"/>
  <c r="N41" i="24"/>
  <c r="M41" i="24"/>
  <c r="L41" i="24"/>
  <c r="K41" i="24"/>
  <c r="J41" i="24"/>
  <c r="S40" i="24"/>
  <c r="R40" i="24"/>
  <c r="Q40" i="24"/>
  <c r="O40" i="24"/>
  <c r="N40" i="24"/>
  <c r="M40" i="24"/>
  <c r="P40" i="24" s="1"/>
  <c r="L40" i="24"/>
  <c r="K40" i="24"/>
  <c r="J40" i="24"/>
  <c r="M39" i="24"/>
  <c r="S39" i="24" s="1"/>
  <c r="L39" i="24"/>
  <c r="K39" i="24"/>
  <c r="J39" i="24"/>
  <c r="R38" i="24"/>
  <c r="Q38" i="24"/>
  <c r="P38" i="24"/>
  <c r="O38" i="24"/>
  <c r="M38" i="24"/>
  <c r="N38" i="24" s="1"/>
  <c r="L38" i="24"/>
  <c r="K38" i="24"/>
  <c r="J38" i="24"/>
  <c r="S37" i="24"/>
  <c r="R37" i="24"/>
  <c r="M37" i="24"/>
  <c r="Q37" i="24" s="1"/>
  <c r="L37" i="24"/>
  <c r="K37" i="24"/>
  <c r="J37" i="24"/>
  <c r="M36" i="24"/>
  <c r="R36" i="24" s="1"/>
  <c r="L36" i="24"/>
  <c r="K36" i="24"/>
  <c r="J36" i="24"/>
  <c r="R35" i="24"/>
  <c r="Q35" i="24"/>
  <c r="P35" i="24"/>
  <c r="M35" i="24"/>
  <c r="O35" i="24" s="1"/>
  <c r="L35" i="24"/>
  <c r="K35" i="24"/>
  <c r="S35" i="24" s="1"/>
  <c r="J35" i="24"/>
  <c r="S34" i="24"/>
  <c r="M34" i="24"/>
  <c r="R34" i="24" s="1"/>
  <c r="L34" i="24"/>
  <c r="K34" i="24"/>
  <c r="J34" i="24"/>
  <c r="S33" i="24"/>
  <c r="R33" i="24"/>
  <c r="Q33" i="24"/>
  <c r="P33" i="24"/>
  <c r="O33" i="24"/>
  <c r="N33" i="24"/>
  <c r="I33" i="24" s="1"/>
  <c r="M33" i="24"/>
  <c r="L33" i="24"/>
  <c r="K33" i="24"/>
  <c r="J33" i="24"/>
  <c r="S32" i="24"/>
  <c r="R32" i="24"/>
  <c r="Q32" i="24"/>
  <c r="O32" i="24"/>
  <c r="N32" i="24"/>
  <c r="M32" i="24"/>
  <c r="P32" i="24" s="1"/>
  <c r="L32" i="24"/>
  <c r="K32" i="24"/>
  <c r="J32" i="24"/>
  <c r="M31" i="24"/>
  <c r="S31" i="24" s="1"/>
  <c r="L31" i="24"/>
  <c r="K31" i="24"/>
  <c r="J31" i="24"/>
  <c r="R30" i="24"/>
  <c r="Q30" i="24"/>
  <c r="P30" i="24"/>
  <c r="O30" i="24"/>
  <c r="M30" i="24"/>
  <c r="N30" i="24" s="1"/>
  <c r="L30" i="24"/>
  <c r="K30" i="24"/>
  <c r="J30" i="24"/>
  <c r="S29" i="24"/>
  <c r="R29" i="24"/>
  <c r="M29" i="24"/>
  <c r="Q29" i="24" s="1"/>
  <c r="L29" i="24"/>
  <c r="K29" i="24"/>
  <c r="J29" i="24"/>
  <c r="M28" i="24"/>
  <c r="O28" i="24" s="1"/>
  <c r="L28" i="24"/>
  <c r="K28" i="24"/>
  <c r="J28" i="24"/>
  <c r="R27" i="24"/>
  <c r="Q27" i="24"/>
  <c r="P27" i="24"/>
  <c r="M27" i="24"/>
  <c r="O27" i="24" s="1"/>
  <c r="L27" i="24"/>
  <c r="K27" i="24"/>
  <c r="S27" i="24" s="1"/>
  <c r="J27" i="24"/>
  <c r="S26" i="24"/>
  <c r="M26" i="24"/>
  <c r="R26" i="24" s="1"/>
  <c r="L26" i="24"/>
  <c r="K26" i="24"/>
  <c r="J26" i="24"/>
  <c r="S25" i="24"/>
  <c r="R25" i="24"/>
  <c r="Q25" i="24"/>
  <c r="P25" i="24"/>
  <c r="O25" i="24"/>
  <c r="N25" i="24"/>
  <c r="M25" i="24"/>
  <c r="L25" i="24"/>
  <c r="K25" i="24"/>
  <c r="J25" i="24"/>
  <c r="S24" i="24"/>
  <c r="R24" i="24"/>
  <c r="Q24" i="24"/>
  <c r="O24" i="24"/>
  <c r="N24" i="24"/>
  <c r="M24" i="24"/>
  <c r="P24" i="24" s="1"/>
  <c r="L24" i="24"/>
  <c r="K24" i="24"/>
  <c r="J24" i="24"/>
  <c r="M23" i="24"/>
  <c r="S23" i="24" s="1"/>
  <c r="L23" i="24"/>
  <c r="K23" i="24"/>
  <c r="J23" i="24"/>
  <c r="R22" i="24"/>
  <c r="Q22" i="24"/>
  <c r="P22" i="24"/>
  <c r="O22" i="24"/>
  <c r="M22" i="24"/>
  <c r="N22" i="24" s="1"/>
  <c r="L22" i="24"/>
  <c r="K22" i="24"/>
  <c r="J22" i="24"/>
  <c r="S21" i="24"/>
  <c r="R21" i="24"/>
  <c r="M21" i="24"/>
  <c r="Q21" i="24" s="1"/>
  <c r="L21" i="24"/>
  <c r="K21" i="24"/>
  <c r="J21" i="24"/>
  <c r="M20" i="24"/>
  <c r="R20" i="24" s="1"/>
  <c r="L20" i="24"/>
  <c r="K20" i="24"/>
  <c r="J20" i="24"/>
  <c r="S19" i="24"/>
  <c r="R19" i="24"/>
  <c r="Q19" i="24"/>
  <c r="P19" i="24"/>
  <c r="M19" i="24"/>
  <c r="O19" i="24" s="1"/>
  <c r="L19" i="24"/>
  <c r="K19" i="24"/>
  <c r="J19" i="24"/>
  <c r="S18" i="24"/>
  <c r="M18" i="24"/>
  <c r="R18" i="24" s="1"/>
  <c r="L18" i="24"/>
  <c r="K18" i="24"/>
  <c r="J18" i="24"/>
  <c r="S17" i="24"/>
  <c r="R17" i="24"/>
  <c r="Q17" i="24"/>
  <c r="P17" i="24"/>
  <c r="O17" i="24"/>
  <c r="N17" i="24"/>
  <c r="M17" i="24"/>
  <c r="L17" i="24"/>
  <c r="K17" i="24"/>
  <c r="J17" i="24"/>
  <c r="S16" i="24"/>
  <c r="R16" i="24"/>
  <c r="Q16" i="24"/>
  <c r="O16" i="24"/>
  <c r="N16" i="24"/>
  <c r="M16" i="24"/>
  <c r="P16" i="24" s="1"/>
  <c r="L16" i="24"/>
  <c r="K16" i="24"/>
  <c r="J16" i="24"/>
  <c r="M15" i="24"/>
  <c r="S15" i="24" s="1"/>
  <c r="L15" i="24"/>
  <c r="K15" i="24"/>
  <c r="J15" i="24"/>
  <c r="R14" i="24"/>
  <c r="Q14" i="24"/>
  <c r="P14" i="24"/>
  <c r="O14" i="24"/>
  <c r="M14" i="24"/>
  <c r="N14" i="24" s="1"/>
  <c r="L14" i="24"/>
  <c r="K14" i="24"/>
  <c r="J14" i="24"/>
  <c r="S13" i="24"/>
  <c r="R13" i="24"/>
  <c r="M13" i="24"/>
  <c r="Q13" i="24" s="1"/>
  <c r="L13" i="24"/>
  <c r="K13" i="24"/>
  <c r="J13" i="24"/>
  <c r="J50" i="24" s="1"/>
  <c r="R49" i="23"/>
  <c r="Q49" i="23"/>
  <c r="P49" i="23"/>
  <c r="O49" i="23"/>
  <c r="N49" i="23"/>
  <c r="M49" i="23"/>
  <c r="L49" i="23"/>
  <c r="S49" i="23" s="1"/>
  <c r="K49" i="23"/>
  <c r="J49" i="23"/>
  <c r="S48" i="23"/>
  <c r="R48" i="23"/>
  <c r="Q48" i="23"/>
  <c r="O48" i="23"/>
  <c r="N48" i="23"/>
  <c r="M48" i="23"/>
  <c r="P48" i="23" s="1"/>
  <c r="L48" i="23"/>
  <c r="K48" i="23"/>
  <c r="J48" i="23"/>
  <c r="M47" i="23"/>
  <c r="S47" i="23" s="1"/>
  <c r="L47" i="23"/>
  <c r="K47" i="23"/>
  <c r="J47" i="23"/>
  <c r="Q46" i="23"/>
  <c r="P46" i="23"/>
  <c r="O46" i="23"/>
  <c r="M46" i="23"/>
  <c r="N46" i="23" s="1"/>
  <c r="L46" i="23"/>
  <c r="K46" i="23"/>
  <c r="J46" i="23"/>
  <c r="S45" i="23"/>
  <c r="R45" i="23"/>
  <c r="P45" i="23"/>
  <c r="M45" i="23"/>
  <c r="Q45" i="23" s="1"/>
  <c r="L45" i="23"/>
  <c r="K45" i="23"/>
  <c r="J45" i="23"/>
  <c r="M44" i="23"/>
  <c r="S44" i="23" s="1"/>
  <c r="L44" i="23"/>
  <c r="K44" i="23"/>
  <c r="J44" i="23"/>
  <c r="S43" i="23"/>
  <c r="R43" i="23"/>
  <c r="Q43" i="23"/>
  <c r="P43" i="23"/>
  <c r="N43" i="23"/>
  <c r="M43" i="23"/>
  <c r="O43" i="23" s="1"/>
  <c r="L43" i="23"/>
  <c r="K43" i="23"/>
  <c r="J43" i="23"/>
  <c r="S42" i="23"/>
  <c r="M42" i="23"/>
  <c r="R42" i="23" s="1"/>
  <c r="L42" i="23"/>
  <c r="K42" i="23"/>
  <c r="J42" i="23"/>
  <c r="R41" i="23"/>
  <c r="P41" i="23"/>
  <c r="O41" i="23"/>
  <c r="N41" i="23"/>
  <c r="M41" i="23"/>
  <c r="L41" i="23"/>
  <c r="S41" i="23" s="1"/>
  <c r="K41" i="23"/>
  <c r="J41" i="23"/>
  <c r="S40" i="23"/>
  <c r="R40" i="23"/>
  <c r="Q40" i="23"/>
  <c r="O40" i="23"/>
  <c r="N40" i="23"/>
  <c r="M40" i="23"/>
  <c r="P40" i="23" s="1"/>
  <c r="L40" i="23"/>
  <c r="K40" i="23"/>
  <c r="J40" i="23"/>
  <c r="M39" i="23"/>
  <c r="S39" i="23" s="1"/>
  <c r="L39" i="23"/>
  <c r="K39" i="23"/>
  <c r="J39" i="23"/>
  <c r="Q38" i="23"/>
  <c r="P38" i="23"/>
  <c r="O38" i="23"/>
  <c r="M38" i="23"/>
  <c r="N38" i="23" s="1"/>
  <c r="L38" i="23"/>
  <c r="K38" i="23"/>
  <c r="J38" i="23"/>
  <c r="S37" i="23"/>
  <c r="R37" i="23"/>
  <c r="P37" i="23"/>
  <c r="M37" i="23"/>
  <c r="Q37" i="23" s="1"/>
  <c r="L37" i="23"/>
  <c r="K37" i="23"/>
  <c r="J37" i="23"/>
  <c r="M36" i="23"/>
  <c r="S36" i="23" s="1"/>
  <c r="L36" i="23"/>
  <c r="K36" i="23"/>
  <c r="J36" i="23"/>
  <c r="S35" i="23"/>
  <c r="R35" i="23"/>
  <c r="Q35" i="23"/>
  <c r="P35" i="23"/>
  <c r="N35" i="23"/>
  <c r="M35" i="23"/>
  <c r="O35" i="23" s="1"/>
  <c r="L35" i="23"/>
  <c r="K35" i="23"/>
  <c r="J35" i="23"/>
  <c r="S34" i="23"/>
  <c r="M34" i="23"/>
  <c r="R34" i="23" s="1"/>
  <c r="L34" i="23"/>
  <c r="K34" i="23"/>
  <c r="J34" i="23"/>
  <c r="R33" i="23"/>
  <c r="P33" i="23"/>
  <c r="O33" i="23"/>
  <c r="N33" i="23"/>
  <c r="M33" i="23"/>
  <c r="L33" i="23"/>
  <c r="S33" i="23" s="1"/>
  <c r="K33" i="23"/>
  <c r="J33" i="23"/>
  <c r="S32" i="23"/>
  <c r="R32" i="23"/>
  <c r="Q32" i="23"/>
  <c r="O32" i="23"/>
  <c r="N32" i="23"/>
  <c r="M32" i="23"/>
  <c r="P32" i="23" s="1"/>
  <c r="L32" i="23"/>
  <c r="K32" i="23"/>
  <c r="J32" i="23"/>
  <c r="M31" i="23"/>
  <c r="S31" i="23" s="1"/>
  <c r="L31" i="23"/>
  <c r="K31" i="23"/>
  <c r="J31" i="23"/>
  <c r="Q30" i="23"/>
  <c r="P30" i="23"/>
  <c r="O30" i="23"/>
  <c r="M30" i="23"/>
  <c r="N30" i="23" s="1"/>
  <c r="L30" i="23"/>
  <c r="K30" i="23"/>
  <c r="J30" i="23"/>
  <c r="S29" i="23"/>
  <c r="R29" i="23"/>
  <c r="P29" i="23"/>
  <c r="M29" i="23"/>
  <c r="Q29" i="23" s="1"/>
  <c r="L29" i="23"/>
  <c r="K29" i="23"/>
  <c r="J29" i="23"/>
  <c r="M28" i="23"/>
  <c r="S28" i="23" s="1"/>
  <c r="L28" i="23"/>
  <c r="K28" i="23"/>
  <c r="J28" i="23"/>
  <c r="S27" i="23"/>
  <c r="R27" i="23"/>
  <c r="Q27" i="23"/>
  <c r="P27" i="23"/>
  <c r="N27" i="23"/>
  <c r="M27" i="23"/>
  <c r="O27" i="23" s="1"/>
  <c r="L27" i="23"/>
  <c r="K27" i="23"/>
  <c r="J27" i="23"/>
  <c r="S26" i="23"/>
  <c r="M26" i="23"/>
  <c r="R26" i="23" s="1"/>
  <c r="L26" i="23"/>
  <c r="K26" i="23"/>
  <c r="J26" i="23"/>
  <c r="R25" i="23"/>
  <c r="P25" i="23"/>
  <c r="O25" i="23"/>
  <c r="N25" i="23"/>
  <c r="M25" i="23"/>
  <c r="L25" i="23"/>
  <c r="S25" i="23" s="1"/>
  <c r="K25" i="23"/>
  <c r="J25" i="23"/>
  <c r="S24" i="23"/>
  <c r="R24" i="23"/>
  <c r="Q24" i="23"/>
  <c r="O24" i="23"/>
  <c r="N24" i="23"/>
  <c r="M24" i="23"/>
  <c r="P24" i="23" s="1"/>
  <c r="I24" i="23" s="1"/>
  <c r="L24" i="23"/>
  <c r="K24" i="23"/>
  <c r="J24" i="23"/>
  <c r="M23" i="23"/>
  <c r="S23" i="23" s="1"/>
  <c r="L23" i="23"/>
  <c r="K23" i="23"/>
  <c r="J23" i="23"/>
  <c r="Q22" i="23"/>
  <c r="P22" i="23"/>
  <c r="O22" i="23"/>
  <c r="M22" i="23"/>
  <c r="N22" i="23" s="1"/>
  <c r="L22" i="23"/>
  <c r="K22" i="23"/>
  <c r="J22" i="23"/>
  <c r="S21" i="23"/>
  <c r="R21" i="23"/>
  <c r="P21" i="23"/>
  <c r="M21" i="23"/>
  <c r="Q21" i="23" s="1"/>
  <c r="L21" i="23"/>
  <c r="K21" i="23"/>
  <c r="J21" i="23"/>
  <c r="M20" i="23"/>
  <c r="S20" i="23" s="1"/>
  <c r="L20" i="23"/>
  <c r="K20" i="23"/>
  <c r="J20" i="23"/>
  <c r="S19" i="23"/>
  <c r="R19" i="23"/>
  <c r="Q19" i="23"/>
  <c r="P19" i="23"/>
  <c r="N19" i="23"/>
  <c r="M19" i="23"/>
  <c r="O19" i="23" s="1"/>
  <c r="L19" i="23"/>
  <c r="K19" i="23"/>
  <c r="J19" i="23"/>
  <c r="S18" i="23"/>
  <c r="M18" i="23"/>
  <c r="R18" i="23" s="1"/>
  <c r="L18" i="23"/>
  <c r="K18" i="23"/>
  <c r="J18" i="23"/>
  <c r="R17" i="23"/>
  <c r="P17" i="23"/>
  <c r="O17" i="23"/>
  <c r="N17" i="23"/>
  <c r="M17" i="23"/>
  <c r="L17" i="23"/>
  <c r="S17" i="23" s="1"/>
  <c r="K17" i="23"/>
  <c r="J17" i="23"/>
  <c r="S16" i="23"/>
  <c r="R16" i="23"/>
  <c r="Q16" i="23"/>
  <c r="O16" i="23"/>
  <c r="N16" i="23"/>
  <c r="M16" i="23"/>
  <c r="P16" i="23" s="1"/>
  <c r="L16" i="23"/>
  <c r="K16" i="23"/>
  <c r="J16" i="23"/>
  <c r="M15" i="23"/>
  <c r="S15" i="23" s="1"/>
  <c r="L15" i="23"/>
  <c r="K15" i="23"/>
  <c r="J15" i="23"/>
  <c r="Q14" i="23"/>
  <c r="P14" i="23"/>
  <c r="O14" i="23"/>
  <c r="M14" i="23"/>
  <c r="N14" i="23" s="1"/>
  <c r="L14" i="23"/>
  <c r="K14" i="23"/>
  <c r="J14" i="23"/>
  <c r="S13" i="23"/>
  <c r="R13" i="23"/>
  <c r="P13" i="23"/>
  <c r="M13" i="23"/>
  <c r="Q13" i="23" s="1"/>
  <c r="L13" i="23"/>
  <c r="K13" i="23"/>
  <c r="J13" i="23"/>
  <c r="J50" i="23" s="1"/>
  <c r="R49" i="22"/>
  <c r="Q49" i="22"/>
  <c r="P49" i="22"/>
  <c r="O49" i="22"/>
  <c r="N49" i="22"/>
  <c r="M49" i="22"/>
  <c r="L49" i="22"/>
  <c r="S49" i="22" s="1"/>
  <c r="K49" i="22"/>
  <c r="J49" i="22"/>
  <c r="S48" i="22"/>
  <c r="R48" i="22"/>
  <c r="Q48" i="22"/>
  <c r="O48" i="22"/>
  <c r="N48" i="22"/>
  <c r="M48" i="22"/>
  <c r="P48" i="22" s="1"/>
  <c r="L48" i="22"/>
  <c r="K48" i="22"/>
  <c r="J48" i="22"/>
  <c r="M47" i="22"/>
  <c r="S47" i="22" s="1"/>
  <c r="L47" i="22"/>
  <c r="K47" i="22"/>
  <c r="J47" i="22"/>
  <c r="Q46" i="22"/>
  <c r="P46" i="22"/>
  <c r="O46" i="22"/>
  <c r="M46" i="22"/>
  <c r="N46" i="22" s="1"/>
  <c r="L46" i="22"/>
  <c r="K46" i="22"/>
  <c r="J46" i="22"/>
  <c r="S45" i="22"/>
  <c r="R45" i="22"/>
  <c r="P45" i="22"/>
  <c r="M45" i="22"/>
  <c r="Q45" i="22" s="1"/>
  <c r="L45" i="22"/>
  <c r="K45" i="22"/>
  <c r="J45" i="22"/>
  <c r="M44" i="22"/>
  <c r="S44" i="22" s="1"/>
  <c r="L44" i="22"/>
  <c r="K44" i="22"/>
  <c r="J44" i="22"/>
  <c r="S43" i="22"/>
  <c r="R43" i="22"/>
  <c r="Q43" i="22"/>
  <c r="P43" i="22"/>
  <c r="N43" i="22"/>
  <c r="M43" i="22"/>
  <c r="O43" i="22" s="1"/>
  <c r="L43" i="22"/>
  <c r="K43" i="22"/>
  <c r="J43" i="22"/>
  <c r="S42" i="22"/>
  <c r="M42" i="22"/>
  <c r="R42" i="22" s="1"/>
  <c r="L42" i="22"/>
  <c r="K42" i="22"/>
  <c r="J42" i="22"/>
  <c r="R41" i="22"/>
  <c r="P41" i="22"/>
  <c r="O41" i="22"/>
  <c r="N41" i="22"/>
  <c r="M41" i="22"/>
  <c r="L41" i="22"/>
  <c r="S41" i="22" s="1"/>
  <c r="K41" i="22"/>
  <c r="J41" i="22"/>
  <c r="S40" i="22"/>
  <c r="R40" i="22"/>
  <c r="Q40" i="22"/>
  <c r="O40" i="22"/>
  <c r="N40" i="22"/>
  <c r="M40" i="22"/>
  <c r="P40" i="22" s="1"/>
  <c r="L40" i="22"/>
  <c r="K40" i="22"/>
  <c r="J40" i="22"/>
  <c r="M39" i="22"/>
  <c r="S39" i="22" s="1"/>
  <c r="L39" i="22"/>
  <c r="K39" i="22"/>
  <c r="J39" i="22"/>
  <c r="Q38" i="22"/>
  <c r="P38" i="22"/>
  <c r="O38" i="22"/>
  <c r="M38" i="22"/>
  <c r="N38" i="22" s="1"/>
  <c r="L38" i="22"/>
  <c r="K38" i="22"/>
  <c r="J38" i="22"/>
  <c r="S37" i="22"/>
  <c r="R37" i="22"/>
  <c r="P37" i="22"/>
  <c r="M37" i="22"/>
  <c r="Q37" i="22" s="1"/>
  <c r="L37" i="22"/>
  <c r="K37" i="22"/>
  <c r="J37" i="22"/>
  <c r="M36" i="22"/>
  <c r="S36" i="22" s="1"/>
  <c r="L36" i="22"/>
  <c r="K36" i="22"/>
  <c r="J36" i="22"/>
  <c r="S35" i="22"/>
  <c r="R35" i="22"/>
  <c r="Q35" i="22"/>
  <c r="P35" i="22"/>
  <c r="N35" i="22"/>
  <c r="M35" i="22"/>
  <c r="O35" i="22" s="1"/>
  <c r="L35" i="22"/>
  <c r="K35" i="22"/>
  <c r="J35" i="22"/>
  <c r="S34" i="22"/>
  <c r="M34" i="22"/>
  <c r="R34" i="22" s="1"/>
  <c r="L34" i="22"/>
  <c r="K34" i="22"/>
  <c r="J34" i="22"/>
  <c r="R33" i="22"/>
  <c r="P33" i="22"/>
  <c r="O33" i="22"/>
  <c r="N33" i="22"/>
  <c r="M33" i="22"/>
  <c r="L33" i="22"/>
  <c r="S33" i="22" s="1"/>
  <c r="K33" i="22"/>
  <c r="J33" i="22"/>
  <c r="S32" i="22"/>
  <c r="R32" i="22"/>
  <c r="Q32" i="22"/>
  <c r="O32" i="22"/>
  <c r="N32" i="22"/>
  <c r="M32" i="22"/>
  <c r="P32" i="22" s="1"/>
  <c r="L32" i="22"/>
  <c r="K32" i="22"/>
  <c r="J32" i="22"/>
  <c r="M31" i="22"/>
  <c r="S31" i="22" s="1"/>
  <c r="L31" i="22"/>
  <c r="K31" i="22"/>
  <c r="J31" i="22"/>
  <c r="Q30" i="22"/>
  <c r="P30" i="22"/>
  <c r="O30" i="22"/>
  <c r="M30" i="22"/>
  <c r="N30" i="22" s="1"/>
  <c r="L30" i="22"/>
  <c r="K30" i="22"/>
  <c r="J30" i="22"/>
  <c r="S29" i="22"/>
  <c r="R29" i="22"/>
  <c r="P29" i="22"/>
  <c r="M29" i="22"/>
  <c r="Q29" i="22" s="1"/>
  <c r="L29" i="22"/>
  <c r="K29" i="22"/>
  <c r="J29" i="22"/>
  <c r="M28" i="22"/>
  <c r="S28" i="22" s="1"/>
  <c r="L28" i="22"/>
  <c r="K28" i="22"/>
  <c r="J28" i="22"/>
  <c r="S27" i="22"/>
  <c r="R27" i="22"/>
  <c r="Q27" i="22"/>
  <c r="P27" i="22"/>
  <c r="N27" i="22"/>
  <c r="M27" i="22"/>
  <c r="O27" i="22" s="1"/>
  <c r="L27" i="22"/>
  <c r="K27" i="22"/>
  <c r="J27" i="22"/>
  <c r="S26" i="22"/>
  <c r="M26" i="22"/>
  <c r="R26" i="22" s="1"/>
  <c r="L26" i="22"/>
  <c r="K26" i="22"/>
  <c r="J26" i="22"/>
  <c r="R25" i="22"/>
  <c r="P25" i="22"/>
  <c r="O25" i="22"/>
  <c r="N25" i="22"/>
  <c r="M25" i="22"/>
  <c r="L25" i="22"/>
  <c r="S25" i="22" s="1"/>
  <c r="K25" i="22"/>
  <c r="J25" i="22"/>
  <c r="S24" i="22"/>
  <c r="R24" i="22"/>
  <c r="Q24" i="22"/>
  <c r="O24" i="22"/>
  <c r="N24" i="22"/>
  <c r="M24" i="22"/>
  <c r="P24" i="22" s="1"/>
  <c r="I24" i="22" s="1"/>
  <c r="L24" i="22"/>
  <c r="K24" i="22"/>
  <c r="J24" i="22"/>
  <c r="M23" i="22"/>
  <c r="S23" i="22" s="1"/>
  <c r="L23" i="22"/>
  <c r="K23" i="22"/>
  <c r="J23" i="22"/>
  <c r="Q22" i="22"/>
  <c r="P22" i="22"/>
  <c r="O22" i="22"/>
  <c r="M22" i="22"/>
  <c r="N22" i="22" s="1"/>
  <c r="L22" i="22"/>
  <c r="K22" i="22"/>
  <c r="J22" i="22"/>
  <c r="S21" i="22"/>
  <c r="R21" i="22"/>
  <c r="P21" i="22"/>
  <c r="M21" i="22"/>
  <c r="Q21" i="22" s="1"/>
  <c r="L21" i="22"/>
  <c r="K21" i="22"/>
  <c r="J21" i="22"/>
  <c r="M20" i="22"/>
  <c r="S20" i="22" s="1"/>
  <c r="L20" i="22"/>
  <c r="K20" i="22"/>
  <c r="J20" i="22"/>
  <c r="S19" i="22"/>
  <c r="R19" i="22"/>
  <c r="Q19" i="22"/>
  <c r="P19" i="22"/>
  <c r="N19" i="22"/>
  <c r="M19" i="22"/>
  <c r="O19" i="22" s="1"/>
  <c r="L19" i="22"/>
  <c r="K19" i="22"/>
  <c r="J19" i="22"/>
  <c r="S18" i="22"/>
  <c r="M18" i="22"/>
  <c r="R18" i="22" s="1"/>
  <c r="L18" i="22"/>
  <c r="K18" i="22"/>
  <c r="J18" i="22"/>
  <c r="R17" i="22"/>
  <c r="P17" i="22"/>
  <c r="O17" i="22"/>
  <c r="N17" i="22"/>
  <c r="M17" i="22"/>
  <c r="L17" i="22"/>
  <c r="S17" i="22" s="1"/>
  <c r="K17" i="22"/>
  <c r="J17" i="22"/>
  <c r="S16" i="22"/>
  <c r="R16" i="22"/>
  <c r="Q16" i="22"/>
  <c r="O16" i="22"/>
  <c r="N16" i="22"/>
  <c r="M16" i="22"/>
  <c r="P16" i="22" s="1"/>
  <c r="L16" i="22"/>
  <c r="K16" i="22"/>
  <c r="J16" i="22"/>
  <c r="M15" i="22"/>
  <c r="S15" i="22" s="1"/>
  <c r="L15" i="22"/>
  <c r="K15" i="22"/>
  <c r="J15" i="22"/>
  <c r="Q14" i="22"/>
  <c r="P14" i="22"/>
  <c r="O14" i="22"/>
  <c r="M14" i="22"/>
  <c r="N14" i="22" s="1"/>
  <c r="L14" i="22"/>
  <c r="K14" i="22"/>
  <c r="J14" i="22"/>
  <c r="S13" i="22"/>
  <c r="R13" i="22"/>
  <c r="P13" i="22"/>
  <c r="M13" i="22"/>
  <c r="Q13" i="22" s="1"/>
  <c r="L13" i="22"/>
  <c r="K13" i="22"/>
  <c r="J13" i="22"/>
  <c r="J50" i="22" s="1"/>
  <c r="R49" i="21"/>
  <c r="P49" i="21"/>
  <c r="O49" i="21"/>
  <c r="N49" i="21"/>
  <c r="M49" i="21"/>
  <c r="Q49" i="21" s="1"/>
  <c r="L49" i="21"/>
  <c r="K49" i="21"/>
  <c r="S49" i="21" s="1"/>
  <c r="J49" i="21"/>
  <c r="R48" i="21"/>
  <c r="Q48" i="21"/>
  <c r="O48" i="21"/>
  <c r="N48" i="21"/>
  <c r="M48" i="21"/>
  <c r="P48" i="21" s="1"/>
  <c r="L48" i="21"/>
  <c r="K48" i="21"/>
  <c r="S48" i="21" s="1"/>
  <c r="J48" i="21"/>
  <c r="M47" i="21"/>
  <c r="S47" i="21" s="1"/>
  <c r="L47" i="21"/>
  <c r="Q47" i="21" s="1"/>
  <c r="K47" i="21"/>
  <c r="J47" i="21"/>
  <c r="P46" i="21"/>
  <c r="O46" i="21"/>
  <c r="M46" i="21"/>
  <c r="N46" i="21" s="1"/>
  <c r="L46" i="21"/>
  <c r="K46" i="21"/>
  <c r="J46" i="21"/>
  <c r="S45" i="21"/>
  <c r="R45" i="21"/>
  <c r="P45" i="21"/>
  <c r="O45" i="21"/>
  <c r="N45" i="21"/>
  <c r="M45" i="21"/>
  <c r="L45" i="21"/>
  <c r="Q45" i="21" s="1"/>
  <c r="K45" i="21"/>
  <c r="J45" i="21"/>
  <c r="M44" i="21"/>
  <c r="S44" i="21" s="1"/>
  <c r="L44" i="21"/>
  <c r="K44" i="21"/>
  <c r="J44" i="21"/>
  <c r="P43" i="21"/>
  <c r="M43" i="21"/>
  <c r="O43" i="21" s="1"/>
  <c r="L43" i="21"/>
  <c r="K43" i="21"/>
  <c r="J43" i="21"/>
  <c r="S42" i="21"/>
  <c r="P42" i="21"/>
  <c r="M42" i="21"/>
  <c r="R42" i="21" s="1"/>
  <c r="L42" i="21"/>
  <c r="Q42" i="21" s="1"/>
  <c r="K42" i="21"/>
  <c r="J42" i="21"/>
  <c r="R41" i="21"/>
  <c r="P41" i="21"/>
  <c r="O41" i="21"/>
  <c r="N41" i="21"/>
  <c r="I41" i="21" s="1"/>
  <c r="M41" i="21"/>
  <c r="Q41" i="21" s="1"/>
  <c r="L41" i="21"/>
  <c r="K41" i="21"/>
  <c r="S41" i="21" s="1"/>
  <c r="J41" i="21"/>
  <c r="S40" i="21"/>
  <c r="R40" i="21"/>
  <c r="Q40" i="21"/>
  <c r="O40" i="21"/>
  <c r="N40" i="21"/>
  <c r="M40" i="21"/>
  <c r="P40" i="21" s="1"/>
  <c r="L40" i="21"/>
  <c r="K40" i="21"/>
  <c r="J40" i="21"/>
  <c r="M39" i="21"/>
  <c r="S39" i="21" s="1"/>
  <c r="L39" i="21"/>
  <c r="Q39" i="21" s="1"/>
  <c r="K39" i="21"/>
  <c r="J39" i="21"/>
  <c r="P38" i="21"/>
  <c r="O38" i="21"/>
  <c r="M38" i="21"/>
  <c r="N38" i="21" s="1"/>
  <c r="L38" i="21"/>
  <c r="K38" i="21"/>
  <c r="J38" i="21"/>
  <c r="S37" i="21"/>
  <c r="R37" i="21"/>
  <c r="P37" i="21"/>
  <c r="O37" i="21"/>
  <c r="N37" i="21"/>
  <c r="M37" i="21"/>
  <c r="L37" i="21"/>
  <c r="Q37" i="21" s="1"/>
  <c r="K37" i="21"/>
  <c r="J37" i="21"/>
  <c r="M36" i="21"/>
  <c r="S36" i="21" s="1"/>
  <c r="L36" i="21"/>
  <c r="K36" i="21"/>
  <c r="J36" i="21"/>
  <c r="P35" i="21"/>
  <c r="M35" i="21"/>
  <c r="O35" i="21" s="1"/>
  <c r="L35" i="21"/>
  <c r="K35" i="21"/>
  <c r="J35" i="21"/>
  <c r="S34" i="21"/>
  <c r="P34" i="21"/>
  <c r="M34" i="21"/>
  <c r="R34" i="21" s="1"/>
  <c r="L34" i="21"/>
  <c r="Q34" i="21" s="1"/>
  <c r="K34" i="21"/>
  <c r="J34" i="21"/>
  <c r="R33" i="21"/>
  <c r="P33" i="21"/>
  <c r="O33" i="21"/>
  <c r="N33" i="21"/>
  <c r="M33" i="21"/>
  <c r="Q33" i="21" s="1"/>
  <c r="L33" i="21"/>
  <c r="K33" i="21"/>
  <c r="S33" i="21" s="1"/>
  <c r="J33" i="21"/>
  <c r="S32" i="21"/>
  <c r="R32" i="21"/>
  <c r="Q32" i="21"/>
  <c r="O32" i="21"/>
  <c r="N32" i="21"/>
  <c r="M32" i="21"/>
  <c r="P32" i="21" s="1"/>
  <c r="L32" i="21"/>
  <c r="K32" i="21"/>
  <c r="J32" i="21"/>
  <c r="M31" i="21"/>
  <c r="S31" i="21" s="1"/>
  <c r="L31" i="21"/>
  <c r="Q31" i="21" s="1"/>
  <c r="K31" i="21"/>
  <c r="J31" i="21"/>
  <c r="P30" i="21"/>
  <c r="O30" i="21"/>
  <c r="M30" i="21"/>
  <c r="N30" i="21" s="1"/>
  <c r="L30" i="21"/>
  <c r="K30" i="21"/>
  <c r="J30" i="21"/>
  <c r="S29" i="21"/>
  <c r="R29" i="21"/>
  <c r="P29" i="21"/>
  <c r="O29" i="21"/>
  <c r="N29" i="21"/>
  <c r="M29" i="21"/>
  <c r="L29" i="21"/>
  <c r="Q29" i="21" s="1"/>
  <c r="K29" i="21"/>
  <c r="J29" i="21"/>
  <c r="M28" i="21"/>
  <c r="S28" i="21" s="1"/>
  <c r="L28" i="21"/>
  <c r="K28" i="21"/>
  <c r="J28" i="21"/>
  <c r="P27" i="21"/>
  <c r="M27" i="21"/>
  <c r="O27" i="21" s="1"/>
  <c r="L27" i="21"/>
  <c r="K27" i="21"/>
  <c r="J27" i="21"/>
  <c r="S26" i="21"/>
  <c r="P26" i="21"/>
  <c r="M26" i="21"/>
  <c r="R26" i="21" s="1"/>
  <c r="L26" i="21"/>
  <c r="Q26" i="21" s="1"/>
  <c r="K26" i="21"/>
  <c r="J26" i="21"/>
  <c r="R25" i="21"/>
  <c r="P25" i="21"/>
  <c r="O25" i="21"/>
  <c r="N25" i="21"/>
  <c r="M25" i="21"/>
  <c r="Q25" i="21" s="1"/>
  <c r="L25" i="21"/>
  <c r="K25" i="21"/>
  <c r="S25" i="21" s="1"/>
  <c r="J25" i="21"/>
  <c r="S24" i="21"/>
  <c r="R24" i="21"/>
  <c r="Q24" i="21"/>
  <c r="O24" i="21"/>
  <c r="N24" i="21"/>
  <c r="M24" i="21"/>
  <c r="P24" i="21" s="1"/>
  <c r="I24" i="21" s="1"/>
  <c r="L24" i="21"/>
  <c r="K24" i="21"/>
  <c r="J24" i="21"/>
  <c r="M23" i="21"/>
  <c r="S23" i="21" s="1"/>
  <c r="L23" i="21"/>
  <c r="Q23" i="21" s="1"/>
  <c r="K23" i="21"/>
  <c r="J23" i="21"/>
  <c r="P22" i="21"/>
  <c r="O22" i="21"/>
  <c r="M22" i="21"/>
  <c r="N22" i="21" s="1"/>
  <c r="L22" i="21"/>
  <c r="K22" i="21"/>
  <c r="J22" i="21"/>
  <c r="S21" i="21"/>
  <c r="R21" i="21"/>
  <c r="P21" i="21"/>
  <c r="O21" i="21"/>
  <c r="N21" i="21"/>
  <c r="M21" i="21"/>
  <c r="L21" i="21"/>
  <c r="Q21" i="21" s="1"/>
  <c r="K21" i="21"/>
  <c r="J21" i="21"/>
  <c r="M20" i="21"/>
  <c r="S20" i="21" s="1"/>
  <c r="L20" i="21"/>
  <c r="K20" i="21"/>
  <c r="J20" i="21"/>
  <c r="P19" i="21"/>
  <c r="M19" i="21"/>
  <c r="O19" i="21" s="1"/>
  <c r="L19" i="21"/>
  <c r="K19" i="21"/>
  <c r="J19" i="21"/>
  <c r="S18" i="21"/>
  <c r="P18" i="21"/>
  <c r="M18" i="21"/>
  <c r="R18" i="21" s="1"/>
  <c r="L18" i="21"/>
  <c r="Q18" i="21" s="1"/>
  <c r="K18" i="21"/>
  <c r="J18" i="21"/>
  <c r="R17" i="21"/>
  <c r="P17" i="21"/>
  <c r="O17" i="21"/>
  <c r="N17" i="21"/>
  <c r="M17" i="21"/>
  <c r="Q17" i="21" s="1"/>
  <c r="L17" i="21"/>
  <c r="K17" i="21"/>
  <c r="S17" i="21" s="1"/>
  <c r="J17" i="21"/>
  <c r="S16" i="21"/>
  <c r="R16" i="21"/>
  <c r="Q16" i="21"/>
  <c r="O16" i="21"/>
  <c r="N16" i="21"/>
  <c r="M16" i="21"/>
  <c r="P16" i="21" s="1"/>
  <c r="L16" i="21"/>
  <c r="K16" i="21"/>
  <c r="J16" i="21"/>
  <c r="Q15" i="21"/>
  <c r="M15" i="21"/>
  <c r="S15" i="21" s="1"/>
  <c r="L15" i="21"/>
  <c r="K15" i="21"/>
  <c r="J15" i="21"/>
  <c r="P14" i="21"/>
  <c r="O14" i="21"/>
  <c r="M14" i="21"/>
  <c r="N14" i="21" s="1"/>
  <c r="L14" i="21"/>
  <c r="K14" i="21"/>
  <c r="J14" i="21"/>
  <c r="S13" i="21"/>
  <c r="R13" i="21"/>
  <c r="P13" i="21"/>
  <c r="O13" i="21"/>
  <c r="N13" i="21"/>
  <c r="M13" i="21"/>
  <c r="L13" i="21"/>
  <c r="Q13" i="21" s="1"/>
  <c r="K13" i="21"/>
  <c r="J13" i="21"/>
  <c r="J50" i="21" s="1"/>
  <c r="P49" i="20"/>
  <c r="O49" i="20"/>
  <c r="N49" i="20"/>
  <c r="M49" i="20"/>
  <c r="R49" i="20" s="1"/>
  <c r="L49" i="20"/>
  <c r="S49" i="20" s="1"/>
  <c r="K49" i="20"/>
  <c r="J49" i="20"/>
  <c r="S48" i="20"/>
  <c r="R48" i="20"/>
  <c r="Q48" i="20"/>
  <c r="P48" i="20"/>
  <c r="O48" i="20"/>
  <c r="N48" i="20"/>
  <c r="M48" i="20"/>
  <c r="L48" i="20"/>
  <c r="K48" i="20"/>
  <c r="J48" i="20"/>
  <c r="M47" i="20"/>
  <c r="S47" i="20" s="1"/>
  <c r="L47" i="20"/>
  <c r="K47" i="20"/>
  <c r="J47" i="20"/>
  <c r="Q46" i="20"/>
  <c r="P46" i="20"/>
  <c r="O46" i="20"/>
  <c r="M46" i="20"/>
  <c r="N46" i="20" s="1"/>
  <c r="L46" i="20"/>
  <c r="K46" i="20"/>
  <c r="J46" i="20"/>
  <c r="S45" i="20"/>
  <c r="R45" i="20"/>
  <c r="P45" i="20"/>
  <c r="M45" i="20"/>
  <c r="Q45" i="20" s="1"/>
  <c r="L45" i="20"/>
  <c r="K45" i="20"/>
  <c r="J45" i="20"/>
  <c r="M44" i="20"/>
  <c r="S44" i="20" s="1"/>
  <c r="L44" i="20"/>
  <c r="K44" i="20"/>
  <c r="J44" i="20"/>
  <c r="R43" i="20"/>
  <c r="Q43" i="20"/>
  <c r="P43" i="20"/>
  <c r="N43" i="20"/>
  <c r="M43" i="20"/>
  <c r="O43" i="20" s="1"/>
  <c r="L43" i="20"/>
  <c r="K43" i="20"/>
  <c r="S43" i="20" s="1"/>
  <c r="J43" i="20"/>
  <c r="S42" i="20"/>
  <c r="M42" i="20"/>
  <c r="R42" i="20" s="1"/>
  <c r="L42" i="20"/>
  <c r="K42" i="20"/>
  <c r="J42" i="20"/>
  <c r="P41" i="20"/>
  <c r="O41" i="20"/>
  <c r="N41" i="20"/>
  <c r="M41" i="20"/>
  <c r="R41" i="20" s="1"/>
  <c r="L41" i="20"/>
  <c r="S41" i="20" s="1"/>
  <c r="K41" i="20"/>
  <c r="J41" i="20"/>
  <c r="S40" i="20"/>
  <c r="R40" i="20"/>
  <c r="Q40" i="20"/>
  <c r="P40" i="20"/>
  <c r="O40" i="20"/>
  <c r="N40" i="20"/>
  <c r="M40" i="20"/>
  <c r="L40" i="20"/>
  <c r="K40" i="20"/>
  <c r="J40" i="20"/>
  <c r="M39" i="20"/>
  <c r="S39" i="20" s="1"/>
  <c r="L39" i="20"/>
  <c r="K39" i="20"/>
  <c r="J39" i="20"/>
  <c r="Q38" i="20"/>
  <c r="P38" i="20"/>
  <c r="O38" i="20"/>
  <c r="M38" i="20"/>
  <c r="N38" i="20" s="1"/>
  <c r="L38" i="20"/>
  <c r="K38" i="20"/>
  <c r="J38" i="20"/>
  <c r="S37" i="20"/>
  <c r="R37" i="20"/>
  <c r="P37" i="20"/>
  <c r="M37" i="20"/>
  <c r="Q37" i="20" s="1"/>
  <c r="L37" i="20"/>
  <c r="K37" i="20"/>
  <c r="J37" i="20"/>
  <c r="M36" i="20"/>
  <c r="S36" i="20" s="1"/>
  <c r="L36" i="20"/>
  <c r="K36" i="20"/>
  <c r="J36" i="20"/>
  <c r="S35" i="20"/>
  <c r="R35" i="20"/>
  <c r="Q35" i="20"/>
  <c r="P35" i="20"/>
  <c r="N35" i="20"/>
  <c r="M35" i="20"/>
  <c r="O35" i="20" s="1"/>
  <c r="L35" i="20"/>
  <c r="K35" i="20"/>
  <c r="J35" i="20"/>
  <c r="S34" i="20"/>
  <c r="M34" i="20"/>
  <c r="R34" i="20" s="1"/>
  <c r="L34" i="20"/>
  <c r="K34" i="20"/>
  <c r="J34" i="20"/>
  <c r="P33" i="20"/>
  <c r="O33" i="20"/>
  <c r="N33" i="20"/>
  <c r="M33" i="20"/>
  <c r="R33" i="20" s="1"/>
  <c r="L33" i="20"/>
  <c r="S33" i="20" s="1"/>
  <c r="K33" i="20"/>
  <c r="J33" i="20"/>
  <c r="S32" i="20"/>
  <c r="R32" i="20"/>
  <c r="Q32" i="20"/>
  <c r="P32" i="20"/>
  <c r="O32" i="20"/>
  <c r="N32" i="20"/>
  <c r="I32" i="20" s="1"/>
  <c r="M32" i="20"/>
  <c r="L32" i="20"/>
  <c r="K32" i="20"/>
  <c r="J32" i="20"/>
  <c r="M31" i="20"/>
  <c r="S31" i="20" s="1"/>
  <c r="L31" i="20"/>
  <c r="K31" i="20"/>
  <c r="J31" i="20"/>
  <c r="Q30" i="20"/>
  <c r="P30" i="20"/>
  <c r="O30" i="20"/>
  <c r="M30" i="20"/>
  <c r="N30" i="20" s="1"/>
  <c r="L30" i="20"/>
  <c r="K30" i="20"/>
  <c r="J30" i="20"/>
  <c r="S29" i="20"/>
  <c r="R29" i="20"/>
  <c r="P29" i="20"/>
  <c r="M29" i="20"/>
  <c r="Q29" i="20" s="1"/>
  <c r="L29" i="20"/>
  <c r="K29" i="20"/>
  <c r="J29" i="20"/>
  <c r="M28" i="20"/>
  <c r="S28" i="20" s="1"/>
  <c r="L28" i="20"/>
  <c r="K28" i="20"/>
  <c r="J28" i="20"/>
  <c r="S27" i="20"/>
  <c r="R27" i="20"/>
  <c r="Q27" i="20"/>
  <c r="P27" i="20"/>
  <c r="N27" i="20"/>
  <c r="M27" i="20"/>
  <c r="O27" i="20" s="1"/>
  <c r="L27" i="20"/>
  <c r="K27" i="20"/>
  <c r="J27" i="20"/>
  <c r="S26" i="20"/>
  <c r="M26" i="20"/>
  <c r="R26" i="20" s="1"/>
  <c r="L26" i="20"/>
  <c r="K26" i="20"/>
  <c r="J26" i="20"/>
  <c r="P25" i="20"/>
  <c r="O25" i="20"/>
  <c r="N25" i="20"/>
  <c r="M25" i="20"/>
  <c r="R25" i="20" s="1"/>
  <c r="L25" i="20"/>
  <c r="S25" i="20" s="1"/>
  <c r="K25" i="20"/>
  <c r="J25" i="20"/>
  <c r="S24" i="20"/>
  <c r="R24" i="20"/>
  <c r="Q24" i="20"/>
  <c r="P24" i="20"/>
  <c r="O24" i="20"/>
  <c r="N24" i="20"/>
  <c r="M24" i="20"/>
  <c r="L24" i="20"/>
  <c r="K24" i="20"/>
  <c r="J24" i="20"/>
  <c r="M23" i="20"/>
  <c r="S23" i="20" s="1"/>
  <c r="L23" i="20"/>
  <c r="K23" i="20"/>
  <c r="J23" i="20"/>
  <c r="Q22" i="20"/>
  <c r="P22" i="20"/>
  <c r="O22" i="20"/>
  <c r="M22" i="20"/>
  <c r="N22" i="20" s="1"/>
  <c r="L22" i="20"/>
  <c r="K22" i="20"/>
  <c r="J22" i="20"/>
  <c r="S21" i="20"/>
  <c r="R21" i="20"/>
  <c r="P21" i="20"/>
  <c r="M21" i="20"/>
  <c r="Q21" i="20" s="1"/>
  <c r="L21" i="20"/>
  <c r="K21" i="20"/>
  <c r="J21" i="20"/>
  <c r="M20" i="20"/>
  <c r="S20" i="20" s="1"/>
  <c r="L20" i="20"/>
  <c r="K20" i="20"/>
  <c r="J20" i="20"/>
  <c r="S19" i="20"/>
  <c r="R19" i="20"/>
  <c r="Q19" i="20"/>
  <c r="P19" i="20"/>
  <c r="N19" i="20"/>
  <c r="M19" i="20"/>
  <c r="O19" i="20" s="1"/>
  <c r="L19" i="20"/>
  <c r="K19" i="20"/>
  <c r="J19" i="20"/>
  <c r="S18" i="20"/>
  <c r="M18" i="20"/>
  <c r="R18" i="20" s="1"/>
  <c r="L18" i="20"/>
  <c r="K18" i="20"/>
  <c r="J18" i="20"/>
  <c r="P17" i="20"/>
  <c r="O17" i="20"/>
  <c r="N17" i="20"/>
  <c r="M17" i="20"/>
  <c r="R17" i="20" s="1"/>
  <c r="L17" i="20"/>
  <c r="S17" i="20" s="1"/>
  <c r="K17" i="20"/>
  <c r="J17" i="20"/>
  <c r="S16" i="20"/>
  <c r="R16" i="20"/>
  <c r="Q16" i="20"/>
  <c r="P16" i="20"/>
  <c r="O16" i="20"/>
  <c r="N16" i="20"/>
  <c r="M16" i="20"/>
  <c r="L16" i="20"/>
  <c r="K16" i="20"/>
  <c r="J16" i="20"/>
  <c r="M15" i="20"/>
  <c r="S15" i="20" s="1"/>
  <c r="L15" i="20"/>
  <c r="K15" i="20"/>
  <c r="J15" i="20"/>
  <c r="Q14" i="20"/>
  <c r="P14" i="20"/>
  <c r="O14" i="20"/>
  <c r="M14" i="20"/>
  <c r="N14" i="20" s="1"/>
  <c r="L14" i="20"/>
  <c r="K14" i="20"/>
  <c r="J14" i="20"/>
  <c r="S13" i="20"/>
  <c r="R13" i="20"/>
  <c r="P13" i="20"/>
  <c r="M13" i="20"/>
  <c r="Q13" i="20" s="1"/>
  <c r="L13" i="20"/>
  <c r="K13" i="20"/>
  <c r="J13" i="20"/>
  <c r="J50" i="20" s="1"/>
  <c r="S49" i="19"/>
  <c r="R49" i="19"/>
  <c r="Q49" i="19"/>
  <c r="P49" i="19"/>
  <c r="O49" i="19"/>
  <c r="N49" i="19"/>
  <c r="M49" i="19"/>
  <c r="L49" i="19"/>
  <c r="K49" i="19"/>
  <c r="J49" i="19"/>
  <c r="S48" i="19"/>
  <c r="R48" i="19"/>
  <c r="Q48" i="19"/>
  <c r="N48" i="19"/>
  <c r="M48" i="19"/>
  <c r="P48" i="19" s="1"/>
  <c r="L48" i="19"/>
  <c r="K48" i="19"/>
  <c r="J48" i="19"/>
  <c r="M47" i="19"/>
  <c r="S47" i="19" s="1"/>
  <c r="L47" i="19"/>
  <c r="K47" i="19"/>
  <c r="J47" i="19"/>
  <c r="R46" i="19"/>
  <c r="Q46" i="19"/>
  <c r="P46" i="19"/>
  <c r="O46" i="19"/>
  <c r="N46" i="19"/>
  <c r="M46" i="19"/>
  <c r="L46" i="19"/>
  <c r="S46" i="19" s="1"/>
  <c r="K46" i="19"/>
  <c r="J46" i="19"/>
  <c r="S45" i="19"/>
  <c r="R45" i="19"/>
  <c r="M45" i="19"/>
  <c r="Q45" i="19" s="1"/>
  <c r="L45" i="19"/>
  <c r="K45" i="19"/>
  <c r="J45" i="19"/>
  <c r="M44" i="19"/>
  <c r="S44" i="19" s="1"/>
  <c r="L44" i="19"/>
  <c r="K44" i="19"/>
  <c r="J44" i="19"/>
  <c r="R43" i="19"/>
  <c r="Q43" i="19"/>
  <c r="P43" i="19"/>
  <c r="M43" i="19"/>
  <c r="O43" i="19" s="1"/>
  <c r="L43" i="19"/>
  <c r="K43" i="19"/>
  <c r="S43" i="19" s="1"/>
  <c r="J43" i="19"/>
  <c r="S42" i="19"/>
  <c r="M42" i="19"/>
  <c r="R42" i="19" s="1"/>
  <c r="L42" i="19"/>
  <c r="K42" i="19"/>
  <c r="J42" i="19"/>
  <c r="S41" i="19"/>
  <c r="R41" i="19"/>
  <c r="Q41" i="19"/>
  <c r="P41" i="19"/>
  <c r="O41" i="19"/>
  <c r="N41" i="19"/>
  <c r="M41" i="19"/>
  <c r="L41" i="19"/>
  <c r="K41" i="19"/>
  <c r="J41" i="19"/>
  <c r="S40" i="19"/>
  <c r="R40" i="19"/>
  <c r="Q40" i="19"/>
  <c r="N40" i="19"/>
  <c r="M40" i="19"/>
  <c r="P40" i="19" s="1"/>
  <c r="L40" i="19"/>
  <c r="K40" i="19"/>
  <c r="J40" i="19"/>
  <c r="M39" i="19"/>
  <c r="S39" i="19" s="1"/>
  <c r="L39" i="19"/>
  <c r="K39" i="19"/>
  <c r="J39" i="19"/>
  <c r="R38" i="19"/>
  <c r="Q38" i="19"/>
  <c r="P38" i="19"/>
  <c r="O38" i="19"/>
  <c r="N38" i="19"/>
  <c r="M38" i="19"/>
  <c r="L38" i="19"/>
  <c r="S38" i="19" s="1"/>
  <c r="K38" i="19"/>
  <c r="J38" i="19"/>
  <c r="S37" i="19"/>
  <c r="R37" i="19"/>
  <c r="M37" i="19"/>
  <c r="Q37" i="19" s="1"/>
  <c r="L37" i="19"/>
  <c r="K37" i="19"/>
  <c r="J37" i="19"/>
  <c r="M36" i="19"/>
  <c r="R36" i="19" s="1"/>
  <c r="L36" i="19"/>
  <c r="K36" i="19"/>
  <c r="J36" i="19"/>
  <c r="R35" i="19"/>
  <c r="Q35" i="19"/>
  <c r="P35" i="19"/>
  <c r="M35" i="19"/>
  <c r="O35" i="19" s="1"/>
  <c r="L35" i="19"/>
  <c r="K35" i="19"/>
  <c r="S35" i="19" s="1"/>
  <c r="J35" i="19"/>
  <c r="S34" i="19"/>
  <c r="M34" i="19"/>
  <c r="R34" i="19" s="1"/>
  <c r="L34" i="19"/>
  <c r="K34" i="19"/>
  <c r="J34" i="19"/>
  <c r="S33" i="19"/>
  <c r="R33" i="19"/>
  <c r="Q33" i="19"/>
  <c r="P33" i="19"/>
  <c r="O33" i="19"/>
  <c r="N33" i="19"/>
  <c r="I33" i="19" s="1"/>
  <c r="M33" i="19"/>
  <c r="L33" i="19"/>
  <c r="K33" i="19"/>
  <c r="J33" i="19"/>
  <c r="S32" i="19"/>
  <c r="R32" i="19"/>
  <c r="Q32" i="19"/>
  <c r="N32" i="19"/>
  <c r="M32" i="19"/>
  <c r="P32" i="19" s="1"/>
  <c r="L32" i="19"/>
  <c r="K32" i="19"/>
  <c r="J32" i="19"/>
  <c r="M31" i="19"/>
  <c r="S31" i="19" s="1"/>
  <c r="L31" i="19"/>
  <c r="K31" i="19"/>
  <c r="J31" i="19"/>
  <c r="R30" i="19"/>
  <c r="Q30" i="19"/>
  <c r="P30" i="19"/>
  <c r="O30" i="19"/>
  <c r="N30" i="19"/>
  <c r="M30" i="19"/>
  <c r="L30" i="19"/>
  <c r="S30" i="19" s="1"/>
  <c r="K30" i="19"/>
  <c r="J30" i="19"/>
  <c r="S29" i="19"/>
  <c r="R29" i="19"/>
  <c r="M29" i="19"/>
  <c r="Q29" i="19" s="1"/>
  <c r="L29" i="19"/>
  <c r="K29" i="19"/>
  <c r="J29" i="19"/>
  <c r="M28" i="19"/>
  <c r="R28" i="19" s="1"/>
  <c r="L28" i="19"/>
  <c r="K28" i="19"/>
  <c r="J28" i="19"/>
  <c r="S27" i="19"/>
  <c r="R27" i="19"/>
  <c r="Q27" i="19"/>
  <c r="P27" i="19"/>
  <c r="M27" i="19"/>
  <c r="O27" i="19" s="1"/>
  <c r="L27" i="19"/>
  <c r="K27" i="19"/>
  <c r="J27" i="19"/>
  <c r="S26" i="19"/>
  <c r="M26" i="19"/>
  <c r="R26" i="19" s="1"/>
  <c r="L26" i="19"/>
  <c r="K26" i="19"/>
  <c r="J26" i="19"/>
  <c r="S25" i="19"/>
  <c r="R25" i="19"/>
  <c r="Q25" i="19"/>
  <c r="P25" i="19"/>
  <c r="O25" i="19"/>
  <c r="N25" i="19"/>
  <c r="M25" i="19"/>
  <c r="L25" i="19"/>
  <c r="K25" i="19"/>
  <c r="J25" i="19"/>
  <c r="S24" i="19"/>
  <c r="R24" i="19"/>
  <c r="Q24" i="19"/>
  <c r="N24" i="19"/>
  <c r="M24" i="19"/>
  <c r="P24" i="19" s="1"/>
  <c r="L24" i="19"/>
  <c r="K24" i="19"/>
  <c r="J24" i="19"/>
  <c r="M23" i="19"/>
  <c r="S23" i="19" s="1"/>
  <c r="L23" i="19"/>
  <c r="K23" i="19"/>
  <c r="J23" i="19"/>
  <c r="R22" i="19"/>
  <c r="Q22" i="19"/>
  <c r="P22" i="19"/>
  <c r="O22" i="19"/>
  <c r="N22" i="19"/>
  <c r="M22" i="19"/>
  <c r="L22" i="19"/>
  <c r="S22" i="19" s="1"/>
  <c r="K22" i="19"/>
  <c r="J22" i="19"/>
  <c r="S21" i="19"/>
  <c r="R21" i="19"/>
  <c r="M21" i="19"/>
  <c r="Q21" i="19" s="1"/>
  <c r="L21" i="19"/>
  <c r="K21" i="19"/>
  <c r="J21" i="19"/>
  <c r="M20" i="19"/>
  <c r="O20" i="19" s="1"/>
  <c r="L20" i="19"/>
  <c r="K20" i="19"/>
  <c r="J20" i="19"/>
  <c r="S19" i="19"/>
  <c r="R19" i="19"/>
  <c r="Q19" i="19"/>
  <c r="P19" i="19"/>
  <c r="M19" i="19"/>
  <c r="O19" i="19" s="1"/>
  <c r="L19" i="19"/>
  <c r="K19" i="19"/>
  <c r="J19" i="19"/>
  <c r="S18" i="19"/>
  <c r="M18" i="19"/>
  <c r="R18" i="19" s="1"/>
  <c r="L18" i="19"/>
  <c r="K18" i="19"/>
  <c r="J18" i="19"/>
  <c r="S17" i="19"/>
  <c r="R17" i="19"/>
  <c r="Q17" i="19"/>
  <c r="P17" i="19"/>
  <c r="O17" i="19"/>
  <c r="N17" i="19"/>
  <c r="M17" i="19"/>
  <c r="L17" i="19"/>
  <c r="K17" i="19"/>
  <c r="J17" i="19"/>
  <c r="S16" i="19"/>
  <c r="R16" i="19"/>
  <c r="Q16" i="19"/>
  <c r="N16" i="19"/>
  <c r="M16" i="19"/>
  <c r="P16" i="19" s="1"/>
  <c r="L16" i="19"/>
  <c r="K16" i="19"/>
  <c r="J16" i="19"/>
  <c r="M15" i="19"/>
  <c r="S15" i="19" s="1"/>
  <c r="L15" i="19"/>
  <c r="K15" i="19"/>
  <c r="J15" i="19"/>
  <c r="R14" i="19"/>
  <c r="Q14" i="19"/>
  <c r="P14" i="19"/>
  <c r="O14" i="19"/>
  <c r="N14" i="19"/>
  <c r="M14" i="19"/>
  <c r="L14" i="19"/>
  <c r="S14" i="19" s="1"/>
  <c r="K14" i="19"/>
  <c r="J14" i="19"/>
  <c r="S13" i="19"/>
  <c r="R13" i="19"/>
  <c r="M13" i="19"/>
  <c r="Q13" i="19" s="1"/>
  <c r="L13" i="19"/>
  <c r="K13" i="19"/>
  <c r="J13" i="19"/>
  <c r="J50" i="19" s="1"/>
  <c r="S49" i="18"/>
  <c r="R49" i="18"/>
  <c r="Q49" i="18"/>
  <c r="P49" i="18"/>
  <c r="O49" i="18"/>
  <c r="N49" i="18"/>
  <c r="M49" i="18"/>
  <c r="L49" i="18"/>
  <c r="K49" i="18"/>
  <c r="J49" i="18"/>
  <c r="S48" i="18"/>
  <c r="R48" i="18"/>
  <c r="Q48" i="18"/>
  <c r="N48" i="18"/>
  <c r="M48" i="18"/>
  <c r="P48" i="18" s="1"/>
  <c r="L48" i="18"/>
  <c r="K48" i="18"/>
  <c r="J48" i="18"/>
  <c r="M47" i="18"/>
  <c r="S47" i="18" s="1"/>
  <c r="L47" i="18"/>
  <c r="K47" i="18"/>
  <c r="J47" i="18"/>
  <c r="R46" i="18"/>
  <c r="Q46" i="18"/>
  <c r="P46" i="18"/>
  <c r="O46" i="18"/>
  <c r="N46" i="18"/>
  <c r="M46" i="18"/>
  <c r="L46" i="18"/>
  <c r="S46" i="18" s="1"/>
  <c r="K46" i="18"/>
  <c r="J46" i="18"/>
  <c r="S45" i="18"/>
  <c r="R45" i="18"/>
  <c r="M45" i="18"/>
  <c r="Q45" i="18" s="1"/>
  <c r="L45" i="18"/>
  <c r="K45" i="18"/>
  <c r="J45" i="18"/>
  <c r="M44" i="18"/>
  <c r="R44" i="18" s="1"/>
  <c r="L44" i="18"/>
  <c r="K44" i="18"/>
  <c r="J44" i="18"/>
  <c r="R43" i="18"/>
  <c r="Q43" i="18"/>
  <c r="P43" i="18"/>
  <c r="M43" i="18"/>
  <c r="O43" i="18" s="1"/>
  <c r="L43" i="18"/>
  <c r="K43" i="18"/>
  <c r="S43" i="18" s="1"/>
  <c r="J43" i="18"/>
  <c r="S42" i="18"/>
  <c r="M42" i="18"/>
  <c r="R42" i="18" s="1"/>
  <c r="L42" i="18"/>
  <c r="K42" i="18"/>
  <c r="J42" i="18"/>
  <c r="S41" i="18"/>
  <c r="R41" i="18"/>
  <c r="Q41" i="18"/>
  <c r="P41" i="18"/>
  <c r="O41" i="18"/>
  <c r="N41" i="18"/>
  <c r="M41" i="18"/>
  <c r="L41" i="18"/>
  <c r="K41" i="18"/>
  <c r="J41" i="18"/>
  <c r="S40" i="18"/>
  <c r="R40" i="18"/>
  <c r="Q40" i="18"/>
  <c r="N40" i="18"/>
  <c r="M40" i="18"/>
  <c r="P40" i="18" s="1"/>
  <c r="L40" i="18"/>
  <c r="K40" i="18"/>
  <c r="J40" i="18"/>
  <c r="M39" i="18"/>
  <c r="S39" i="18" s="1"/>
  <c r="L39" i="18"/>
  <c r="K39" i="18"/>
  <c r="J39" i="18"/>
  <c r="R38" i="18"/>
  <c r="Q38" i="18"/>
  <c r="P38" i="18"/>
  <c r="O38" i="18"/>
  <c r="N38" i="18"/>
  <c r="M38" i="18"/>
  <c r="L38" i="18"/>
  <c r="S38" i="18" s="1"/>
  <c r="K38" i="18"/>
  <c r="J38" i="18"/>
  <c r="S37" i="18"/>
  <c r="R37" i="18"/>
  <c r="M37" i="18"/>
  <c r="Q37" i="18" s="1"/>
  <c r="L37" i="18"/>
  <c r="K37" i="18"/>
  <c r="J37" i="18"/>
  <c r="M36" i="18"/>
  <c r="O36" i="18" s="1"/>
  <c r="L36" i="18"/>
  <c r="K36" i="18"/>
  <c r="J36" i="18"/>
  <c r="S35" i="18"/>
  <c r="R35" i="18"/>
  <c r="Q35" i="18"/>
  <c r="P35" i="18"/>
  <c r="M35" i="18"/>
  <c r="O35" i="18" s="1"/>
  <c r="L35" i="18"/>
  <c r="K35" i="18"/>
  <c r="J35" i="18"/>
  <c r="S34" i="18"/>
  <c r="M34" i="18"/>
  <c r="R34" i="18" s="1"/>
  <c r="L34" i="18"/>
  <c r="K34" i="18"/>
  <c r="J34" i="18"/>
  <c r="S33" i="18"/>
  <c r="R33" i="18"/>
  <c r="Q33" i="18"/>
  <c r="P33" i="18"/>
  <c r="O33" i="18"/>
  <c r="N33" i="18"/>
  <c r="M33" i="18"/>
  <c r="L33" i="18"/>
  <c r="K33" i="18"/>
  <c r="J33" i="18"/>
  <c r="S32" i="18"/>
  <c r="R32" i="18"/>
  <c r="Q32" i="18"/>
  <c r="N32" i="18"/>
  <c r="M32" i="18"/>
  <c r="P32" i="18" s="1"/>
  <c r="L32" i="18"/>
  <c r="K32" i="18"/>
  <c r="J32" i="18"/>
  <c r="M31" i="18"/>
  <c r="S31" i="18" s="1"/>
  <c r="L31" i="18"/>
  <c r="K31" i="18"/>
  <c r="J31" i="18"/>
  <c r="R30" i="18"/>
  <c r="Q30" i="18"/>
  <c r="P30" i="18"/>
  <c r="O30" i="18"/>
  <c r="N30" i="18"/>
  <c r="M30" i="18"/>
  <c r="L30" i="18"/>
  <c r="S30" i="18" s="1"/>
  <c r="K30" i="18"/>
  <c r="J30" i="18"/>
  <c r="S29" i="18"/>
  <c r="R29" i="18"/>
  <c r="M29" i="18"/>
  <c r="Q29" i="18" s="1"/>
  <c r="L29" i="18"/>
  <c r="K29" i="18"/>
  <c r="J29" i="18"/>
  <c r="M28" i="18"/>
  <c r="O28" i="18" s="1"/>
  <c r="L28" i="18"/>
  <c r="K28" i="18"/>
  <c r="J28" i="18"/>
  <c r="S27" i="18"/>
  <c r="R27" i="18"/>
  <c r="Q27" i="18"/>
  <c r="P27" i="18"/>
  <c r="M27" i="18"/>
  <c r="O27" i="18" s="1"/>
  <c r="L27" i="18"/>
  <c r="K27" i="18"/>
  <c r="J27" i="18"/>
  <c r="S26" i="18"/>
  <c r="M26" i="18"/>
  <c r="R26" i="18" s="1"/>
  <c r="L26" i="18"/>
  <c r="K26" i="18"/>
  <c r="J26" i="18"/>
  <c r="S25" i="18"/>
  <c r="R25" i="18"/>
  <c r="Q25" i="18"/>
  <c r="P25" i="18"/>
  <c r="O25" i="18"/>
  <c r="N25" i="18"/>
  <c r="M25" i="18"/>
  <c r="L25" i="18"/>
  <c r="K25" i="18"/>
  <c r="J25" i="18"/>
  <c r="S24" i="18"/>
  <c r="R24" i="18"/>
  <c r="Q24" i="18"/>
  <c r="N24" i="18"/>
  <c r="M24" i="18"/>
  <c r="P24" i="18" s="1"/>
  <c r="L24" i="18"/>
  <c r="K24" i="18"/>
  <c r="J24" i="18"/>
  <c r="M23" i="18"/>
  <c r="S23" i="18" s="1"/>
  <c r="L23" i="18"/>
  <c r="K23" i="18"/>
  <c r="J23" i="18"/>
  <c r="R22" i="18"/>
  <c r="Q22" i="18"/>
  <c r="P22" i="18"/>
  <c r="O22" i="18"/>
  <c r="N22" i="18"/>
  <c r="M22" i="18"/>
  <c r="L22" i="18"/>
  <c r="S22" i="18" s="1"/>
  <c r="K22" i="18"/>
  <c r="J22" i="18"/>
  <c r="S21" i="18"/>
  <c r="R21" i="18"/>
  <c r="M21" i="18"/>
  <c r="Q21" i="18" s="1"/>
  <c r="L21" i="18"/>
  <c r="K21" i="18"/>
  <c r="J21" i="18"/>
  <c r="M20" i="18"/>
  <c r="N20" i="18" s="1"/>
  <c r="L20" i="18"/>
  <c r="K20" i="18"/>
  <c r="J20" i="18"/>
  <c r="S19" i="18"/>
  <c r="R19" i="18"/>
  <c r="Q19" i="18"/>
  <c r="P19" i="18"/>
  <c r="M19" i="18"/>
  <c r="O19" i="18" s="1"/>
  <c r="L19" i="18"/>
  <c r="K19" i="18"/>
  <c r="J19" i="18"/>
  <c r="S18" i="18"/>
  <c r="M18" i="18"/>
  <c r="R18" i="18" s="1"/>
  <c r="L18" i="18"/>
  <c r="K18" i="18"/>
  <c r="J18" i="18"/>
  <c r="S17" i="18"/>
  <c r="R17" i="18"/>
  <c r="Q17" i="18"/>
  <c r="P17" i="18"/>
  <c r="O17" i="18"/>
  <c r="N17" i="18"/>
  <c r="M17" i="18"/>
  <c r="L17" i="18"/>
  <c r="K17" i="18"/>
  <c r="J17" i="18"/>
  <c r="S16" i="18"/>
  <c r="R16" i="18"/>
  <c r="Q16" i="18"/>
  <c r="N16" i="18"/>
  <c r="M16" i="18"/>
  <c r="P16" i="18" s="1"/>
  <c r="L16" i="18"/>
  <c r="K16" i="18"/>
  <c r="J16" i="18"/>
  <c r="M15" i="18"/>
  <c r="S15" i="18" s="1"/>
  <c r="L15" i="18"/>
  <c r="K15" i="18"/>
  <c r="J15" i="18"/>
  <c r="R14" i="18"/>
  <c r="Q14" i="18"/>
  <c r="P14" i="18"/>
  <c r="O14" i="18"/>
  <c r="N14" i="18"/>
  <c r="M14" i="18"/>
  <c r="L14" i="18"/>
  <c r="S14" i="18" s="1"/>
  <c r="K14" i="18"/>
  <c r="J14" i="18"/>
  <c r="S13" i="18"/>
  <c r="R13" i="18"/>
  <c r="M13" i="18"/>
  <c r="Q13" i="18" s="1"/>
  <c r="L13" i="18"/>
  <c r="K13" i="18"/>
  <c r="J13" i="18"/>
  <c r="J50" i="18" s="1"/>
  <c r="P49" i="17"/>
  <c r="O49" i="17"/>
  <c r="N49" i="17"/>
  <c r="M49" i="17"/>
  <c r="R49" i="17" s="1"/>
  <c r="L49" i="17"/>
  <c r="S49" i="17" s="1"/>
  <c r="K49" i="17"/>
  <c r="J49" i="17"/>
  <c r="S48" i="17"/>
  <c r="R48" i="17"/>
  <c r="Q48" i="17"/>
  <c r="P48" i="17"/>
  <c r="O48" i="17"/>
  <c r="N48" i="17"/>
  <c r="M48" i="17"/>
  <c r="L48" i="17"/>
  <c r="K48" i="17"/>
  <c r="J48" i="17"/>
  <c r="M47" i="17"/>
  <c r="S47" i="17" s="1"/>
  <c r="L47" i="17"/>
  <c r="K47" i="17"/>
  <c r="J47" i="17"/>
  <c r="Q46" i="17"/>
  <c r="P46" i="17"/>
  <c r="O46" i="17"/>
  <c r="M46" i="17"/>
  <c r="N46" i="17" s="1"/>
  <c r="L46" i="17"/>
  <c r="K46" i="17"/>
  <c r="J46" i="17"/>
  <c r="S45" i="17"/>
  <c r="R45" i="17"/>
  <c r="P45" i="17"/>
  <c r="M45" i="17"/>
  <c r="Q45" i="17" s="1"/>
  <c r="L45" i="17"/>
  <c r="K45" i="17"/>
  <c r="J45" i="17"/>
  <c r="M44" i="17"/>
  <c r="S44" i="17" s="1"/>
  <c r="L44" i="17"/>
  <c r="K44" i="17"/>
  <c r="J44" i="17"/>
  <c r="R43" i="17"/>
  <c r="Q43" i="17"/>
  <c r="P43" i="17"/>
  <c r="N43" i="17"/>
  <c r="M43" i="17"/>
  <c r="O43" i="17" s="1"/>
  <c r="L43" i="17"/>
  <c r="K43" i="17"/>
  <c r="S43" i="17" s="1"/>
  <c r="J43" i="17"/>
  <c r="S42" i="17"/>
  <c r="M42" i="17"/>
  <c r="R42" i="17" s="1"/>
  <c r="L42" i="17"/>
  <c r="K42" i="17"/>
  <c r="J42" i="17"/>
  <c r="Q41" i="17"/>
  <c r="P41" i="17"/>
  <c r="O41" i="17"/>
  <c r="N41" i="17"/>
  <c r="M41" i="17"/>
  <c r="R41" i="17" s="1"/>
  <c r="L41" i="17"/>
  <c r="S41" i="17" s="1"/>
  <c r="K41" i="17"/>
  <c r="J41" i="17"/>
  <c r="S40" i="17"/>
  <c r="R40" i="17"/>
  <c r="Q40" i="17"/>
  <c r="P40" i="17"/>
  <c r="O40" i="17"/>
  <c r="N40" i="17"/>
  <c r="M40" i="17"/>
  <c r="L40" i="17"/>
  <c r="K40" i="17"/>
  <c r="J40" i="17"/>
  <c r="M39" i="17"/>
  <c r="S39" i="17" s="1"/>
  <c r="L39" i="17"/>
  <c r="K39" i="17"/>
  <c r="J39" i="17"/>
  <c r="R38" i="17"/>
  <c r="Q38" i="17"/>
  <c r="P38" i="17"/>
  <c r="O38" i="17"/>
  <c r="M38" i="17"/>
  <c r="N38" i="17" s="1"/>
  <c r="L38" i="17"/>
  <c r="K38" i="17"/>
  <c r="J38" i="17"/>
  <c r="S37" i="17"/>
  <c r="R37" i="17"/>
  <c r="P37" i="17"/>
  <c r="M37" i="17"/>
  <c r="Q37" i="17" s="1"/>
  <c r="L37" i="17"/>
  <c r="K37" i="17"/>
  <c r="J37" i="17"/>
  <c r="M36" i="17"/>
  <c r="S36" i="17" s="1"/>
  <c r="L36" i="17"/>
  <c r="K36" i="17"/>
  <c r="J36" i="17"/>
  <c r="S35" i="17"/>
  <c r="R35" i="17"/>
  <c r="Q35" i="17"/>
  <c r="P35" i="17"/>
  <c r="N35" i="17"/>
  <c r="M35" i="17"/>
  <c r="O35" i="17" s="1"/>
  <c r="L35" i="17"/>
  <c r="K35" i="17"/>
  <c r="J35" i="17"/>
  <c r="S34" i="17"/>
  <c r="M34" i="17"/>
  <c r="R34" i="17" s="1"/>
  <c r="L34" i="17"/>
  <c r="K34" i="17"/>
  <c r="J34" i="17"/>
  <c r="Q33" i="17"/>
  <c r="P33" i="17"/>
  <c r="O33" i="17"/>
  <c r="N33" i="17"/>
  <c r="M33" i="17"/>
  <c r="R33" i="17" s="1"/>
  <c r="L33" i="17"/>
  <c r="S33" i="17" s="1"/>
  <c r="K33" i="17"/>
  <c r="J33" i="17"/>
  <c r="S32" i="17"/>
  <c r="R32" i="17"/>
  <c r="Q32" i="17"/>
  <c r="P32" i="17"/>
  <c r="O32" i="17"/>
  <c r="N32" i="17"/>
  <c r="I32" i="17" s="1"/>
  <c r="M32" i="17"/>
  <c r="L32" i="17"/>
  <c r="K32" i="17"/>
  <c r="J32" i="17"/>
  <c r="M31" i="17"/>
  <c r="S31" i="17" s="1"/>
  <c r="L31" i="17"/>
  <c r="K31" i="17"/>
  <c r="J31" i="17"/>
  <c r="Q30" i="17"/>
  <c r="P30" i="17"/>
  <c r="O30" i="17"/>
  <c r="M30" i="17"/>
  <c r="N30" i="17" s="1"/>
  <c r="L30" i="17"/>
  <c r="K30" i="17"/>
  <c r="J30" i="17"/>
  <c r="S29" i="17"/>
  <c r="R29" i="17"/>
  <c r="P29" i="17"/>
  <c r="M29" i="17"/>
  <c r="Q29" i="17" s="1"/>
  <c r="L29" i="17"/>
  <c r="K29" i="17"/>
  <c r="J29" i="17"/>
  <c r="M28" i="17"/>
  <c r="S28" i="17" s="1"/>
  <c r="L28" i="17"/>
  <c r="K28" i="17"/>
  <c r="J28" i="17"/>
  <c r="S27" i="17"/>
  <c r="R27" i="17"/>
  <c r="Q27" i="17"/>
  <c r="P27" i="17"/>
  <c r="N27" i="17"/>
  <c r="M27" i="17"/>
  <c r="O27" i="17" s="1"/>
  <c r="L27" i="17"/>
  <c r="K27" i="17"/>
  <c r="J27" i="17"/>
  <c r="S26" i="17"/>
  <c r="M26" i="17"/>
  <c r="R26" i="17" s="1"/>
  <c r="L26" i="17"/>
  <c r="K26" i="17"/>
  <c r="J26" i="17"/>
  <c r="P25" i="17"/>
  <c r="O25" i="17"/>
  <c r="N25" i="17"/>
  <c r="M25" i="17"/>
  <c r="R25" i="17" s="1"/>
  <c r="L25" i="17"/>
  <c r="S25" i="17" s="1"/>
  <c r="K25" i="17"/>
  <c r="J25" i="17"/>
  <c r="S24" i="17"/>
  <c r="R24" i="17"/>
  <c r="Q24" i="17"/>
  <c r="P24" i="17"/>
  <c r="O24" i="17"/>
  <c r="N24" i="17"/>
  <c r="M24" i="17"/>
  <c r="L24" i="17"/>
  <c r="K24" i="17"/>
  <c r="J24" i="17"/>
  <c r="M23" i="17"/>
  <c r="S23" i="17" s="1"/>
  <c r="L23" i="17"/>
  <c r="K23" i="17"/>
  <c r="J23" i="17"/>
  <c r="Q22" i="17"/>
  <c r="P22" i="17"/>
  <c r="O22" i="17"/>
  <c r="M22" i="17"/>
  <c r="N22" i="17" s="1"/>
  <c r="L22" i="17"/>
  <c r="K22" i="17"/>
  <c r="J22" i="17"/>
  <c r="S21" i="17"/>
  <c r="R21" i="17"/>
  <c r="P21" i="17"/>
  <c r="M21" i="17"/>
  <c r="Q21" i="17" s="1"/>
  <c r="L21" i="17"/>
  <c r="K21" i="17"/>
  <c r="J21" i="17"/>
  <c r="M20" i="17"/>
  <c r="S20" i="17" s="1"/>
  <c r="L20" i="17"/>
  <c r="K20" i="17"/>
  <c r="J20" i="17"/>
  <c r="S19" i="17"/>
  <c r="R19" i="17"/>
  <c r="Q19" i="17"/>
  <c r="P19" i="17"/>
  <c r="N19" i="17"/>
  <c r="M19" i="17"/>
  <c r="O19" i="17" s="1"/>
  <c r="L19" i="17"/>
  <c r="K19" i="17"/>
  <c r="J19" i="17"/>
  <c r="S18" i="17"/>
  <c r="M18" i="17"/>
  <c r="R18" i="17" s="1"/>
  <c r="L18" i="17"/>
  <c r="K18" i="17"/>
  <c r="J18" i="17"/>
  <c r="P17" i="17"/>
  <c r="O17" i="17"/>
  <c r="N17" i="17"/>
  <c r="M17" i="17"/>
  <c r="R17" i="17" s="1"/>
  <c r="L17" i="17"/>
  <c r="S17" i="17" s="1"/>
  <c r="K17" i="17"/>
  <c r="J17" i="17"/>
  <c r="S16" i="17"/>
  <c r="R16" i="17"/>
  <c r="Q16" i="17"/>
  <c r="P16" i="17"/>
  <c r="O16" i="17"/>
  <c r="N16" i="17"/>
  <c r="M16" i="17"/>
  <c r="L16" i="17"/>
  <c r="K16" i="17"/>
  <c r="J16" i="17"/>
  <c r="M15" i="17"/>
  <c r="S15" i="17" s="1"/>
  <c r="L15" i="17"/>
  <c r="K15" i="17"/>
  <c r="J15" i="17"/>
  <c r="Q14" i="17"/>
  <c r="P14" i="17"/>
  <c r="O14" i="17"/>
  <c r="M14" i="17"/>
  <c r="N14" i="17" s="1"/>
  <c r="L14" i="17"/>
  <c r="K14" i="17"/>
  <c r="J14" i="17"/>
  <c r="S13" i="17"/>
  <c r="R13" i="17"/>
  <c r="P13" i="17"/>
  <c r="M13" i="17"/>
  <c r="Q13" i="17" s="1"/>
  <c r="L13" i="17"/>
  <c r="K13" i="17"/>
  <c r="J13" i="17"/>
  <c r="J50" i="17" s="1"/>
  <c r="R49" i="16"/>
  <c r="Q49" i="16"/>
  <c r="P49" i="16"/>
  <c r="O49" i="16"/>
  <c r="N49" i="16"/>
  <c r="M49" i="16"/>
  <c r="L49" i="16"/>
  <c r="K49" i="16"/>
  <c r="S49" i="16" s="1"/>
  <c r="J49" i="16"/>
  <c r="R48" i="16"/>
  <c r="Q48" i="16"/>
  <c r="O48" i="16"/>
  <c r="N48" i="16"/>
  <c r="M48" i="16"/>
  <c r="P48" i="16" s="1"/>
  <c r="L48" i="16"/>
  <c r="K48" i="16"/>
  <c r="S48" i="16" s="1"/>
  <c r="J48" i="16"/>
  <c r="M47" i="16"/>
  <c r="L47" i="16"/>
  <c r="K47" i="16"/>
  <c r="J47" i="16"/>
  <c r="R46" i="16"/>
  <c r="Q46" i="16"/>
  <c r="P46" i="16"/>
  <c r="O46" i="16"/>
  <c r="M46" i="16"/>
  <c r="N46" i="16" s="1"/>
  <c r="L46" i="16"/>
  <c r="K46" i="16"/>
  <c r="J46" i="16"/>
  <c r="S45" i="16"/>
  <c r="R45" i="16"/>
  <c r="O45" i="16"/>
  <c r="M45" i="16"/>
  <c r="Q45" i="16" s="1"/>
  <c r="L45" i="16"/>
  <c r="K45" i="16"/>
  <c r="J45" i="16"/>
  <c r="M44" i="16"/>
  <c r="L44" i="16"/>
  <c r="K44" i="16"/>
  <c r="J44" i="16"/>
  <c r="R43" i="16"/>
  <c r="Q43" i="16"/>
  <c r="P43" i="16"/>
  <c r="M43" i="16"/>
  <c r="O43" i="16" s="1"/>
  <c r="L43" i="16"/>
  <c r="K43" i="16"/>
  <c r="J43" i="16"/>
  <c r="S42" i="16"/>
  <c r="M42" i="16"/>
  <c r="R42" i="16" s="1"/>
  <c r="L42" i="16"/>
  <c r="K42" i="16"/>
  <c r="J42" i="16"/>
  <c r="R41" i="16"/>
  <c r="Q41" i="16"/>
  <c r="P41" i="16"/>
  <c r="O41" i="16"/>
  <c r="N41" i="16"/>
  <c r="M41" i="16"/>
  <c r="L41" i="16"/>
  <c r="K41" i="16"/>
  <c r="S41" i="16" s="1"/>
  <c r="J41" i="16"/>
  <c r="R40" i="16"/>
  <c r="Q40" i="16"/>
  <c r="O40" i="16"/>
  <c r="N40" i="16"/>
  <c r="M40" i="16"/>
  <c r="P40" i="16" s="1"/>
  <c r="L40" i="16"/>
  <c r="K40" i="16"/>
  <c r="S40" i="16" s="1"/>
  <c r="J40" i="16"/>
  <c r="M39" i="16"/>
  <c r="L39" i="16"/>
  <c r="K39" i="16"/>
  <c r="J39" i="16"/>
  <c r="R38" i="16"/>
  <c r="Q38" i="16"/>
  <c r="P38" i="16"/>
  <c r="O38" i="16"/>
  <c r="M38" i="16"/>
  <c r="N38" i="16" s="1"/>
  <c r="L38" i="16"/>
  <c r="K38" i="16"/>
  <c r="J38" i="16"/>
  <c r="R37" i="16"/>
  <c r="O37" i="16"/>
  <c r="M37" i="16"/>
  <c r="Q37" i="16" s="1"/>
  <c r="L37" i="16"/>
  <c r="K37" i="16"/>
  <c r="S37" i="16" s="1"/>
  <c r="J37" i="16"/>
  <c r="M36" i="16"/>
  <c r="L36" i="16"/>
  <c r="K36" i="16"/>
  <c r="J36" i="16"/>
  <c r="R35" i="16"/>
  <c r="Q35" i="16"/>
  <c r="P35" i="16"/>
  <c r="M35" i="16"/>
  <c r="O35" i="16" s="1"/>
  <c r="L35" i="16"/>
  <c r="K35" i="16"/>
  <c r="J35" i="16"/>
  <c r="S34" i="16"/>
  <c r="M34" i="16"/>
  <c r="R34" i="16" s="1"/>
  <c r="L34" i="16"/>
  <c r="K34" i="16"/>
  <c r="J34" i="16"/>
  <c r="R33" i="16"/>
  <c r="Q33" i="16"/>
  <c r="P33" i="16"/>
  <c r="O33" i="16"/>
  <c r="N33" i="16"/>
  <c r="M33" i="16"/>
  <c r="L33" i="16"/>
  <c r="K33" i="16"/>
  <c r="S33" i="16" s="1"/>
  <c r="J33" i="16"/>
  <c r="R32" i="16"/>
  <c r="Q32" i="16"/>
  <c r="O32" i="16"/>
  <c r="N32" i="16"/>
  <c r="M32" i="16"/>
  <c r="P32" i="16" s="1"/>
  <c r="L32" i="16"/>
  <c r="K32" i="16"/>
  <c r="S32" i="16" s="1"/>
  <c r="J32" i="16"/>
  <c r="M31" i="16"/>
  <c r="L31" i="16"/>
  <c r="K31" i="16"/>
  <c r="J31" i="16"/>
  <c r="R30" i="16"/>
  <c r="Q30" i="16"/>
  <c r="P30" i="16"/>
  <c r="O30" i="16"/>
  <c r="M30" i="16"/>
  <c r="N30" i="16" s="1"/>
  <c r="L30" i="16"/>
  <c r="K30" i="16"/>
  <c r="J30" i="16"/>
  <c r="R29" i="16"/>
  <c r="O29" i="16"/>
  <c r="M29" i="16"/>
  <c r="Q29" i="16" s="1"/>
  <c r="L29" i="16"/>
  <c r="K29" i="16"/>
  <c r="S29" i="16" s="1"/>
  <c r="J29" i="16"/>
  <c r="M28" i="16"/>
  <c r="L28" i="16"/>
  <c r="K28" i="16"/>
  <c r="J28" i="16"/>
  <c r="R27" i="16"/>
  <c r="Q27" i="16"/>
  <c r="P27" i="16"/>
  <c r="M27" i="16"/>
  <c r="O27" i="16" s="1"/>
  <c r="L27" i="16"/>
  <c r="K27" i="16"/>
  <c r="J27" i="16"/>
  <c r="M26" i="16"/>
  <c r="R26" i="16" s="1"/>
  <c r="L26" i="16"/>
  <c r="S26" i="16" s="1"/>
  <c r="K26" i="16"/>
  <c r="J26" i="16"/>
  <c r="R25" i="16"/>
  <c r="Q25" i="16"/>
  <c r="P25" i="16"/>
  <c r="O25" i="16"/>
  <c r="N25" i="16"/>
  <c r="M25" i="16"/>
  <c r="L25" i="16"/>
  <c r="K25" i="16"/>
  <c r="S25" i="16" s="1"/>
  <c r="J25" i="16"/>
  <c r="S24" i="16"/>
  <c r="R24" i="16"/>
  <c r="Q24" i="16"/>
  <c r="O24" i="16"/>
  <c r="N24" i="16"/>
  <c r="M24" i="16"/>
  <c r="P24" i="16" s="1"/>
  <c r="L24" i="16"/>
  <c r="K24" i="16"/>
  <c r="J24" i="16"/>
  <c r="M23" i="16"/>
  <c r="L23" i="16"/>
  <c r="K23" i="16"/>
  <c r="J23" i="16"/>
  <c r="R22" i="16"/>
  <c r="Q22" i="16"/>
  <c r="P22" i="16"/>
  <c r="O22" i="16"/>
  <c r="M22" i="16"/>
  <c r="N22" i="16" s="1"/>
  <c r="L22" i="16"/>
  <c r="K22" i="16"/>
  <c r="J22" i="16"/>
  <c r="R21" i="16"/>
  <c r="O21" i="16"/>
  <c r="M21" i="16"/>
  <c r="L21" i="16"/>
  <c r="S21" i="16" s="1"/>
  <c r="K21" i="16"/>
  <c r="J21" i="16"/>
  <c r="M20" i="16"/>
  <c r="L20" i="16"/>
  <c r="K20" i="16"/>
  <c r="J20" i="16"/>
  <c r="R19" i="16"/>
  <c r="Q19" i="16"/>
  <c r="P19" i="16"/>
  <c r="M19" i="16"/>
  <c r="O19" i="16" s="1"/>
  <c r="L19" i="16"/>
  <c r="K19" i="16"/>
  <c r="J19" i="16"/>
  <c r="S18" i="16"/>
  <c r="M18" i="16"/>
  <c r="L18" i="16"/>
  <c r="K18" i="16"/>
  <c r="J18" i="16"/>
  <c r="R17" i="16"/>
  <c r="Q17" i="16"/>
  <c r="P17" i="16"/>
  <c r="O17" i="16"/>
  <c r="N17" i="16"/>
  <c r="M17" i="16"/>
  <c r="L17" i="16"/>
  <c r="K17" i="16"/>
  <c r="S17" i="16" s="1"/>
  <c r="J17" i="16"/>
  <c r="R16" i="16"/>
  <c r="Q16" i="16"/>
  <c r="O16" i="16"/>
  <c r="N16" i="16"/>
  <c r="M16" i="16"/>
  <c r="P16" i="16" s="1"/>
  <c r="L16" i="16"/>
  <c r="K16" i="16"/>
  <c r="S16" i="16" s="1"/>
  <c r="J16" i="16"/>
  <c r="N15" i="16"/>
  <c r="M15" i="16"/>
  <c r="L15" i="16"/>
  <c r="K15" i="16"/>
  <c r="J15" i="16"/>
  <c r="R14" i="16"/>
  <c r="Q14" i="16"/>
  <c r="P14" i="16"/>
  <c r="O14" i="16"/>
  <c r="M14" i="16"/>
  <c r="N14" i="16" s="1"/>
  <c r="L14" i="16"/>
  <c r="K14" i="16"/>
  <c r="J14" i="16"/>
  <c r="S13" i="16"/>
  <c r="R13" i="16"/>
  <c r="O13" i="16"/>
  <c r="M13" i="16"/>
  <c r="L13" i="16"/>
  <c r="K13" i="16"/>
  <c r="J13" i="16"/>
  <c r="P49" i="15"/>
  <c r="O49" i="15"/>
  <c r="N49" i="15"/>
  <c r="M49" i="15"/>
  <c r="S49" i="15" s="1"/>
  <c r="L49" i="15"/>
  <c r="Q49" i="15" s="1"/>
  <c r="K49" i="15"/>
  <c r="J49" i="15"/>
  <c r="S48" i="15"/>
  <c r="R48" i="15"/>
  <c r="Q48" i="15"/>
  <c r="P48" i="15"/>
  <c r="O48" i="15"/>
  <c r="M48" i="15"/>
  <c r="N48" i="15" s="1"/>
  <c r="L48" i="15"/>
  <c r="K48" i="15"/>
  <c r="J48" i="15"/>
  <c r="M47" i="15"/>
  <c r="S47" i="15" s="1"/>
  <c r="L47" i="15"/>
  <c r="K47" i="15"/>
  <c r="J47" i="15"/>
  <c r="Q46" i="15"/>
  <c r="P46" i="15"/>
  <c r="O46" i="15"/>
  <c r="M46" i="15"/>
  <c r="N46" i="15" s="1"/>
  <c r="L46" i="15"/>
  <c r="K46" i="15"/>
  <c r="J46" i="15"/>
  <c r="S45" i="15"/>
  <c r="R45" i="15"/>
  <c r="P45" i="15"/>
  <c r="M45" i="15"/>
  <c r="Q45" i="15" s="1"/>
  <c r="L45" i="15"/>
  <c r="K45" i="15"/>
  <c r="J45" i="15"/>
  <c r="M44" i="15"/>
  <c r="S44" i="15" s="1"/>
  <c r="L44" i="15"/>
  <c r="K44" i="15"/>
  <c r="J44" i="15"/>
  <c r="S43" i="15"/>
  <c r="R43" i="15"/>
  <c r="Q43" i="15"/>
  <c r="P43" i="15"/>
  <c r="O43" i="15"/>
  <c r="N43" i="15"/>
  <c r="M43" i="15"/>
  <c r="L43" i="15"/>
  <c r="K43" i="15"/>
  <c r="J43" i="15"/>
  <c r="S42" i="15"/>
  <c r="M42" i="15"/>
  <c r="R42" i="15" s="1"/>
  <c r="L42" i="15"/>
  <c r="K42" i="15"/>
  <c r="J42" i="15"/>
  <c r="P41" i="15"/>
  <c r="O41" i="15"/>
  <c r="N41" i="15"/>
  <c r="M41" i="15"/>
  <c r="S41" i="15" s="1"/>
  <c r="L41" i="15"/>
  <c r="Q41" i="15" s="1"/>
  <c r="K41" i="15"/>
  <c r="J41" i="15"/>
  <c r="S40" i="15"/>
  <c r="R40" i="15"/>
  <c r="Q40" i="15"/>
  <c r="P40" i="15"/>
  <c r="O40" i="15"/>
  <c r="N40" i="15"/>
  <c r="M40" i="15"/>
  <c r="L40" i="15"/>
  <c r="K40" i="15"/>
  <c r="J40" i="15"/>
  <c r="M39" i="15"/>
  <c r="S39" i="15" s="1"/>
  <c r="L39" i="15"/>
  <c r="K39" i="15"/>
  <c r="J39" i="15"/>
  <c r="Q38" i="15"/>
  <c r="P38" i="15"/>
  <c r="O38" i="15"/>
  <c r="M38" i="15"/>
  <c r="N38" i="15" s="1"/>
  <c r="L38" i="15"/>
  <c r="K38" i="15"/>
  <c r="J38" i="15"/>
  <c r="S37" i="15"/>
  <c r="R37" i="15"/>
  <c r="P37" i="15"/>
  <c r="M37" i="15"/>
  <c r="Q37" i="15" s="1"/>
  <c r="L37" i="15"/>
  <c r="K37" i="15"/>
  <c r="J37" i="15"/>
  <c r="M36" i="15"/>
  <c r="S36" i="15" s="1"/>
  <c r="L36" i="15"/>
  <c r="K36" i="15"/>
  <c r="J36" i="15"/>
  <c r="S35" i="15"/>
  <c r="R35" i="15"/>
  <c r="Q35" i="15"/>
  <c r="P35" i="15"/>
  <c r="O35" i="15"/>
  <c r="N35" i="15"/>
  <c r="M35" i="15"/>
  <c r="L35" i="15"/>
  <c r="K35" i="15"/>
  <c r="J35" i="15"/>
  <c r="S34" i="15"/>
  <c r="M34" i="15"/>
  <c r="R34" i="15" s="1"/>
  <c r="L34" i="15"/>
  <c r="K34" i="15"/>
  <c r="J34" i="15"/>
  <c r="P33" i="15"/>
  <c r="O33" i="15"/>
  <c r="N33" i="15"/>
  <c r="M33" i="15"/>
  <c r="S33" i="15" s="1"/>
  <c r="L33" i="15"/>
  <c r="Q33" i="15" s="1"/>
  <c r="K33" i="15"/>
  <c r="J33" i="15"/>
  <c r="S32" i="15"/>
  <c r="R32" i="15"/>
  <c r="Q32" i="15"/>
  <c r="P32" i="15"/>
  <c r="O32" i="15"/>
  <c r="N32" i="15"/>
  <c r="M32" i="15"/>
  <c r="L32" i="15"/>
  <c r="K32" i="15"/>
  <c r="J32" i="15"/>
  <c r="M31" i="15"/>
  <c r="S31" i="15" s="1"/>
  <c r="L31" i="15"/>
  <c r="K31" i="15"/>
  <c r="J31" i="15"/>
  <c r="Q30" i="15"/>
  <c r="P30" i="15"/>
  <c r="O30" i="15"/>
  <c r="M30" i="15"/>
  <c r="N30" i="15" s="1"/>
  <c r="L30" i="15"/>
  <c r="K30" i="15"/>
  <c r="J30" i="15"/>
  <c r="S29" i="15"/>
  <c r="R29" i="15"/>
  <c r="P29" i="15"/>
  <c r="M29" i="15"/>
  <c r="Q29" i="15" s="1"/>
  <c r="L29" i="15"/>
  <c r="K29" i="15"/>
  <c r="J29" i="15"/>
  <c r="M28" i="15"/>
  <c r="S28" i="15" s="1"/>
  <c r="L28" i="15"/>
  <c r="K28" i="15"/>
  <c r="J28" i="15"/>
  <c r="S27" i="15"/>
  <c r="R27" i="15"/>
  <c r="Q27" i="15"/>
  <c r="P27" i="15"/>
  <c r="O27" i="15"/>
  <c r="N27" i="15"/>
  <c r="M27" i="15"/>
  <c r="L27" i="15"/>
  <c r="K27" i="15"/>
  <c r="J27" i="15"/>
  <c r="S26" i="15"/>
  <c r="M26" i="15"/>
  <c r="R26" i="15" s="1"/>
  <c r="L26" i="15"/>
  <c r="K26" i="15"/>
  <c r="J26" i="15"/>
  <c r="P25" i="15"/>
  <c r="O25" i="15"/>
  <c r="N25" i="15"/>
  <c r="M25" i="15"/>
  <c r="S25" i="15" s="1"/>
  <c r="L25" i="15"/>
  <c r="Q25" i="15" s="1"/>
  <c r="K25" i="15"/>
  <c r="J25" i="15"/>
  <c r="S24" i="15"/>
  <c r="R24" i="15"/>
  <c r="Q24" i="15"/>
  <c r="P24" i="15"/>
  <c r="O24" i="15"/>
  <c r="N24" i="15"/>
  <c r="M24" i="15"/>
  <c r="L24" i="15"/>
  <c r="K24" i="15"/>
  <c r="J24" i="15"/>
  <c r="M23" i="15"/>
  <c r="S23" i="15" s="1"/>
  <c r="L23" i="15"/>
  <c r="K23" i="15"/>
  <c r="J23" i="15"/>
  <c r="Q22" i="15"/>
  <c r="P22" i="15"/>
  <c r="O22" i="15"/>
  <c r="M22" i="15"/>
  <c r="N22" i="15" s="1"/>
  <c r="L22" i="15"/>
  <c r="K22" i="15"/>
  <c r="J22" i="15"/>
  <c r="S21" i="15"/>
  <c r="R21" i="15"/>
  <c r="P21" i="15"/>
  <c r="M21" i="15"/>
  <c r="Q21" i="15" s="1"/>
  <c r="L21" i="15"/>
  <c r="K21" i="15"/>
  <c r="J21" i="15"/>
  <c r="M20" i="15"/>
  <c r="S20" i="15" s="1"/>
  <c r="L20" i="15"/>
  <c r="K20" i="15"/>
  <c r="J20" i="15"/>
  <c r="S19" i="15"/>
  <c r="R19" i="15"/>
  <c r="Q19" i="15"/>
  <c r="P19" i="15"/>
  <c r="O19" i="15"/>
  <c r="N19" i="15"/>
  <c r="M19" i="15"/>
  <c r="L19" i="15"/>
  <c r="K19" i="15"/>
  <c r="J19" i="15"/>
  <c r="S18" i="15"/>
  <c r="M18" i="15"/>
  <c r="R18" i="15" s="1"/>
  <c r="L18" i="15"/>
  <c r="K18" i="15"/>
  <c r="J18" i="15"/>
  <c r="P17" i="15"/>
  <c r="O17" i="15"/>
  <c r="N17" i="15"/>
  <c r="M17" i="15"/>
  <c r="S17" i="15" s="1"/>
  <c r="L17" i="15"/>
  <c r="Q17" i="15" s="1"/>
  <c r="K17" i="15"/>
  <c r="J17" i="15"/>
  <c r="S16" i="15"/>
  <c r="R16" i="15"/>
  <c r="Q16" i="15"/>
  <c r="P16" i="15"/>
  <c r="O16" i="15"/>
  <c r="N16" i="15"/>
  <c r="M16" i="15"/>
  <c r="L16" i="15"/>
  <c r="K16" i="15"/>
  <c r="J16" i="15"/>
  <c r="M15" i="15"/>
  <c r="S15" i="15" s="1"/>
  <c r="L15" i="15"/>
  <c r="K15" i="15"/>
  <c r="J15" i="15"/>
  <c r="Q14" i="15"/>
  <c r="P14" i="15"/>
  <c r="O14" i="15"/>
  <c r="M14" i="15"/>
  <c r="N14" i="15" s="1"/>
  <c r="L14" i="15"/>
  <c r="K14" i="15"/>
  <c r="J14" i="15"/>
  <c r="S13" i="15"/>
  <c r="R13" i="15"/>
  <c r="P13" i="15"/>
  <c r="M13" i="15"/>
  <c r="Q13" i="15" s="1"/>
  <c r="L13" i="15"/>
  <c r="K13" i="15"/>
  <c r="J13" i="15"/>
  <c r="J50" i="15" s="1"/>
  <c r="F3" i="26"/>
  <c r="F7" i="26"/>
  <c r="F11" i="26"/>
  <c r="F10" i="26"/>
  <c r="F4" i="26"/>
  <c r="F8" i="26"/>
  <c r="F12" i="26"/>
  <c r="F5" i="26"/>
  <c r="F9" i="26"/>
  <c r="F13" i="26"/>
  <c r="F6" i="26"/>
  <c r="D3" i="26"/>
  <c r="D7" i="26"/>
  <c r="D11" i="26"/>
  <c r="D10" i="26"/>
  <c r="D4" i="26"/>
  <c r="D8" i="26"/>
  <c r="D12" i="26"/>
  <c r="D5" i="26"/>
  <c r="D9" i="26"/>
  <c r="D13" i="26"/>
  <c r="D6" i="26"/>
  <c r="F2" i="26"/>
  <c r="D2" i="26"/>
  <c r="B3" i="26"/>
  <c r="B7" i="26"/>
  <c r="B11" i="26"/>
  <c r="B10" i="26"/>
  <c r="B4" i="26"/>
  <c r="B8" i="26"/>
  <c r="B12" i="26"/>
  <c r="B5" i="26"/>
  <c r="B9" i="26"/>
  <c r="B13" i="26"/>
  <c r="B6" i="26"/>
  <c r="B2" i="26"/>
  <c r="I49" i="25" l="1"/>
  <c r="I48" i="21"/>
  <c r="I24" i="24"/>
  <c r="I14" i="25"/>
  <c r="I30" i="25"/>
  <c r="I30" i="24"/>
  <c r="I49" i="24"/>
  <c r="I16" i="24"/>
  <c r="I40" i="24"/>
  <c r="I41" i="25"/>
  <c r="I46" i="25"/>
  <c r="I25" i="25"/>
  <c r="O20" i="25"/>
  <c r="N31" i="25"/>
  <c r="N47" i="25"/>
  <c r="P20" i="25"/>
  <c r="I20" i="25" s="1"/>
  <c r="P28" i="25"/>
  <c r="O31" i="25"/>
  <c r="P36" i="25"/>
  <c r="P15" i="25"/>
  <c r="Q20" i="25"/>
  <c r="P39" i="25"/>
  <c r="O42" i="25"/>
  <c r="N45" i="25"/>
  <c r="I45" i="25" s="1"/>
  <c r="O13" i="25"/>
  <c r="Q15" i="25"/>
  <c r="N16" i="25"/>
  <c r="I16" i="25" s="1"/>
  <c r="P18" i="25"/>
  <c r="R20" i="25"/>
  <c r="O21" i="25"/>
  <c r="Q23" i="25"/>
  <c r="N24" i="25"/>
  <c r="I24" i="25" s="1"/>
  <c r="P26" i="25"/>
  <c r="R28" i="25"/>
  <c r="O29" i="25"/>
  <c r="Q31" i="25"/>
  <c r="N32" i="25"/>
  <c r="I32" i="25" s="1"/>
  <c r="P34" i="25"/>
  <c r="R36" i="25"/>
  <c r="O37" i="25"/>
  <c r="Q39" i="25"/>
  <c r="N40" i="25"/>
  <c r="I40" i="25" s="1"/>
  <c r="P42" i="25"/>
  <c r="R44" i="25"/>
  <c r="O45" i="25"/>
  <c r="Q47" i="25"/>
  <c r="N48" i="25"/>
  <c r="I48" i="25" s="1"/>
  <c r="O28" i="25"/>
  <c r="N39" i="25"/>
  <c r="O44" i="25"/>
  <c r="O15" i="25"/>
  <c r="N18" i="25"/>
  <c r="I18" i="25" s="1"/>
  <c r="N34" i="25"/>
  <c r="O39" i="25"/>
  <c r="N42" i="25"/>
  <c r="I42" i="25" s="1"/>
  <c r="O18" i="25"/>
  <c r="N21" i="25"/>
  <c r="P23" i="25"/>
  <c r="O26" i="25"/>
  <c r="N29" i="25"/>
  <c r="P31" i="25"/>
  <c r="Q36" i="25"/>
  <c r="P13" i="25"/>
  <c r="R15" i="25"/>
  <c r="O16" i="25"/>
  <c r="Q18" i="25"/>
  <c r="N19" i="25"/>
  <c r="I19" i="25" s="1"/>
  <c r="S20" i="25"/>
  <c r="P21" i="25"/>
  <c r="R23" i="25"/>
  <c r="O24" i="25"/>
  <c r="Q26" i="25"/>
  <c r="N27" i="25"/>
  <c r="I27" i="25" s="1"/>
  <c r="S28" i="25"/>
  <c r="P29" i="25"/>
  <c r="R31" i="25"/>
  <c r="O32" i="25"/>
  <c r="Q34" i="25"/>
  <c r="S36" i="25"/>
  <c r="P37" i="25"/>
  <c r="R39" i="25"/>
  <c r="O40" i="25"/>
  <c r="Q42" i="25"/>
  <c r="S44" i="25"/>
  <c r="P45" i="25"/>
  <c r="R47" i="25"/>
  <c r="O48" i="25"/>
  <c r="N28" i="25"/>
  <c r="I28" i="25" s="1"/>
  <c r="N36" i="25"/>
  <c r="N44" i="25"/>
  <c r="N15" i="25"/>
  <c r="N23" i="25"/>
  <c r="O23" i="25"/>
  <c r="N26" i="25"/>
  <c r="P44" i="25"/>
  <c r="O47" i="25"/>
  <c r="N13" i="25"/>
  <c r="O34" i="25"/>
  <c r="N37" i="25"/>
  <c r="P47" i="25"/>
  <c r="I19" i="22"/>
  <c r="I19" i="23"/>
  <c r="I25" i="24"/>
  <c r="I46" i="24"/>
  <c r="I17" i="24"/>
  <c r="I22" i="24"/>
  <c r="I41" i="24"/>
  <c r="I16" i="20"/>
  <c r="I21" i="21"/>
  <c r="I40" i="21"/>
  <c r="I32" i="24"/>
  <c r="I40" i="20"/>
  <c r="I17" i="21"/>
  <c r="I45" i="21"/>
  <c r="I33" i="22"/>
  <c r="I48" i="22"/>
  <c r="I33" i="23"/>
  <c r="I48" i="23"/>
  <c r="I14" i="24"/>
  <c r="I38" i="24"/>
  <c r="N44" i="24"/>
  <c r="I44" i="24" s="1"/>
  <c r="N23" i="24"/>
  <c r="N31" i="24"/>
  <c r="N47" i="24"/>
  <c r="I47" i="24" s="1"/>
  <c r="P20" i="24"/>
  <c r="O23" i="24"/>
  <c r="N26" i="24"/>
  <c r="P28" i="24"/>
  <c r="O31" i="24"/>
  <c r="N34" i="24"/>
  <c r="P36" i="24"/>
  <c r="O39" i="24"/>
  <c r="N42" i="24"/>
  <c r="P44" i="24"/>
  <c r="O47" i="24"/>
  <c r="N13" i="24"/>
  <c r="S14" i="24"/>
  <c r="P15" i="24"/>
  <c r="O18" i="24"/>
  <c r="Q20" i="24"/>
  <c r="N21" i="24"/>
  <c r="S22" i="24"/>
  <c r="P23" i="24"/>
  <c r="O26" i="24"/>
  <c r="Q28" i="24"/>
  <c r="N29" i="24"/>
  <c r="S30" i="24"/>
  <c r="P31" i="24"/>
  <c r="O34" i="24"/>
  <c r="Q36" i="24"/>
  <c r="N37" i="24"/>
  <c r="S38" i="24"/>
  <c r="P39" i="24"/>
  <c r="O42" i="24"/>
  <c r="Q44" i="24"/>
  <c r="N45" i="24"/>
  <c r="S46" i="24"/>
  <c r="P47" i="24"/>
  <c r="N20" i="24"/>
  <c r="N28" i="24"/>
  <c r="N36" i="24"/>
  <c r="N15" i="24"/>
  <c r="O20" i="24"/>
  <c r="O36" i="24"/>
  <c r="R28" i="24"/>
  <c r="O29" i="24"/>
  <c r="Q31" i="24"/>
  <c r="P34" i="24"/>
  <c r="P13" i="24"/>
  <c r="R15" i="24"/>
  <c r="Q18" i="24"/>
  <c r="N19" i="24"/>
  <c r="I19" i="24" s="1"/>
  <c r="S20" i="24"/>
  <c r="P21" i="24"/>
  <c r="R23" i="24"/>
  <c r="Q26" i="24"/>
  <c r="N27" i="24"/>
  <c r="I27" i="24" s="1"/>
  <c r="S28" i="24"/>
  <c r="P29" i="24"/>
  <c r="R31" i="24"/>
  <c r="Q34" i="24"/>
  <c r="N35" i="24"/>
  <c r="I35" i="24" s="1"/>
  <c r="S36" i="24"/>
  <c r="P37" i="24"/>
  <c r="R39" i="24"/>
  <c r="Q42" i="24"/>
  <c r="N43" i="24"/>
  <c r="I43" i="24" s="1"/>
  <c r="S44" i="24"/>
  <c r="P45" i="24"/>
  <c r="R47" i="24"/>
  <c r="N39" i="24"/>
  <c r="O44" i="24"/>
  <c r="O15" i="24"/>
  <c r="N18" i="24"/>
  <c r="O13" i="24"/>
  <c r="Q15" i="24"/>
  <c r="P18" i="24"/>
  <c r="O21" i="24"/>
  <c r="Q23" i="24"/>
  <c r="P26" i="24"/>
  <c r="O37" i="24"/>
  <c r="Q39" i="24"/>
  <c r="P42" i="24"/>
  <c r="O45" i="24"/>
  <c r="Q47" i="24"/>
  <c r="I49" i="23"/>
  <c r="I25" i="23"/>
  <c r="I40" i="23"/>
  <c r="I43" i="23"/>
  <c r="I16" i="23"/>
  <c r="I41" i="23"/>
  <c r="I27" i="23"/>
  <c r="I48" i="20"/>
  <c r="I17" i="23"/>
  <c r="I32" i="23"/>
  <c r="I35" i="23"/>
  <c r="O20" i="23"/>
  <c r="N23" i="23"/>
  <c r="O15" i="23"/>
  <c r="R22" i="23"/>
  <c r="I22" i="23" s="1"/>
  <c r="R30" i="23"/>
  <c r="I30" i="23" s="1"/>
  <c r="O39" i="23"/>
  <c r="Q41" i="23"/>
  <c r="N42" i="23"/>
  <c r="P44" i="23"/>
  <c r="N13" i="23"/>
  <c r="I13" i="23" s="1"/>
  <c r="S14" i="23"/>
  <c r="P15" i="23"/>
  <c r="O18" i="23"/>
  <c r="Q20" i="23"/>
  <c r="N21" i="23"/>
  <c r="I21" i="23" s="1"/>
  <c r="S22" i="23"/>
  <c r="P23" i="23"/>
  <c r="O26" i="23"/>
  <c r="Q28" i="23"/>
  <c r="N29" i="23"/>
  <c r="I29" i="23" s="1"/>
  <c r="S30" i="23"/>
  <c r="P31" i="23"/>
  <c r="O34" i="23"/>
  <c r="Q36" i="23"/>
  <c r="N37" i="23"/>
  <c r="I37" i="23" s="1"/>
  <c r="S38" i="23"/>
  <c r="P39" i="23"/>
  <c r="O42" i="23"/>
  <c r="Q44" i="23"/>
  <c r="N45" i="23"/>
  <c r="I45" i="23" s="1"/>
  <c r="S46" i="23"/>
  <c r="P47" i="23"/>
  <c r="N15" i="23"/>
  <c r="O28" i="23"/>
  <c r="N31" i="23"/>
  <c r="I31" i="23" s="1"/>
  <c r="O36" i="23"/>
  <c r="N39" i="23"/>
  <c r="O44" i="23"/>
  <c r="N47" i="23"/>
  <c r="R14" i="23"/>
  <c r="I14" i="23" s="1"/>
  <c r="Q17" i="23"/>
  <c r="N18" i="23"/>
  <c r="I18" i="23" s="1"/>
  <c r="P20" i="23"/>
  <c r="O23" i="23"/>
  <c r="Q25" i="23"/>
  <c r="N26" i="23"/>
  <c r="P28" i="23"/>
  <c r="O31" i="23"/>
  <c r="Q33" i="23"/>
  <c r="N34" i="23"/>
  <c r="I34" i="23" s="1"/>
  <c r="P36" i="23"/>
  <c r="R38" i="23"/>
  <c r="I38" i="23" s="1"/>
  <c r="R46" i="23"/>
  <c r="I46" i="23" s="1"/>
  <c r="O47" i="23"/>
  <c r="O13" i="23"/>
  <c r="Q15" i="23"/>
  <c r="P18" i="23"/>
  <c r="R20" i="23"/>
  <c r="O21" i="23"/>
  <c r="Q23" i="23"/>
  <c r="P26" i="23"/>
  <c r="R28" i="23"/>
  <c r="O29" i="23"/>
  <c r="Q31" i="23"/>
  <c r="P34" i="23"/>
  <c r="R36" i="23"/>
  <c r="O37" i="23"/>
  <c r="Q39" i="23"/>
  <c r="P42" i="23"/>
  <c r="R44" i="23"/>
  <c r="O45" i="23"/>
  <c r="Q47" i="23"/>
  <c r="N20" i="23"/>
  <c r="N28" i="23"/>
  <c r="N36" i="23"/>
  <c r="I36" i="23" s="1"/>
  <c r="N44" i="23"/>
  <c r="R15" i="23"/>
  <c r="Q18" i="23"/>
  <c r="R23" i="23"/>
  <c r="Q26" i="23"/>
  <c r="R31" i="23"/>
  <c r="Q34" i="23"/>
  <c r="R39" i="23"/>
  <c r="Q42" i="23"/>
  <c r="R47" i="23"/>
  <c r="I27" i="22"/>
  <c r="I49" i="22"/>
  <c r="I25" i="22"/>
  <c r="I40" i="22"/>
  <c r="I43" i="22"/>
  <c r="I41" i="22"/>
  <c r="I16" i="22"/>
  <c r="I17" i="22"/>
  <c r="I32" i="22"/>
  <c r="I35" i="22"/>
  <c r="N20" i="22"/>
  <c r="N23" i="22"/>
  <c r="O36" i="22"/>
  <c r="O44" i="22"/>
  <c r="O15" i="22"/>
  <c r="O23" i="22"/>
  <c r="Q25" i="22"/>
  <c r="N26" i="22"/>
  <c r="P28" i="22"/>
  <c r="R30" i="22"/>
  <c r="I30" i="22" s="1"/>
  <c r="O31" i="22"/>
  <c r="Q33" i="22"/>
  <c r="N34" i="22"/>
  <c r="P36" i="22"/>
  <c r="R38" i="22"/>
  <c r="I38" i="22" s="1"/>
  <c r="R46" i="22"/>
  <c r="I46" i="22" s="1"/>
  <c r="O47" i="22"/>
  <c r="N13" i="22"/>
  <c r="I13" i="22" s="1"/>
  <c r="S14" i="22"/>
  <c r="P15" i="22"/>
  <c r="O18" i="22"/>
  <c r="Q20" i="22"/>
  <c r="N21" i="22"/>
  <c r="I21" i="22" s="1"/>
  <c r="S22" i="22"/>
  <c r="P23" i="22"/>
  <c r="O26" i="22"/>
  <c r="Q28" i="22"/>
  <c r="N29" i="22"/>
  <c r="I29" i="22" s="1"/>
  <c r="S30" i="22"/>
  <c r="P31" i="22"/>
  <c r="O34" i="22"/>
  <c r="Q36" i="22"/>
  <c r="N37" i="22"/>
  <c r="I37" i="22" s="1"/>
  <c r="S38" i="22"/>
  <c r="P39" i="22"/>
  <c r="O42" i="22"/>
  <c r="Q44" i="22"/>
  <c r="N45" i="22"/>
  <c r="I45" i="22" s="1"/>
  <c r="S46" i="22"/>
  <c r="P47" i="22"/>
  <c r="N15" i="22"/>
  <c r="O20" i="22"/>
  <c r="O28" i="22"/>
  <c r="N31" i="22"/>
  <c r="N39" i="22"/>
  <c r="N47" i="22"/>
  <c r="R14" i="22"/>
  <c r="I14" i="22" s="1"/>
  <c r="Q17" i="22"/>
  <c r="N18" i="22"/>
  <c r="P20" i="22"/>
  <c r="R22" i="22"/>
  <c r="I22" i="22" s="1"/>
  <c r="O39" i="22"/>
  <c r="Q41" i="22"/>
  <c r="N42" i="22"/>
  <c r="P44" i="22"/>
  <c r="O13" i="22"/>
  <c r="Q15" i="22"/>
  <c r="P18" i="22"/>
  <c r="R20" i="22"/>
  <c r="O21" i="22"/>
  <c r="Q23" i="22"/>
  <c r="P26" i="22"/>
  <c r="R28" i="22"/>
  <c r="O29" i="22"/>
  <c r="Q31" i="22"/>
  <c r="P34" i="22"/>
  <c r="R36" i="22"/>
  <c r="O37" i="22"/>
  <c r="Q39" i="22"/>
  <c r="P42" i="22"/>
  <c r="R44" i="22"/>
  <c r="O45" i="22"/>
  <c r="Q47" i="22"/>
  <c r="N28" i="22"/>
  <c r="N36" i="22"/>
  <c r="I36" i="22" s="1"/>
  <c r="N44" i="22"/>
  <c r="R15" i="22"/>
  <c r="Q18" i="22"/>
  <c r="R23" i="22"/>
  <c r="Q26" i="22"/>
  <c r="R31" i="22"/>
  <c r="Q34" i="22"/>
  <c r="R39" i="22"/>
  <c r="Q42" i="22"/>
  <c r="R47" i="22"/>
  <c r="I41" i="20"/>
  <c r="I29" i="21"/>
  <c r="I13" i="21"/>
  <c r="I25" i="21"/>
  <c r="I49" i="21"/>
  <c r="I32" i="21"/>
  <c r="I37" i="21"/>
  <c r="I16" i="19"/>
  <c r="I24" i="20"/>
  <c r="I16" i="21"/>
  <c r="I33" i="21"/>
  <c r="Q27" i="21"/>
  <c r="N28" i="21"/>
  <c r="Q35" i="21"/>
  <c r="N36" i="21"/>
  <c r="Q43" i="21"/>
  <c r="N44" i="21"/>
  <c r="R19" i="21"/>
  <c r="O20" i="21"/>
  <c r="Q22" i="21"/>
  <c r="N23" i="21"/>
  <c r="R43" i="21"/>
  <c r="O44" i="21"/>
  <c r="Q46" i="21"/>
  <c r="N47" i="21"/>
  <c r="R14" i="21"/>
  <c r="I14" i="21" s="1"/>
  <c r="O15" i="21"/>
  <c r="N18" i="21"/>
  <c r="I18" i="21" s="1"/>
  <c r="S19" i="21"/>
  <c r="P20" i="21"/>
  <c r="R22" i="21"/>
  <c r="I22" i="21" s="1"/>
  <c r="O23" i="21"/>
  <c r="N26" i="21"/>
  <c r="I26" i="21" s="1"/>
  <c r="S27" i="21"/>
  <c r="P28" i="21"/>
  <c r="R30" i="21"/>
  <c r="I30" i="21" s="1"/>
  <c r="O31" i="21"/>
  <c r="N34" i="21"/>
  <c r="I34" i="21" s="1"/>
  <c r="S35" i="21"/>
  <c r="P36" i="21"/>
  <c r="R38" i="21"/>
  <c r="I38" i="21" s="1"/>
  <c r="O39" i="21"/>
  <c r="N42" i="21"/>
  <c r="I42" i="21" s="1"/>
  <c r="S43" i="21"/>
  <c r="P44" i="21"/>
  <c r="R46" i="21"/>
  <c r="I46" i="21" s="1"/>
  <c r="O47" i="21"/>
  <c r="Q19" i="21"/>
  <c r="N20" i="21"/>
  <c r="Q14" i="21"/>
  <c r="N15" i="21"/>
  <c r="R27" i="21"/>
  <c r="O28" i="21"/>
  <c r="Q30" i="21"/>
  <c r="N31" i="21"/>
  <c r="R35" i="21"/>
  <c r="O36" i="21"/>
  <c r="Q38" i="21"/>
  <c r="N39" i="21"/>
  <c r="S14" i="21"/>
  <c r="P15" i="21"/>
  <c r="O18" i="21"/>
  <c r="Q20" i="21"/>
  <c r="S22" i="21"/>
  <c r="P23" i="21"/>
  <c r="O26" i="21"/>
  <c r="Q28" i="21"/>
  <c r="S30" i="21"/>
  <c r="P31" i="21"/>
  <c r="O34" i="21"/>
  <c r="Q36" i="21"/>
  <c r="S38" i="21"/>
  <c r="P39" i="21"/>
  <c r="O42" i="21"/>
  <c r="Q44" i="21"/>
  <c r="S46" i="21"/>
  <c r="P47" i="21"/>
  <c r="R20" i="21"/>
  <c r="R28" i="21"/>
  <c r="R36" i="21"/>
  <c r="R44" i="21"/>
  <c r="R15" i="21"/>
  <c r="N19" i="21"/>
  <c r="R23" i="21"/>
  <c r="N27" i="21"/>
  <c r="R31" i="21"/>
  <c r="N35" i="21"/>
  <c r="R39" i="21"/>
  <c r="N43" i="21"/>
  <c r="R47" i="21"/>
  <c r="I40" i="19"/>
  <c r="I27" i="20"/>
  <c r="I19" i="20"/>
  <c r="I49" i="20"/>
  <c r="I14" i="19"/>
  <c r="I24" i="19"/>
  <c r="I48" i="19"/>
  <c r="I43" i="20"/>
  <c r="I25" i="19"/>
  <c r="I49" i="19"/>
  <c r="I35" i="20"/>
  <c r="I33" i="20"/>
  <c r="I25" i="20"/>
  <c r="I17" i="20"/>
  <c r="N20" i="20"/>
  <c r="N28" i="20"/>
  <c r="N44" i="20"/>
  <c r="N15" i="20"/>
  <c r="O28" i="20"/>
  <c r="N31" i="20"/>
  <c r="R14" i="20"/>
  <c r="I14" i="20" s="1"/>
  <c r="O15" i="20"/>
  <c r="Q17" i="20"/>
  <c r="N18" i="20"/>
  <c r="P20" i="20"/>
  <c r="R22" i="20"/>
  <c r="I22" i="20" s="1"/>
  <c r="O23" i="20"/>
  <c r="Q25" i="20"/>
  <c r="N26" i="20"/>
  <c r="P28" i="20"/>
  <c r="R30" i="20"/>
  <c r="I30" i="20" s="1"/>
  <c r="R38" i="20"/>
  <c r="I38" i="20" s="1"/>
  <c r="Q41" i="20"/>
  <c r="N42" i="20"/>
  <c r="P44" i="20"/>
  <c r="R46" i="20"/>
  <c r="I46" i="20" s="1"/>
  <c r="O47" i="20"/>
  <c r="Q49" i="20"/>
  <c r="N13" i="20"/>
  <c r="I13" i="20" s="1"/>
  <c r="S14" i="20"/>
  <c r="P15" i="20"/>
  <c r="O18" i="20"/>
  <c r="Q20" i="20"/>
  <c r="N21" i="20"/>
  <c r="I21" i="20" s="1"/>
  <c r="S22" i="20"/>
  <c r="P23" i="20"/>
  <c r="O26" i="20"/>
  <c r="Q28" i="20"/>
  <c r="N29" i="20"/>
  <c r="I29" i="20" s="1"/>
  <c r="S30" i="20"/>
  <c r="P31" i="20"/>
  <c r="O34" i="20"/>
  <c r="Q36" i="20"/>
  <c r="N37" i="20"/>
  <c r="I37" i="20" s="1"/>
  <c r="S38" i="20"/>
  <c r="P39" i="20"/>
  <c r="O42" i="20"/>
  <c r="Q44" i="20"/>
  <c r="N45" i="20"/>
  <c r="I45" i="20" s="1"/>
  <c r="S46" i="20"/>
  <c r="P47" i="20"/>
  <c r="N36" i="20"/>
  <c r="O36" i="20"/>
  <c r="N39" i="20"/>
  <c r="O44" i="20"/>
  <c r="N47" i="20"/>
  <c r="O31" i="20"/>
  <c r="Q33" i="20"/>
  <c r="N34" i="20"/>
  <c r="P36" i="20"/>
  <c r="O39" i="20"/>
  <c r="O13" i="20"/>
  <c r="Q15" i="20"/>
  <c r="P18" i="20"/>
  <c r="R20" i="20"/>
  <c r="O21" i="20"/>
  <c r="Q23" i="20"/>
  <c r="P26" i="20"/>
  <c r="R28" i="20"/>
  <c r="O29" i="20"/>
  <c r="Q31" i="20"/>
  <c r="P34" i="20"/>
  <c r="R36" i="20"/>
  <c r="O37" i="20"/>
  <c r="Q39" i="20"/>
  <c r="P42" i="20"/>
  <c r="R44" i="20"/>
  <c r="O45" i="20"/>
  <c r="Q47" i="20"/>
  <c r="O20" i="20"/>
  <c r="N23" i="20"/>
  <c r="R15" i="20"/>
  <c r="Q18" i="20"/>
  <c r="R23" i="20"/>
  <c r="Q26" i="20"/>
  <c r="R31" i="20"/>
  <c r="Q34" i="20"/>
  <c r="R39" i="20"/>
  <c r="Q42" i="20"/>
  <c r="R47" i="20"/>
  <c r="I17" i="19"/>
  <c r="I19" i="17"/>
  <c r="I24" i="17"/>
  <c r="I14" i="18"/>
  <c r="I24" i="18"/>
  <c r="I30" i="19"/>
  <c r="I41" i="19"/>
  <c r="I48" i="17"/>
  <c r="I25" i="18"/>
  <c r="I48" i="18"/>
  <c r="I38" i="19"/>
  <c r="I40" i="17"/>
  <c r="I49" i="18"/>
  <c r="I22" i="19"/>
  <c r="I32" i="19"/>
  <c r="I46" i="19"/>
  <c r="N23" i="19"/>
  <c r="N39" i="19"/>
  <c r="O44" i="19"/>
  <c r="P20" i="19"/>
  <c r="P36" i="19"/>
  <c r="O39" i="19"/>
  <c r="N42" i="19"/>
  <c r="P44" i="19"/>
  <c r="O47" i="19"/>
  <c r="N13" i="19"/>
  <c r="P15" i="19"/>
  <c r="O18" i="19"/>
  <c r="Q20" i="19"/>
  <c r="N21" i="19"/>
  <c r="P23" i="19"/>
  <c r="O26" i="19"/>
  <c r="Q28" i="19"/>
  <c r="N29" i="19"/>
  <c r="P31" i="19"/>
  <c r="O34" i="19"/>
  <c r="Q36" i="19"/>
  <c r="N37" i="19"/>
  <c r="P39" i="19"/>
  <c r="O42" i="19"/>
  <c r="Q44" i="19"/>
  <c r="N45" i="19"/>
  <c r="P47" i="19"/>
  <c r="N36" i="19"/>
  <c r="N44" i="19"/>
  <c r="O28" i="19"/>
  <c r="N31" i="19"/>
  <c r="O36" i="19"/>
  <c r="O23" i="19"/>
  <c r="N26" i="19"/>
  <c r="P28" i="19"/>
  <c r="O31" i="19"/>
  <c r="O13" i="19"/>
  <c r="Q15" i="19"/>
  <c r="P18" i="19"/>
  <c r="R20" i="19"/>
  <c r="O21" i="19"/>
  <c r="Q23" i="19"/>
  <c r="P26" i="19"/>
  <c r="O37" i="19"/>
  <c r="Q39" i="19"/>
  <c r="P42" i="19"/>
  <c r="R44" i="19"/>
  <c r="O45" i="19"/>
  <c r="Q47" i="19"/>
  <c r="P13" i="19"/>
  <c r="R15" i="19"/>
  <c r="O16" i="19"/>
  <c r="Q18" i="19"/>
  <c r="N19" i="19"/>
  <c r="I19" i="19" s="1"/>
  <c r="S20" i="19"/>
  <c r="P21" i="19"/>
  <c r="R23" i="19"/>
  <c r="O24" i="19"/>
  <c r="Q26" i="19"/>
  <c r="N27" i="19"/>
  <c r="I27" i="19" s="1"/>
  <c r="S28" i="19"/>
  <c r="P29" i="19"/>
  <c r="R31" i="19"/>
  <c r="O32" i="19"/>
  <c r="Q34" i="19"/>
  <c r="N35" i="19"/>
  <c r="I35" i="19" s="1"/>
  <c r="S36" i="19"/>
  <c r="P37" i="19"/>
  <c r="R39" i="19"/>
  <c r="O40" i="19"/>
  <c r="Q42" i="19"/>
  <c r="N43" i="19"/>
  <c r="I43" i="19" s="1"/>
  <c r="P45" i="19"/>
  <c r="R47" i="19"/>
  <c r="O48" i="19"/>
  <c r="N20" i="19"/>
  <c r="N28" i="19"/>
  <c r="N15" i="19"/>
  <c r="N47" i="19"/>
  <c r="O15" i="19"/>
  <c r="N18" i="19"/>
  <c r="N34" i="19"/>
  <c r="O29" i="19"/>
  <c r="Q31" i="19"/>
  <c r="P34" i="19"/>
  <c r="I35" i="17"/>
  <c r="I43" i="17"/>
  <c r="I16" i="18"/>
  <c r="I17" i="18"/>
  <c r="I38" i="18"/>
  <c r="I30" i="18"/>
  <c r="I40" i="18"/>
  <c r="I49" i="17"/>
  <c r="I40" i="15"/>
  <c r="I16" i="17"/>
  <c r="I22" i="18"/>
  <c r="I32" i="18"/>
  <c r="I41" i="18"/>
  <c r="I33" i="18"/>
  <c r="I46" i="18"/>
  <c r="N44" i="18"/>
  <c r="N15" i="18"/>
  <c r="O20" i="18"/>
  <c r="O44" i="18"/>
  <c r="N18" i="18"/>
  <c r="P28" i="18"/>
  <c r="P36" i="18"/>
  <c r="O39" i="18"/>
  <c r="N42" i="18"/>
  <c r="P44" i="18"/>
  <c r="O47" i="18"/>
  <c r="N13" i="18"/>
  <c r="P15" i="18"/>
  <c r="O18" i="18"/>
  <c r="Q20" i="18"/>
  <c r="N21" i="18"/>
  <c r="P23" i="18"/>
  <c r="O26" i="18"/>
  <c r="Q28" i="18"/>
  <c r="N29" i="18"/>
  <c r="P31" i="18"/>
  <c r="O34" i="18"/>
  <c r="Q36" i="18"/>
  <c r="N37" i="18"/>
  <c r="P39" i="18"/>
  <c r="O42" i="18"/>
  <c r="Q44" i="18"/>
  <c r="N45" i="18"/>
  <c r="P47" i="18"/>
  <c r="N36" i="18"/>
  <c r="N28" i="18"/>
  <c r="N23" i="18"/>
  <c r="N47" i="18"/>
  <c r="O15" i="18"/>
  <c r="P20" i="18"/>
  <c r="O23" i="18"/>
  <c r="N26" i="18"/>
  <c r="O31" i="18"/>
  <c r="N34" i="18"/>
  <c r="R20" i="18"/>
  <c r="O21" i="18"/>
  <c r="Q23" i="18"/>
  <c r="P26" i="18"/>
  <c r="R28" i="18"/>
  <c r="O29" i="18"/>
  <c r="Q31" i="18"/>
  <c r="P34" i="18"/>
  <c r="R36" i="18"/>
  <c r="O37" i="18"/>
  <c r="Q39" i="18"/>
  <c r="P42" i="18"/>
  <c r="P13" i="18"/>
  <c r="R15" i="18"/>
  <c r="O16" i="18"/>
  <c r="Q18" i="18"/>
  <c r="N19" i="18"/>
  <c r="I19" i="18" s="1"/>
  <c r="S20" i="18"/>
  <c r="P21" i="18"/>
  <c r="R23" i="18"/>
  <c r="O24" i="18"/>
  <c r="Q26" i="18"/>
  <c r="N27" i="18"/>
  <c r="I27" i="18" s="1"/>
  <c r="S28" i="18"/>
  <c r="P29" i="18"/>
  <c r="R31" i="18"/>
  <c r="O32" i="18"/>
  <c r="Q34" i="18"/>
  <c r="N35" i="18"/>
  <c r="I35" i="18" s="1"/>
  <c r="S36" i="18"/>
  <c r="P37" i="18"/>
  <c r="R39" i="18"/>
  <c r="O40" i="18"/>
  <c r="Q42" i="18"/>
  <c r="N43" i="18"/>
  <c r="I43" i="18" s="1"/>
  <c r="S44" i="18"/>
  <c r="P45" i="18"/>
  <c r="R47" i="18"/>
  <c r="O48" i="18"/>
  <c r="N31" i="18"/>
  <c r="N39" i="18"/>
  <c r="O13" i="18"/>
  <c r="Q15" i="18"/>
  <c r="P18" i="18"/>
  <c r="O45" i="18"/>
  <c r="Q47" i="18"/>
  <c r="I24" i="16"/>
  <c r="I16" i="15"/>
  <c r="I19" i="15"/>
  <c r="I14" i="16"/>
  <c r="I25" i="16"/>
  <c r="I32" i="16"/>
  <c r="I27" i="17"/>
  <c r="I38" i="17"/>
  <c r="I25" i="17"/>
  <c r="I17" i="17"/>
  <c r="I33" i="17"/>
  <c r="I41" i="17"/>
  <c r="N15" i="17"/>
  <c r="N23" i="17"/>
  <c r="N31" i="17"/>
  <c r="O44" i="17"/>
  <c r="R14" i="17"/>
  <c r="I14" i="17" s="1"/>
  <c r="Q17" i="17"/>
  <c r="N18" i="17"/>
  <c r="P20" i="17"/>
  <c r="R22" i="17"/>
  <c r="I22" i="17" s="1"/>
  <c r="R30" i="17"/>
  <c r="I30" i="17" s="1"/>
  <c r="P36" i="17"/>
  <c r="O39" i="17"/>
  <c r="N42" i="17"/>
  <c r="P44" i="17"/>
  <c r="R46" i="17"/>
  <c r="I46" i="17" s="1"/>
  <c r="O47" i="17"/>
  <c r="Q49" i="17"/>
  <c r="N13" i="17"/>
  <c r="I13" i="17" s="1"/>
  <c r="S14" i="17"/>
  <c r="P15" i="17"/>
  <c r="O18" i="17"/>
  <c r="Q20" i="17"/>
  <c r="N21" i="17"/>
  <c r="I21" i="17" s="1"/>
  <c r="S22" i="17"/>
  <c r="P23" i="17"/>
  <c r="O26" i="17"/>
  <c r="Q28" i="17"/>
  <c r="N29" i="17"/>
  <c r="I29" i="17" s="1"/>
  <c r="S30" i="17"/>
  <c r="P31" i="17"/>
  <c r="O34" i="17"/>
  <c r="Q36" i="17"/>
  <c r="N37" i="17"/>
  <c r="I37" i="17" s="1"/>
  <c r="S38" i="17"/>
  <c r="P39" i="17"/>
  <c r="O42" i="17"/>
  <c r="Q44" i="17"/>
  <c r="N45" i="17"/>
  <c r="I45" i="17" s="1"/>
  <c r="S46" i="17"/>
  <c r="P47" i="17"/>
  <c r="N20" i="17"/>
  <c r="N28" i="17"/>
  <c r="O20" i="17"/>
  <c r="O28" i="17"/>
  <c r="N47" i="17"/>
  <c r="O15" i="17"/>
  <c r="O23" i="17"/>
  <c r="Q25" i="17"/>
  <c r="N26" i="17"/>
  <c r="P28" i="17"/>
  <c r="O31" i="17"/>
  <c r="N34" i="17"/>
  <c r="O13" i="17"/>
  <c r="Q15" i="17"/>
  <c r="P18" i="17"/>
  <c r="R20" i="17"/>
  <c r="O21" i="17"/>
  <c r="Q23" i="17"/>
  <c r="P26" i="17"/>
  <c r="R28" i="17"/>
  <c r="O29" i="17"/>
  <c r="Q31" i="17"/>
  <c r="P34" i="17"/>
  <c r="R36" i="17"/>
  <c r="O37" i="17"/>
  <c r="Q39" i="17"/>
  <c r="P42" i="17"/>
  <c r="R44" i="17"/>
  <c r="O45" i="17"/>
  <c r="Q47" i="17"/>
  <c r="N36" i="17"/>
  <c r="N44" i="17"/>
  <c r="O36" i="17"/>
  <c r="N39" i="17"/>
  <c r="R15" i="17"/>
  <c r="Q18" i="17"/>
  <c r="R23" i="17"/>
  <c r="Q26" i="17"/>
  <c r="R31" i="17"/>
  <c r="Q34" i="17"/>
  <c r="R39" i="17"/>
  <c r="Q42" i="17"/>
  <c r="R47" i="17"/>
  <c r="I22" i="16"/>
  <c r="I38" i="16"/>
  <c r="I49" i="16"/>
  <c r="I33" i="16"/>
  <c r="I24" i="15"/>
  <c r="I27" i="15"/>
  <c r="I32" i="15"/>
  <c r="I40" i="16"/>
  <c r="I46" i="16"/>
  <c r="I48" i="16"/>
  <c r="I16" i="16"/>
  <c r="I41" i="16"/>
  <c r="S39" i="16"/>
  <c r="R39" i="16"/>
  <c r="Q39" i="16"/>
  <c r="P39" i="16"/>
  <c r="O39" i="16"/>
  <c r="N39" i="16"/>
  <c r="J50" i="16"/>
  <c r="S20" i="16"/>
  <c r="R20" i="16"/>
  <c r="Q20" i="16"/>
  <c r="P20" i="16"/>
  <c r="S44" i="16"/>
  <c r="R44" i="16"/>
  <c r="Q44" i="16"/>
  <c r="P44" i="16"/>
  <c r="O44" i="16"/>
  <c r="N20" i="16"/>
  <c r="S36" i="16"/>
  <c r="R36" i="16"/>
  <c r="Q36" i="16"/>
  <c r="P36" i="16"/>
  <c r="O36" i="16"/>
  <c r="N44" i="16"/>
  <c r="O20" i="16"/>
  <c r="S28" i="16"/>
  <c r="R28" i="16"/>
  <c r="Q28" i="16"/>
  <c r="P28" i="16"/>
  <c r="O28" i="16"/>
  <c r="N36" i="16"/>
  <c r="Q13" i="16"/>
  <c r="S15" i="16"/>
  <c r="R15" i="16"/>
  <c r="Q15" i="16"/>
  <c r="P15" i="16"/>
  <c r="O15" i="16"/>
  <c r="I17" i="16"/>
  <c r="R18" i="16"/>
  <c r="Q18" i="16"/>
  <c r="P18" i="16"/>
  <c r="O18" i="16"/>
  <c r="N18" i="16"/>
  <c r="N28" i="16"/>
  <c r="S47" i="16"/>
  <c r="R47" i="16"/>
  <c r="Q47" i="16"/>
  <c r="P47" i="16"/>
  <c r="O47" i="16"/>
  <c r="N47" i="16"/>
  <c r="Q21" i="16"/>
  <c r="S23" i="16"/>
  <c r="R23" i="16"/>
  <c r="Q23" i="16"/>
  <c r="N23" i="16"/>
  <c r="P23" i="16"/>
  <c r="O23" i="16"/>
  <c r="I30" i="16"/>
  <c r="S31" i="16"/>
  <c r="R31" i="16"/>
  <c r="Q31" i="16"/>
  <c r="P31" i="16"/>
  <c r="O31" i="16"/>
  <c r="N31" i="16"/>
  <c r="S19" i="16"/>
  <c r="N26" i="16"/>
  <c r="S27" i="16"/>
  <c r="N34" i="16"/>
  <c r="S35" i="16"/>
  <c r="N42" i="16"/>
  <c r="S43" i="16"/>
  <c r="N13" i="16"/>
  <c r="S14" i="16"/>
  <c r="N21" i="16"/>
  <c r="S22" i="16"/>
  <c r="O26" i="16"/>
  <c r="N29" i="16"/>
  <c r="S30" i="16"/>
  <c r="O34" i="16"/>
  <c r="N37" i="16"/>
  <c r="S38" i="16"/>
  <c r="O42" i="16"/>
  <c r="N45" i="16"/>
  <c r="S46" i="16"/>
  <c r="P26" i="16"/>
  <c r="P34" i="16"/>
  <c r="P42" i="16"/>
  <c r="P13" i="16"/>
  <c r="N19" i="16"/>
  <c r="I19" i="16" s="1"/>
  <c r="P21" i="16"/>
  <c r="Q26" i="16"/>
  <c r="N27" i="16"/>
  <c r="I27" i="16" s="1"/>
  <c r="P29" i="16"/>
  <c r="Q34" i="16"/>
  <c r="N35" i="16"/>
  <c r="I35" i="16" s="1"/>
  <c r="P37" i="16"/>
  <c r="Q42" i="16"/>
  <c r="N43" i="16"/>
  <c r="I43" i="16" s="1"/>
  <c r="P45" i="16"/>
  <c r="I48" i="15"/>
  <c r="I43" i="15"/>
  <c r="I35" i="15"/>
  <c r="O20" i="15"/>
  <c r="N23" i="15"/>
  <c r="O28" i="15"/>
  <c r="N31" i="15"/>
  <c r="O36" i="15"/>
  <c r="N39" i="15"/>
  <c r="O44" i="15"/>
  <c r="N47" i="15"/>
  <c r="R14" i="15"/>
  <c r="I14" i="15" s="1"/>
  <c r="O23" i="15"/>
  <c r="N26" i="15"/>
  <c r="P28" i="15"/>
  <c r="R30" i="15"/>
  <c r="I30" i="15" s="1"/>
  <c r="R38" i="15"/>
  <c r="I38" i="15" s="1"/>
  <c r="O39" i="15"/>
  <c r="N42" i="15"/>
  <c r="P44" i="15"/>
  <c r="R46" i="15"/>
  <c r="I46" i="15" s="1"/>
  <c r="O47" i="15"/>
  <c r="N13" i="15"/>
  <c r="I13" i="15" s="1"/>
  <c r="S14" i="15"/>
  <c r="P15" i="15"/>
  <c r="R17" i="15"/>
  <c r="I17" i="15" s="1"/>
  <c r="O18" i="15"/>
  <c r="Q20" i="15"/>
  <c r="N21" i="15"/>
  <c r="I21" i="15" s="1"/>
  <c r="S22" i="15"/>
  <c r="P23" i="15"/>
  <c r="R25" i="15"/>
  <c r="I25" i="15" s="1"/>
  <c r="O26" i="15"/>
  <c r="Q28" i="15"/>
  <c r="N29" i="15"/>
  <c r="I29" i="15" s="1"/>
  <c r="S30" i="15"/>
  <c r="P31" i="15"/>
  <c r="R33" i="15"/>
  <c r="I33" i="15" s="1"/>
  <c r="O34" i="15"/>
  <c r="Q36" i="15"/>
  <c r="N37" i="15"/>
  <c r="I37" i="15" s="1"/>
  <c r="S38" i="15"/>
  <c r="P39" i="15"/>
  <c r="R41" i="15"/>
  <c r="I41" i="15" s="1"/>
  <c r="O42" i="15"/>
  <c r="Q44" i="15"/>
  <c r="N45" i="15"/>
  <c r="I45" i="15" s="1"/>
  <c r="S46" i="15"/>
  <c r="P47" i="15"/>
  <c r="R49" i="15"/>
  <c r="I49" i="15" s="1"/>
  <c r="O15" i="15"/>
  <c r="N18" i="15"/>
  <c r="P20" i="15"/>
  <c r="R22" i="15"/>
  <c r="I22" i="15" s="1"/>
  <c r="O31" i="15"/>
  <c r="N34" i="15"/>
  <c r="P36" i="15"/>
  <c r="O13" i="15"/>
  <c r="Q15" i="15"/>
  <c r="P18" i="15"/>
  <c r="R20" i="15"/>
  <c r="O21" i="15"/>
  <c r="Q23" i="15"/>
  <c r="P26" i="15"/>
  <c r="R28" i="15"/>
  <c r="O29" i="15"/>
  <c r="Q31" i="15"/>
  <c r="P34" i="15"/>
  <c r="R36" i="15"/>
  <c r="O37" i="15"/>
  <c r="Q39" i="15"/>
  <c r="P42" i="15"/>
  <c r="R44" i="15"/>
  <c r="O45" i="15"/>
  <c r="Q47" i="15"/>
  <c r="N20" i="15"/>
  <c r="N28" i="15"/>
  <c r="N36" i="15"/>
  <c r="N44" i="15"/>
  <c r="N15" i="15"/>
  <c r="R15" i="15"/>
  <c r="Q18" i="15"/>
  <c r="R23" i="15"/>
  <c r="Q26" i="15"/>
  <c r="R31" i="15"/>
  <c r="Q34" i="15"/>
  <c r="R39" i="15"/>
  <c r="Q42" i="15"/>
  <c r="R47" i="15"/>
  <c r="Q49" i="14"/>
  <c r="P49" i="14"/>
  <c r="O49" i="14"/>
  <c r="N49" i="14"/>
  <c r="M49" i="14"/>
  <c r="L49" i="14"/>
  <c r="K49" i="14"/>
  <c r="J49" i="14"/>
  <c r="Q48" i="14"/>
  <c r="N48" i="14"/>
  <c r="M48" i="14"/>
  <c r="P48" i="14" s="1"/>
  <c r="L48" i="14"/>
  <c r="K48" i="14"/>
  <c r="J48" i="14"/>
  <c r="M47" i="14"/>
  <c r="L47" i="14"/>
  <c r="K47" i="14"/>
  <c r="J47" i="14"/>
  <c r="Q46" i="14"/>
  <c r="P46" i="14"/>
  <c r="O46" i="14"/>
  <c r="M46" i="14"/>
  <c r="N46" i="14" s="1"/>
  <c r="L46" i="14"/>
  <c r="K46" i="14"/>
  <c r="J46" i="14"/>
  <c r="M45" i="14"/>
  <c r="Q45" i="14" s="1"/>
  <c r="L45" i="14"/>
  <c r="K45" i="14"/>
  <c r="J45" i="14"/>
  <c r="M44" i="14"/>
  <c r="L44" i="14"/>
  <c r="K44" i="14"/>
  <c r="J44" i="14"/>
  <c r="Q43" i="14"/>
  <c r="P43" i="14"/>
  <c r="M43" i="14"/>
  <c r="O43" i="14" s="1"/>
  <c r="L43" i="14"/>
  <c r="K43" i="14"/>
  <c r="J43" i="14"/>
  <c r="M42" i="14"/>
  <c r="L42" i="14"/>
  <c r="K42" i="14"/>
  <c r="J42" i="14"/>
  <c r="Q41" i="14"/>
  <c r="P41" i="14"/>
  <c r="O41" i="14"/>
  <c r="N41" i="14"/>
  <c r="M41" i="14"/>
  <c r="L41" i="14"/>
  <c r="K41" i="14"/>
  <c r="J41" i="14"/>
  <c r="Q40" i="14"/>
  <c r="N40" i="14"/>
  <c r="M40" i="14"/>
  <c r="P40" i="14" s="1"/>
  <c r="L40" i="14"/>
  <c r="K40" i="14"/>
  <c r="J40" i="14"/>
  <c r="M39" i="14"/>
  <c r="L39" i="14"/>
  <c r="K39" i="14"/>
  <c r="J39" i="14"/>
  <c r="Q38" i="14"/>
  <c r="P38" i="14"/>
  <c r="O38" i="14"/>
  <c r="M38" i="14"/>
  <c r="N38" i="14" s="1"/>
  <c r="L38" i="14"/>
  <c r="K38" i="14"/>
  <c r="J38" i="14"/>
  <c r="M37" i="14"/>
  <c r="Q37" i="14" s="1"/>
  <c r="L37" i="14"/>
  <c r="K37" i="14"/>
  <c r="J37" i="14"/>
  <c r="M36" i="14"/>
  <c r="O36" i="14" s="1"/>
  <c r="L36" i="14"/>
  <c r="K36" i="14"/>
  <c r="J36" i="14"/>
  <c r="Q35" i="14"/>
  <c r="P35" i="14"/>
  <c r="M35" i="14"/>
  <c r="O35" i="14" s="1"/>
  <c r="L35" i="14"/>
  <c r="K35" i="14"/>
  <c r="J35" i="14"/>
  <c r="M34" i="14"/>
  <c r="L34" i="14"/>
  <c r="K34" i="14"/>
  <c r="J34" i="14"/>
  <c r="Q33" i="14"/>
  <c r="P33" i="14"/>
  <c r="O33" i="14"/>
  <c r="N33" i="14"/>
  <c r="M33" i="14"/>
  <c r="L33" i="14"/>
  <c r="K33" i="14"/>
  <c r="J33" i="14"/>
  <c r="Q32" i="14"/>
  <c r="N32" i="14"/>
  <c r="M32" i="14"/>
  <c r="P32" i="14" s="1"/>
  <c r="L32" i="14"/>
  <c r="K32" i="14"/>
  <c r="J32" i="14"/>
  <c r="M31" i="14"/>
  <c r="L31" i="14"/>
  <c r="K31" i="14"/>
  <c r="J31" i="14"/>
  <c r="Q30" i="14"/>
  <c r="P30" i="14"/>
  <c r="O30" i="14"/>
  <c r="M30" i="14"/>
  <c r="N30" i="14" s="1"/>
  <c r="L30" i="14"/>
  <c r="K30" i="14"/>
  <c r="J30" i="14"/>
  <c r="M29" i="14"/>
  <c r="Q29" i="14" s="1"/>
  <c r="L29" i="14"/>
  <c r="K29" i="14"/>
  <c r="J29" i="14"/>
  <c r="M28" i="14"/>
  <c r="O28" i="14" s="1"/>
  <c r="L28" i="14"/>
  <c r="K28" i="14"/>
  <c r="J28" i="14"/>
  <c r="Q27" i="14"/>
  <c r="P27" i="14"/>
  <c r="M27" i="14"/>
  <c r="O27" i="14" s="1"/>
  <c r="L27" i="14"/>
  <c r="K27" i="14"/>
  <c r="J27" i="14"/>
  <c r="M26" i="14"/>
  <c r="L26" i="14"/>
  <c r="K26" i="14"/>
  <c r="J26" i="14"/>
  <c r="Q25" i="14"/>
  <c r="P25" i="14"/>
  <c r="O25" i="14"/>
  <c r="N25" i="14"/>
  <c r="M25" i="14"/>
  <c r="L25" i="14"/>
  <c r="K25" i="14"/>
  <c r="J25" i="14"/>
  <c r="Q24" i="14"/>
  <c r="N24" i="14"/>
  <c r="M24" i="14"/>
  <c r="P24" i="14" s="1"/>
  <c r="L24" i="14"/>
  <c r="K24" i="14"/>
  <c r="J24" i="14"/>
  <c r="M23" i="14"/>
  <c r="L23" i="14"/>
  <c r="K23" i="14"/>
  <c r="J23" i="14"/>
  <c r="Q22" i="14"/>
  <c r="P22" i="14"/>
  <c r="O22" i="14"/>
  <c r="M22" i="14"/>
  <c r="N22" i="14" s="1"/>
  <c r="L22" i="14"/>
  <c r="K22" i="14"/>
  <c r="J22" i="14"/>
  <c r="M21" i="14"/>
  <c r="Q21" i="14" s="1"/>
  <c r="L21" i="14"/>
  <c r="K21" i="14"/>
  <c r="J21" i="14"/>
  <c r="M20" i="14"/>
  <c r="L20" i="14"/>
  <c r="K20" i="14"/>
  <c r="J20" i="14"/>
  <c r="Q19" i="14"/>
  <c r="P19" i="14"/>
  <c r="M19" i="14"/>
  <c r="O19" i="14" s="1"/>
  <c r="L19" i="14"/>
  <c r="K19" i="14"/>
  <c r="J19" i="14"/>
  <c r="M18" i="14"/>
  <c r="L18" i="14"/>
  <c r="K18" i="14"/>
  <c r="J18" i="14"/>
  <c r="Q17" i="14"/>
  <c r="P17" i="14"/>
  <c r="O17" i="14"/>
  <c r="N17" i="14"/>
  <c r="M17" i="14"/>
  <c r="L17" i="14"/>
  <c r="K17" i="14"/>
  <c r="J17" i="14"/>
  <c r="Q16" i="14"/>
  <c r="N16" i="14"/>
  <c r="M16" i="14"/>
  <c r="P16" i="14" s="1"/>
  <c r="L16" i="14"/>
  <c r="K16" i="14"/>
  <c r="J16" i="14"/>
  <c r="M15" i="14"/>
  <c r="L15" i="14"/>
  <c r="K15" i="14"/>
  <c r="J15" i="14"/>
  <c r="Q14" i="14"/>
  <c r="P14" i="14"/>
  <c r="O14" i="14"/>
  <c r="M14" i="14"/>
  <c r="N14" i="14" s="1"/>
  <c r="L14" i="14"/>
  <c r="K14" i="14"/>
  <c r="J14" i="14"/>
  <c r="M13" i="14"/>
  <c r="Q13" i="14" s="1"/>
  <c r="L13" i="14"/>
  <c r="K13" i="14"/>
  <c r="J13" i="14"/>
  <c r="J50" i="14" s="1"/>
  <c r="Q49" i="13"/>
  <c r="P49" i="13"/>
  <c r="O49" i="13"/>
  <c r="M49" i="13"/>
  <c r="L49" i="13"/>
  <c r="K49" i="13"/>
  <c r="J49" i="13"/>
  <c r="P48" i="13"/>
  <c r="O48" i="13"/>
  <c r="N48" i="13"/>
  <c r="M48" i="13"/>
  <c r="Q48" i="13" s="1"/>
  <c r="L48" i="13"/>
  <c r="K48" i="13"/>
  <c r="J48" i="13"/>
  <c r="M47" i="13"/>
  <c r="L47" i="13"/>
  <c r="K47" i="13"/>
  <c r="J47" i="13"/>
  <c r="Q46" i="13"/>
  <c r="P46" i="13"/>
  <c r="M46" i="13"/>
  <c r="N46" i="13" s="1"/>
  <c r="L46" i="13"/>
  <c r="K46" i="13"/>
  <c r="J46" i="13"/>
  <c r="O45" i="13"/>
  <c r="M45" i="13"/>
  <c r="Q45" i="13" s="1"/>
  <c r="L45" i="13"/>
  <c r="K45" i="13"/>
  <c r="J45" i="13"/>
  <c r="P44" i="13"/>
  <c r="O44" i="13"/>
  <c r="N44" i="13"/>
  <c r="M44" i="13"/>
  <c r="L44" i="13"/>
  <c r="Q44" i="13" s="1"/>
  <c r="K44" i="13"/>
  <c r="J44" i="13"/>
  <c r="Q43" i="13"/>
  <c r="M43" i="13"/>
  <c r="O43" i="13" s="1"/>
  <c r="L43" i="13"/>
  <c r="K43" i="13"/>
  <c r="J43" i="13"/>
  <c r="M42" i="13"/>
  <c r="L42" i="13"/>
  <c r="K42" i="13"/>
  <c r="J42" i="13"/>
  <c r="Q41" i="13"/>
  <c r="P41" i="13"/>
  <c r="O41" i="13"/>
  <c r="M41" i="13"/>
  <c r="L41" i="13"/>
  <c r="K41" i="13"/>
  <c r="J41" i="13"/>
  <c r="P40" i="13"/>
  <c r="O40" i="13"/>
  <c r="N40" i="13"/>
  <c r="M40" i="13"/>
  <c r="Q40" i="13" s="1"/>
  <c r="L40" i="13"/>
  <c r="K40" i="13"/>
  <c r="J40" i="13"/>
  <c r="M39" i="13"/>
  <c r="L39" i="13"/>
  <c r="K39" i="13"/>
  <c r="J39" i="13"/>
  <c r="Q38" i="13"/>
  <c r="P38" i="13"/>
  <c r="M38" i="13"/>
  <c r="N38" i="13" s="1"/>
  <c r="L38" i="13"/>
  <c r="K38" i="13"/>
  <c r="J38" i="13"/>
  <c r="O37" i="13"/>
  <c r="M37" i="13"/>
  <c r="Q37" i="13" s="1"/>
  <c r="L37" i="13"/>
  <c r="K37" i="13"/>
  <c r="J37" i="13"/>
  <c r="P36" i="13"/>
  <c r="O36" i="13"/>
  <c r="N36" i="13"/>
  <c r="M36" i="13"/>
  <c r="L36" i="13"/>
  <c r="Q36" i="13" s="1"/>
  <c r="K36" i="13"/>
  <c r="J36" i="13"/>
  <c r="Q35" i="13"/>
  <c r="M35" i="13"/>
  <c r="O35" i="13" s="1"/>
  <c r="L35" i="13"/>
  <c r="K35" i="13"/>
  <c r="J35" i="13"/>
  <c r="M34" i="13"/>
  <c r="L34" i="13"/>
  <c r="K34" i="13"/>
  <c r="J34" i="13"/>
  <c r="Q33" i="13"/>
  <c r="P33" i="13"/>
  <c r="O33" i="13"/>
  <c r="M33" i="13"/>
  <c r="L33" i="13"/>
  <c r="K33" i="13"/>
  <c r="J33" i="13"/>
  <c r="P32" i="13"/>
  <c r="O32" i="13"/>
  <c r="N32" i="13"/>
  <c r="M32" i="13"/>
  <c r="Q32" i="13" s="1"/>
  <c r="L32" i="13"/>
  <c r="K32" i="13"/>
  <c r="J32" i="13"/>
  <c r="M31" i="13"/>
  <c r="L31" i="13"/>
  <c r="K31" i="13"/>
  <c r="J31" i="13"/>
  <c r="Q30" i="13"/>
  <c r="P30" i="13"/>
  <c r="M30" i="13"/>
  <c r="N30" i="13" s="1"/>
  <c r="L30" i="13"/>
  <c r="K30" i="13"/>
  <c r="J30" i="13"/>
  <c r="O29" i="13"/>
  <c r="M29" i="13"/>
  <c r="Q29" i="13" s="1"/>
  <c r="L29" i="13"/>
  <c r="K29" i="13"/>
  <c r="J29" i="13"/>
  <c r="P28" i="13"/>
  <c r="O28" i="13"/>
  <c r="N28" i="13"/>
  <c r="M28" i="13"/>
  <c r="L28" i="13"/>
  <c r="Q28" i="13" s="1"/>
  <c r="K28" i="13"/>
  <c r="J28" i="13"/>
  <c r="Q27" i="13"/>
  <c r="M27" i="13"/>
  <c r="O27" i="13" s="1"/>
  <c r="L27" i="13"/>
  <c r="K27" i="13"/>
  <c r="J27" i="13"/>
  <c r="M26" i="13"/>
  <c r="L26" i="13"/>
  <c r="K26" i="13"/>
  <c r="J26" i="13"/>
  <c r="Q25" i="13"/>
  <c r="P25" i="13"/>
  <c r="O25" i="13"/>
  <c r="M25" i="13"/>
  <c r="L25" i="13"/>
  <c r="K25" i="13"/>
  <c r="J25" i="13"/>
  <c r="M24" i="13"/>
  <c r="P24" i="13" s="1"/>
  <c r="L24" i="13"/>
  <c r="K24" i="13"/>
  <c r="J24" i="13"/>
  <c r="M23" i="13"/>
  <c r="L23" i="13"/>
  <c r="K23" i="13"/>
  <c r="J23" i="13"/>
  <c r="Q22" i="13"/>
  <c r="P22" i="13"/>
  <c r="M22" i="13"/>
  <c r="N22" i="13" s="1"/>
  <c r="L22" i="13"/>
  <c r="K22" i="13"/>
  <c r="J22" i="13"/>
  <c r="M21" i="13"/>
  <c r="Q21" i="13" s="1"/>
  <c r="L21" i="13"/>
  <c r="K21" i="13"/>
  <c r="J21" i="13"/>
  <c r="P20" i="13"/>
  <c r="O20" i="13"/>
  <c r="N20" i="13"/>
  <c r="M20" i="13"/>
  <c r="L20" i="13"/>
  <c r="Q20" i="13" s="1"/>
  <c r="K20" i="13"/>
  <c r="J20" i="13"/>
  <c r="Q19" i="13"/>
  <c r="M19" i="13"/>
  <c r="O19" i="13" s="1"/>
  <c r="L19" i="13"/>
  <c r="K19" i="13"/>
  <c r="J19" i="13"/>
  <c r="M18" i="13"/>
  <c r="L18" i="13"/>
  <c r="K18" i="13"/>
  <c r="J18" i="13"/>
  <c r="Q17" i="13"/>
  <c r="P17" i="13"/>
  <c r="O17" i="13"/>
  <c r="M17" i="13"/>
  <c r="L17" i="13"/>
  <c r="K17" i="13"/>
  <c r="J17" i="13"/>
  <c r="P16" i="13"/>
  <c r="O16" i="13"/>
  <c r="N16" i="13"/>
  <c r="M16" i="13"/>
  <c r="L16" i="13"/>
  <c r="K16" i="13"/>
  <c r="J16" i="13"/>
  <c r="M15" i="13"/>
  <c r="L15" i="13"/>
  <c r="K15" i="13"/>
  <c r="J15" i="13"/>
  <c r="Q14" i="13"/>
  <c r="P14" i="13"/>
  <c r="M14" i="13"/>
  <c r="L14" i="13"/>
  <c r="K14" i="13"/>
  <c r="J14" i="13"/>
  <c r="M13" i="13"/>
  <c r="Q13" i="13" s="1"/>
  <c r="L13" i="13"/>
  <c r="K13" i="13"/>
  <c r="J13" i="13"/>
  <c r="N24" i="13" l="1"/>
  <c r="O24" i="13"/>
  <c r="Q24" i="13"/>
  <c r="O21" i="13"/>
  <c r="Q16" i="13"/>
  <c r="J50" i="13"/>
  <c r="O13" i="13"/>
  <c r="I47" i="25"/>
  <c r="I26" i="25"/>
  <c r="I31" i="25"/>
  <c r="I28" i="23"/>
  <c r="I23" i="23"/>
  <c r="I47" i="19"/>
  <c r="I42" i="19"/>
  <c r="I27" i="21"/>
  <c r="I23" i="21"/>
  <c r="I15" i="23"/>
  <c r="I42" i="23"/>
  <c r="I37" i="25"/>
  <c r="I15" i="25"/>
  <c r="I44" i="25"/>
  <c r="I13" i="25"/>
  <c r="I36" i="25"/>
  <c r="I21" i="25"/>
  <c r="I39" i="25"/>
  <c r="I34" i="25"/>
  <c r="I23" i="25"/>
  <c r="I29" i="25"/>
  <c r="I13" i="24"/>
  <c r="I39" i="24"/>
  <c r="I21" i="24"/>
  <c r="I42" i="24"/>
  <c r="I28" i="24"/>
  <c r="I20" i="24"/>
  <c r="I37" i="24"/>
  <c r="I26" i="24"/>
  <c r="I31" i="24"/>
  <c r="I15" i="24"/>
  <c r="I29" i="24"/>
  <c r="I34" i="24"/>
  <c r="I23" i="24"/>
  <c r="I45" i="24"/>
  <c r="I18" i="24"/>
  <c r="I36" i="24"/>
  <c r="I26" i="23"/>
  <c r="I47" i="23"/>
  <c r="I39" i="23"/>
  <c r="I20" i="23"/>
  <c r="I44" i="23"/>
  <c r="I28" i="21"/>
  <c r="I19" i="21"/>
  <c r="I26" i="22"/>
  <c r="I28" i="22"/>
  <c r="I23" i="22"/>
  <c r="I18" i="22"/>
  <c r="I15" i="22"/>
  <c r="I20" i="22"/>
  <c r="I47" i="22"/>
  <c r="I39" i="22"/>
  <c r="I34" i="22"/>
  <c r="I42" i="22"/>
  <c r="I44" i="22"/>
  <c r="I31" i="22"/>
  <c r="I43" i="21"/>
  <c r="I20" i="21"/>
  <c r="I34" i="20"/>
  <c r="I39" i="21"/>
  <c r="I15" i="21"/>
  <c r="I44" i="21"/>
  <c r="I31" i="21"/>
  <c r="I36" i="21"/>
  <c r="I47" i="21"/>
  <c r="I35" i="21"/>
  <c r="I15" i="20"/>
  <c r="I28" i="19"/>
  <c r="I29" i="19"/>
  <c r="I36" i="20"/>
  <c r="I26" i="20"/>
  <c r="I31" i="20"/>
  <c r="I47" i="20"/>
  <c r="I42" i="20"/>
  <c r="I44" i="20"/>
  <c r="I39" i="20"/>
  <c r="I18" i="20"/>
  <c r="I28" i="20"/>
  <c r="I23" i="20"/>
  <c r="I20" i="20"/>
  <c r="I15" i="19"/>
  <c r="I26" i="19"/>
  <c r="I45" i="19"/>
  <c r="I31" i="19"/>
  <c r="I37" i="19"/>
  <c r="I21" i="19"/>
  <c r="I44" i="19"/>
  <c r="I20" i="19"/>
  <c r="I36" i="19"/>
  <c r="I13" i="19"/>
  <c r="I39" i="19"/>
  <c r="I34" i="19"/>
  <c r="I18" i="19"/>
  <c r="I23" i="19"/>
  <c r="I44" i="16"/>
  <c r="I31" i="18"/>
  <c r="I28" i="18"/>
  <c r="I20" i="18"/>
  <c r="I15" i="18"/>
  <c r="I34" i="18"/>
  <c r="I26" i="18"/>
  <c r="I18" i="18"/>
  <c r="I36" i="18"/>
  <c r="I45" i="18"/>
  <c r="I29" i="18"/>
  <c r="I13" i="18"/>
  <c r="I47" i="18"/>
  <c r="I42" i="18"/>
  <c r="I44" i="18"/>
  <c r="I39" i="18"/>
  <c r="I23" i="18"/>
  <c r="I37" i="18"/>
  <c r="I21" i="18"/>
  <c r="I31" i="15"/>
  <c r="I18" i="16"/>
  <c r="I44" i="17"/>
  <c r="I36" i="17"/>
  <c r="I47" i="17"/>
  <c r="I42" i="17"/>
  <c r="I34" i="17"/>
  <c r="I39" i="17"/>
  <c r="I28" i="17"/>
  <c r="I23" i="17"/>
  <c r="I18" i="17"/>
  <c r="I31" i="17"/>
  <c r="I26" i="17"/>
  <c r="I20" i="17"/>
  <c r="I15" i="17"/>
  <c r="I26" i="16"/>
  <c r="I15" i="16"/>
  <c r="I20" i="16"/>
  <c r="I20" i="15"/>
  <c r="I31" i="16"/>
  <c r="I36" i="16"/>
  <c r="I39" i="16"/>
  <c r="I39" i="15"/>
  <c r="I37" i="16"/>
  <c r="I13" i="16"/>
  <c r="I23" i="16"/>
  <c r="I42" i="16"/>
  <c r="I29" i="16"/>
  <c r="I34" i="16"/>
  <c r="I28" i="16"/>
  <c r="I45" i="16"/>
  <c r="I21" i="16"/>
  <c r="I47" i="16"/>
  <c r="I34" i="15"/>
  <c r="I36" i="15"/>
  <c r="I26" i="15"/>
  <c r="I28" i="15"/>
  <c r="I23" i="15"/>
  <c r="I44" i="15"/>
  <c r="I18" i="15"/>
  <c r="I42" i="15"/>
  <c r="I47" i="15"/>
  <c r="I15" i="15"/>
  <c r="N15" i="14"/>
  <c r="N31" i="14"/>
  <c r="N47" i="14"/>
  <c r="P28" i="14"/>
  <c r="O31" i="14"/>
  <c r="N34" i="14"/>
  <c r="P36" i="14"/>
  <c r="O39" i="14"/>
  <c r="N42" i="14"/>
  <c r="P44" i="14"/>
  <c r="O47" i="14"/>
  <c r="N13" i="14"/>
  <c r="P15" i="14"/>
  <c r="O18" i="14"/>
  <c r="Q20" i="14"/>
  <c r="N21" i="14"/>
  <c r="P23" i="14"/>
  <c r="O26" i="14"/>
  <c r="Q28" i="14"/>
  <c r="N29" i="14"/>
  <c r="P31" i="14"/>
  <c r="O34" i="14"/>
  <c r="Q36" i="14"/>
  <c r="N37" i="14"/>
  <c r="P39" i="14"/>
  <c r="O42" i="14"/>
  <c r="Q44" i="14"/>
  <c r="N45" i="14"/>
  <c r="P47" i="14"/>
  <c r="N20" i="14"/>
  <c r="O20" i="14"/>
  <c r="N18" i="14"/>
  <c r="O29" i="14"/>
  <c r="Q31" i="14"/>
  <c r="P34" i="14"/>
  <c r="P13" i="14"/>
  <c r="O16" i="14"/>
  <c r="Q18" i="14"/>
  <c r="N19" i="14"/>
  <c r="P21" i="14"/>
  <c r="O24" i="14"/>
  <c r="Q26" i="14"/>
  <c r="N27" i="14"/>
  <c r="P29" i="14"/>
  <c r="O32" i="14"/>
  <c r="Q34" i="14"/>
  <c r="N35" i="14"/>
  <c r="P37" i="14"/>
  <c r="O40" i="14"/>
  <c r="Q42" i="14"/>
  <c r="N43" i="14"/>
  <c r="P45" i="14"/>
  <c r="O48" i="14"/>
  <c r="N28" i="14"/>
  <c r="N36" i="14"/>
  <c r="N44" i="14"/>
  <c r="N23" i="14"/>
  <c r="N39" i="14"/>
  <c r="O44" i="14"/>
  <c r="O15" i="14"/>
  <c r="P20" i="14"/>
  <c r="O23" i="14"/>
  <c r="N26" i="14"/>
  <c r="O13" i="14"/>
  <c r="Q15" i="14"/>
  <c r="P18" i="14"/>
  <c r="O21" i="14"/>
  <c r="Q23" i="14"/>
  <c r="P26" i="14"/>
  <c r="O37" i="14"/>
  <c r="Q39" i="14"/>
  <c r="P42" i="14"/>
  <c r="O45" i="14"/>
  <c r="Q47" i="14"/>
  <c r="N23" i="13"/>
  <c r="N31" i="13"/>
  <c r="N39" i="13"/>
  <c r="Q15" i="13"/>
  <c r="P18" i="13"/>
  <c r="Q18" i="13"/>
  <c r="N19" i="13"/>
  <c r="P21" i="13"/>
  <c r="Q26" i="13"/>
  <c r="N27" i="13"/>
  <c r="P29" i="13"/>
  <c r="N14" i="13"/>
  <c r="O14" i="13"/>
  <c r="N17" i="13"/>
  <c r="P19" i="13"/>
  <c r="O22" i="13"/>
  <c r="N25" i="13"/>
  <c r="P27" i="13"/>
  <c r="O30" i="13"/>
  <c r="N33" i="13"/>
  <c r="P35" i="13"/>
  <c r="O38" i="13"/>
  <c r="N41" i="13"/>
  <c r="P43" i="13"/>
  <c r="O46" i="13"/>
  <c r="N49" i="13"/>
  <c r="N15" i="13"/>
  <c r="N47" i="13"/>
  <c r="O15" i="13"/>
  <c r="N18" i="13"/>
  <c r="O23" i="13"/>
  <c r="N26" i="13"/>
  <c r="O31" i="13"/>
  <c r="N34" i="13"/>
  <c r="O39" i="13"/>
  <c r="N42" i="13"/>
  <c r="O47" i="13"/>
  <c r="N13" i="13"/>
  <c r="P15" i="13"/>
  <c r="O18" i="13"/>
  <c r="N21" i="13"/>
  <c r="P23" i="13"/>
  <c r="O26" i="13"/>
  <c r="N29" i="13"/>
  <c r="P31" i="13"/>
  <c r="O34" i="13"/>
  <c r="N37" i="13"/>
  <c r="P39" i="13"/>
  <c r="O42" i="13"/>
  <c r="N45" i="13"/>
  <c r="P47" i="13"/>
  <c r="Q23" i="13"/>
  <c r="P26" i="13"/>
  <c r="Q31" i="13"/>
  <c r="P34" i="13"/>
  <c r="Q39" i="13"/>
  <c r="P42" i="13"/>
  <c r="Q47" i="13"/>
  <c r="P13" i="13"/>
  <c r="Q34" i="13"/>
  <c r="N35" i="13"/>
  <c r="P37" i="13"/>
  <c r="Q42" i="13"/>
  <c r="N43" i="13"/>
  <c r="P45" i="13"/>
  <c r="I50" i="25" l="1"/>
  <c r="I50" i="24"/>
  <c r="I50" i="23"/>
  <c r="I50" i="22"/>
  <c r="I50" i="21"/>
  <c r="I50" i="20"/>
  <c r="I50" i="19"/>
  <c r="I50" i="18"/>
  <c r="I50" i="17"/>
  <c r="I50" i="16"/>
  <c r="I50" i="15"/>
  <c r="J46" i="4"/>
  <c r="J47" i="4"/>
  <c r="J48" i="4"/>
  <c r="J49" i="4"/>
  <c r="K46" i="4"/>
  <c r="K47" i="4"/>
  <c r="K48" i="4"/>
  <c r="K49" i="4"/>
  <c r="L46" i="4"/>
  <c r="L47" i="4"/>
  <c r="L48" i="4"/>
  <c r="L49" i="4"/>
  <c r="M46" i="4"/>
  <c r="M47" i="4"/>
  <c r="N47" i="4" s="1"/>
  <c r="M48" i="4"/>
  <c r="N48" i="4" s="1"/>
  <c r="M49" i="4"/>
  <c r="P49" i="4" s="1"/>
  <c r="N46" i="4"/>
  <c r="O46" i="4"/>
  <c r="P46" i="4"/>
  <c r="P47" i="4"/>
  <c r="Q46" i="4"/>
  <c r="Q47" i="4"/>
  <c r="J42" i="4"/>
  <c r="J43" i="4"/>
  <c r="J44" i="4"/>
  <c r="J45" i="4"/>
  <c r="K42" i="4"/>
  <c r="K43" i="4"/>
  <c r="K44" i="4"/>
  <c r="K45" i="4"/>
  <c r="L42" i="4"/>
  <c r="L43" i="4"/>
  <c r="L44" i="4"/>
  <c r="L45" i="4"/>
  <c r="M42" i="4"/>
  <c r="N42" i="4" s="1"/>
  <c r="M43" i="4"/>
  <c r="N43" i="4" s="1"/>
  <c r="M44" i="4"/>
  <c r="N44" i="4" s="1"/>
  <c r="M45" i="4"/>
  <c r="N45" i="4" s="1"/>
  <c r="O43" i="4"/>
  <c r="P43" i="4"/>
  <c r="P44" i="4"/>
  <c r="P45" i="4"/>
  <c r="Q43" i="4"/>
  <c r="Q44" i="4"/>
  <c r="Q45" i="4"/>
  <c r="J38" i="4"/>
  <c r="J39" i="4"/>
  <c r="J40" i="4"/>
  <c r="J41" i="4"/>
  <c r="K38" i="4"/>
  <c r="K39" i="4"/>
  <c r="K40" i="4"/>
  <c r="K41" i="4"/>
  <c r="L38" i="4"/>
  <c r="L39" i="4"/>
  <c r="L40" i="4"/>
  <c r="L41" i="4"/>
  <c r="M38" i="4"/>
  <c r="N38" i="4" s="1"/>
  <c r="M39" i="4"/>
  <c r="N39" i="4" s="1"/>
  <c r="M40" i="4"/>
  <c r="O40" i="4" s="1"/>
  <c r="M41" i="4"/>
  <c r="P38" i="4"/>
  <c r="P39" i="4"/>
  <c r="P40" i="4"/>
  <c r="Q38" i="4"/>
  <c r="Q39" i="4"/>
  <c r="Q40" i="4"/>
  <c r="J34" i="4"/>
  <c r="J35" i="4"/>
  <c r="J36" i="4"/>
  <c r="J37" i="4"/>
  <c r="K34" i="4"/>
  <c r="K35" i="4"/>
  <c r="K36" i="4"/>
  <c r="K37" i="4"/>
  <c r="L34" i="4"/>
  <c r="L35" i="4"/>
  <c r="L36" i="4"/>
  <c r="L37" i="4"/>
  <c r="M34" i="4"/>
  <c r="N34" i="4" s="1"/>
  <c r="M35" i="4"/>
  <c r="N35" i="4" s="1"/>
  <c r="M36" i="4"/>
  <c r="M37" i="4"/>
  <c r="P36" i="4"/>
  <c r="P37" i="4"/>
  <c r="Q36" i="4"/>
  <c r="Q37" i="4"/>
  <c r="J30" i="4"/>
  <c r="J31" i="4"/>
  <c r="J32" i="4"/>
  <c r="J33" i="4"/>
  <c r="K30" i="4"/>
  <c r="K31" i="4"/>
  <c r="K32" i="4"/>
  <c r="K33" i="4"/>
  <c r="L30" i="4"/>
  <c r="L31" i="4"/>
  <c r="L32" i="4"/>
  <c r="L33" i="4"/>
  <c r="M30" i="4"/>
  <c r="P30" i="4" s="1"/>
  <c r="M31" i="4"/>
  <c r="N31" i="4" s="1"/>
  <c r="M32" i="4"/>
  <c r="M33" i="4"/>
  <c r="P31" i="4"/>
  <c r="P32" i="4"/>
  <c r="P33" i="4"/>
  <c r="Q30" i="4"/>
  <c r="Q31" i="4"/>
  <c r="Q32" i="4"/>
  <c r="Q33" i="4"/>
  <c r="J26" i="4"/>
  <c r="J27" i="4"/>
  <c r="J28" i="4"/>
  <c r="J29" i="4"/>
  <c r="K26" i="4"/>
  <c r="K27" i="4"/>
  <c r="K28" i="4"/>
  <c r="K29" i="4"/>
  <c r="L26" i="4"/>
  <c r="L27" i="4"/>
  <c r="L28" i="4"/>
  <c r="L29" i="4"/>
  <c r="Q29" i="4" s="1"/>
  <c r="M26" i="4"/>
  <c r="N26" i="4" s="1"/>
  <c r="M27" i="4"/>
  <c r="O27" i="4" s="1"/>
  <c r="M28" i="4"/>
  <c r="M29" i="4"/>
  <c r="P26" i="4"/>
  <c r="Q26" i="4"/>
  <c r="J22" i="4"/>
  <c r="J23" i="4"/>
  <c r="J24" i="4"/>
  <c r="J25" i="4"/>
  <c r="K22" i="4"/>
  <c r="K23" i="4"/>
  <c r="K24" i="4"/>
  <c r="K25" i="4"/>
  <c r="L22" i="4"/>
  <c r="L23" i="4"/>
  <c r="L24" i="4"/>
  <c r="L25" i="4"/>
  <c r="M22" i="4"/>
  <c r="N22" i="4" s="1"/>
  <c r="M23" i="4"/>
  <c r="M24" i="4"/>
  <c r="P24" i="4" s="1"/>
  <c r="M25" i="4"/>
  <c r="P23" i="4"/>
  <c r="P25" i="4"/>
  <c r="Q23" i="4"/>
  <c r="Q25" i="4"/>
  <c r="Q24" i="4" l="1"/>
  <c r="P42" i="4"/>
  <c r="O44" i="4"/>
  <c r="O49" i="4"/>
  <c r="Q48" i="4"/>
  <c r="O48" i="4"/>
  <c r="Q49" i="4"/>
  <c r="O47" i="4"/>
  <c r="Q35" i="4"/>
  <c r="N49" i="4"/>
  <c r="P48" i="4"/>
  <c r="O42" i="4"/>
  <c r="O38" i="4"/>
  <c r="Q42" i="4"/>
  <c r="O45" i="4"/>
  <c r="O35" i="4"/>
  <c r="P34" i="4"/>
  <c r="O34" i="4"/>
  <c r="O41" i="4"/>
  <c r="O39" i="4"/>
  <c r="N41" i="4"/>
  <c r="P41" i="4"/>
  <c r="N40" i="4"/>
  <c r="Q41" i="4"/>
  <c r="Q34" i="4"/>
  <c r="Q28" i="4"/>
  <c r="O37" i="4"/>
  <c r="Q27" i="4"/>
  <c r="N30" i="4"/>
  <c r="N37" i="4"/>
  <c r="N27" i="4"/>
  <c r="O30" i="4"/>
  <c r="N36" i="4"/>
  <c r="N33" i="4"/>
  <c r="P35" i="4"/>
  <c r="O36" i="4"/>
  <c r="P27" i="4"/>
  <c r="O33" i="4"/>
  <c r="O32" i="4"/>
  <c r="P28" i="4"/>
  <c r="O31" i="4"/>
  <c r="N32" i="4"/>
  <c r="O26" i="4"/>
  <c r="N29" i="4"/>
  <c r="P29" i="4"/>
  <c r="N28" i="4"/>
  <c r="O28" i="4"/>
  <c r="O23" i="4"/>
  <c r="N24" i="4"/>
  <c r="N23" i="4"/>
  <c r="O29" i="4"/>
  <c r="P22" i="4"/>
  <c r="O25" i="4"/>
  <c r="O24" i="4"/>
  <c r="Q22" i="4"/>
  <c r="O22" i="4"/>
  <c r="N25" i="4"/>
  <c r="J17" i="4" l="1"/>
  <c r="J18" i="4"/>
  <c r="J19" i="4"/>
  <c r="J20" i="4"/>
  <c r="J21" i="4"/>
  <c r="K17" i="4"/>
  <c r="K18" i="4"/>
  <c r="K19" i="4"/>
  <c r="K20" i="4"/>
  <c r="K21" i="4"/>
  <c r="L17" i="4"/>
  <c r="L18" i="4"/>
  <c r="L19" i="4"/>
  <c r="L20" i="4"/>
  <c r="L21" i="4"/>
  <c r="M17" i="4"/>
  <c r="M18" i="4"/>
  <c r="M19" i="4"/>
  <c r="M20" i="4"/>
  <c r="M21" i="4"/>
  <c r="Q18" i="4"/>
  <c r="J13" i="4"/>
  <c r="K13" i="4"/>
  <c r="L13" i="4"/>
  <c r="M13" i="4"/>
  <c r="J14" i="4"/>
  <c r="K14" i="4"/>
  <c r="L14" i="4"/>
  <c r="M14" i="4"/>
  <c r="J15" i="4"/>
  <c r="K15" i="4"/>
  <c r="L15" i="4"/>
  <c r="M15" i="4"/>
  <c r="J16" i="4"/>
  <c r="K16" i="4"/>
  <c r="L16" i="4"/>
  <c r="M16" i="4"/>
  <c r="Q15" i="4" l="1"/>
  <c r="P17" i="4"/>
  <c r="O19" i="4"/>
  <c r="Q17" i="4"/>
  <c r="O18" i="4"/>
  <c r="P18" i="4"/>
  <c r="Q14" i="4"/>
  <c r="P14" i="4"/>
  <c r="P15" i="4"/>
  <c r="P21" i="4"/>
  <c r="Q21" i="4"/>
  <c r="J50" i="4"/>
  <c r="N14" i="4"/>
  <c r="N21" i="4"/>
  <c r="P19" i="4"/>
  <c r="P20" i="4"/>
  <c r="P16" i="4"/>
  <c r="Q13" i="4"/>
  <c r="N18" i="4"/>
  <c r="P13" i="4"/>
  <c r="O15" i="4"/>
  <c r="N15" i="4"/>
  <c r="O17" i="4"/>
  <c r="N17" i="4"/>
  <c r="O20" i="4"/>
  <c r="N20" i="4"/>
  <c r="O16" i="4"/>
  <c r="N16" i="4"/>
  <c r="N13" i="4"/>
  <c r="Q19" i="4"/>
  <c r="N19" i="4"/>
  <c r="O21" i="4"/>
  <c r="O14" i="4"/>
  <c r="O13" i="4"/>
  <c r="Q20" i="4"/>
  <c r="Q16" i="4"/>
  <c r="D2" i="2"/>
  <c r="D3" i="2"/>
  <c r="D4" i="2"/>
  <c r="D5" i="2"/>
  <c r="D8" i="2"/>
  <c r="D9" i="2"/>
  <c r="D10" i="2"/>
  <c r="D11" i="2"/>
  <c r="D12" i="2"/>
  <c r="D1" i="2"/>
  <c r="D7" i="2" l="1"/>
  <c r="D6" i="2"/>
  <c r="S49" i="14" l="1"/>
  <c r="R20" i="13"/>
  <c r="I20" i="13" s="1"/>
  <c r="R44" i="13"/>
  <c r="I44" i="13" s="1"/>
  <c r="R38" i="14"/>
  <c r="I38" i="14" s="1"/>
  <c r="S17" i="13"/>
  <c r="R28" i="13"/>
  <c r="I28" i="13" s="1"/>
  <c r="R21" i="14"/>
  <c r="I21" i="14" s="1"/>
  <c r="S29" i="14"/>
  <c r="S40" i="14"/>
  <c r="R40" i="14"/>
  <c r="I40" i="14" s="1"/>
  <c r="R17" i="14"/>
  <c r="I17" i="14" s="1"/>
  <c r="R13" i="13"/>
  <c r="I13" i="13" s="1"/>
  <c r="R44" i="14"/>
  <c r="I44" i="14" s="1"/>
  <c r="R42" i="13"/>
  <c r="I42" i="13" s="1"/>
  <c r="R39" i="13"/>
  <c r="I39" i="13" s="1"/>
  <c r="R28" i="14"/>
  <c r="I28" i="14" s="1"/>
  <c r="S48" i="13"/>
  <c r="S31" i="14"/>
  <c r="R42" i="14"/>
  <c r="I42" i="14" s="1"/>
  <c r="S34" i="14"/>
  <c r="S49" i="13"/>
  <c r="R25" i="14"/>
  <c r="I25" i="14" s="1"/>
  <c r="S43" i="14"/>
  <c r="S30" i="14"/>
  <c r="R15" i="14"/>
  <c r="I15" i="14" s="1"/>
  <c r="S46" i="13"/>
  <c r="R47" i="14"/>
  <c r="I47" i="14" s="1"/>
  <c r="R38" i="13"/>
  <c r="I38" i="13" s="1"/>
  <c r="R46" i="13"/>
  <c r="I46" i="13" s="1"/>
  <c r="S21" i="14"/>
  <c r="R34" i="14"/>
  <c r="I34" i="14" s="1"/>
  <c r="R33" i="13"/>
  <c r="I33" i="13" s="1"/>
  <c r="R21" i="13"/>
  <c r="I21" i="13" s="1"/>
  <c r="R14" i="14"/>
  <c r="I14" i="14" s="1"/>
  <c r="S41" i="13"/>
  <c r="R46" i="14"/>
  <c r="I46" i="14" s="1"/>
  <c r="S14" i="13"/>
  <c r="R45" i="13"/>
  <c r="I45" i="13" s="1"/>
  <c r="S34" i="13"/>
  <c r="S13" i="14"/>
  <c r="S40" i="13"/>
  <c r="S45" i="14"/>
  <c r="S31" i="13"/>
  <c r="S43" i="13"/>
  <c r="R17" i="13"/>
  <c r="I17" i="13" s="1"/>
  <c r="R43" i="14"/>
  <c r="I43" i="14" s="1"/>
  <c r="R19" i="13"/>
  <c r="I19" i="13" s="1"/>
  <c r="R43" i="13"/>
  <c r="I43" i="13" s="1"/>
  <c r="S37" i="14"/>
  <c r="S16" i="13"/>
  <c r="R16" i="13"/>
  <c r="I16" i="13" s="1"/>
  <c r="S16" i="14"/>
  <c r="R19" i="14"/>
  <c r="I19" i="14" s="1"/>
  <c r="S25" i="14"/>
  <c r="R30" i="14"/>
  <c r="I30" i="14" s="1"/>
  <c r="R45" i="14"/>
  <c r="I45" i="14" s="1"/>
  <c r="S26" i="13"/>
  <c r="S47" i="13"/>
  <c r="R26" i="14"/>
  <c r="I26" i="14" s="1"/>
  <c r="S15" i="13"/>
  <c r="R39" i="14"/>
  <c r="I39" i="14" s="1"/>
  <c r="R49" i="13"/>
  <c r="I49" i="13" s="1"/>
  <c r="S30" i="13"/>
  <c r="R36" i="14"/>
  <c r="I36" i="14" s="1"/>
  <c r="R29" i="14"/>
  <c r="I29" i="14" s="1"/>
  <c r="S33" i="14"/>
  <c r="R32" i="13"/>
  <c r="I32" i="13" s="1"/>
  <c r="R33" i="14"/>
  <c r="I33" i="14" s="1"/>
  <c r="R37" i="14"/>
  <c r="I37" i="14" s="1"/>
  <c r="S36" i="13"/>
  <c r="S19" i="14"/>
  <c r="R34" i="13"/>
  <c r="I34" i="13" s="1"/>
  <c r="R15" i="13"/>
  <c r="I15" i="13" s="1"/>
  <c r="S22" i="13"/>
  <c r="R37" i="13"/>
  <c r="I37" i="13" s="1"/>
  <c r="S44" i="14"/>
  <c r="S27" i="13"/>
  <c r="S46" i="14"/>
  <c r="S29" i="13"/>
  <c r="S24" i="13"/>
  <c r="R14" i="13"/>
  <c r="I14" i="13" s="1"/>
  <c r="S20" i="14"/>
  <c r="R23" i="14"/>
  <c r="I23" i="14" s="1"/>
  <c r="S33" i="13"/>
  <c r="S28" i="13"/>
  <c r="S13" i="13"/>
  <c r="R27" i="13"/>
  <c r="I27" i="13" s="1"/>
  <c r="R31" i="14"/>
  <c r="I31" i="14" s="1"/>
  <c r="S18" i="13"/>
  <c r="S32" i="13"/>
  <c r="R22" i="13"/>
  <c r="I22" i="13" s="1"/>
  <c r="S42" i="14"/>
  <c r="S41" i="14"/>
  <c r="S35" i="13"/>
  <c r="S39" i="13"/>
  <c r="S24" i="14"/>
  <c r="S27" i="14"/>
  <c r="S21" i="13"/>
  <c r="R27" i="14"/>
  <c r="I27" i="14" s="1"/>
  <c r="S32" i="14"/>
  <c r="R22" i="14"/>
  <c r="I22" i="14" s="1"/>
  <c r="R30" i="13"/>
  <c r="I30" i="13" s="1"/>
  <c r="S20" i="13"/>
  <c r="S18" i="14"/>
  <c r="R48" i="13"/>
  <c r="I48" i="13" s="1"/>
  <c r="S14" i="14"/>
  <c r="R47" i="13"/>
  <c r="I47" i="13" s="1"/>
  <c r="R20" i="14"/>
  <c r="I20" i="14" s="1"/>
  <c r="R18" i="13"/>
  <c r="I18" i="13" s="1"/>
  <c r="R31" i="13"/>
  <c r="I31" i="13" s="1"/>
  <c r="R18" i="14"/>
  <c r="I18" i="14" s="1"/>
  <c r="S36" i="14"/>
  <c r="R25" i="13"/>
  <c r="I25" i="13" s="1"/>
  <c r="S19" i="13"/>
  <c r="S44" i="13"/>
  <c r="S26" i="14"/>
  <c r="S35" i="14"/>
  <c r="R13" i="14"/>
  <c r="I13" i="14" s="1"/>
  <c r="S17" i="14"/>
  <c r="R40" i="13"/>
  <c r="I40" i="13" s="1"/>
  <c r="S25" i="13"/>
  <c r="R32" i="14"/>
  <c r="I32" i="14" s="1"/>
  <c r="R16" i="14"/>
  <c r="I16" i="14" s="1"/>
  <c r="S37" i="13"/>
  <c r="R41" i="13"/>
  <c r="I41" i="13" s="1"/>
  <c r="S23" i="14"/>
  <c r="S22" i="14"/>
  <c r="S38" i="14"/>
  <c r="S47" i="14"/>
  <c r="R24" i="14"/>
  <c r="I24" i="14" s="1"/>
  <c r="S45" i="13"/>
  <c r="R48" i="14"/>
  <c r="I48" i="14" s="1"/>
  <c r="R36" i="13"/>
  <c r="I36" i="13" s="1"/>
  <c r="R23" i="13"/>
  <c r="I23" i="13" s="1"/>
  <c r="S23" i="13"/>
  <c r="S28" i="14"/>
  <c r="R49" i="14"/>
  <c r="I49" i="14" s="1"/>
  <c r="R41" i="14"/>
  <c r="I41" i="14" s="1"/>
  <c r="R35" i="13"/>
  <c r="I35" i="13" s="1"/>
  <c r="R29" i="13"/>
  <c r="I29" i="13" s="1"/>
  <c r="S15" i="14"/>
  <c r="S42" i="13"/>
  <c r="S48" i="14"/>
  <c r="R35" i="14"/>
  <c r="I35" i="14" s="1"/>
  <c r="R24" i="13"/>
  <c r="I24" i="13" s="1"/>
  <c r="S38" i="13"/>
  <c r="R26" i="13"/>
  <c r="I26" i="13" s="1"/>
  <c r="S39" i="14"/>
  <c r="S47" i="4"/>
  <c r="S26" i="4"/>
  <c r="S37" i="4"/>
  <c r="S24" i="4"/>
  <c r="R28" i="4"/>
  <c r="I28" i="4" s="1"/>
  <c r="R48" i="4"/>
  <c r="I48" i="4" s="1"/>
  <c r="S16" i="4"/>
  <c r="S20" i="4"/>
  <c r="S28" i="4"/>
  <c r="R44" i="4"/>
  <c r="I44" i="4" s="1"/>
  <c r="R13" i="4"/>
  <c r="I13" i="4" s="1"/>
  <c r="R14" i="4"/>
  <c r="I14" i="4" s="1"/>
  <c r="R29" i="4"/>
  <c r="I29" i="4" s="1"/>
  <c r="R46" i="4"/>
  <c r="I46" i="4" s="1"/>
  <c r="R31" i="4"/>
  <c r="I31" i="4" s="1"/>
  <c r="S40" i="4"/>
  <c r="S23" i="4"/>
  <c r="S44" i="4"/>
  <c r="R22" i="4"/>
  <c r="I22" i="4" s="1"/>
  <c r="S49" i="4"/>
  <c r="R30" i="4"/>
  <c r="I30" i="4" s="1"/>
  <c r="R47" i="4"/>
  <c r="I47" i="4" s="1"/>
  <c r="S22" i="4"/>
  <c r="R19" i="4"/>
  <c r="I19" i="4" s="1"/>
  <c r="R20" i="4"/>
  <c r="I20" i="4" s="1"/>
  <c r="R38" i="4"/>
  <c r="I38" i="4" s="1"/>
  <c r="R42" i="4"/>
  <c r="I42" i="4" s="1"/>
  <c r="S13" i="4"/>
  <c r="R33" i="4"/>
  <c r="I33" i="4" s="1"/>
  <c r="S19" i="4"/>
  <c r="R45" i="4"/>
  <c r="I45" i="4" s="1"/>
  <c r="S15" i="4"/>
  <c r="S34" i="4"/>
  <c r="S48" i="4"/>
  <c r="R40" i="4"/>
  <c r="I40" i="4" s="1"/>
  <c r="R24" i="4"/>
  <c r="I24" i="4" s="1"/>
  <c r="S38" i="4"/>
  <c r="S41" i="4"/>
  <c r="S30" i="4"/>
  <c r="R49" i="4"/>
  <c r="I49" i="4" s="1"/>
  <c r="S17" i="4"/>
  <c r="R18" i="4"/>
  <c r="I18" i="4" s="1"/>
  <c r="S31" i="4"/>
  <c r="S45" i="4"/>
  <c r="S36" i="4"/>
  <c r="R34" i="4"/>
  <c r="I34" i="4" s="1"/>
  <c r="S46" i="4"/>
  <c r="S43" i="4"/>
  <c r="R26" i="4"/>
  <c r="I26" i="4" s="1"/>
  <c r="R39" i="4"/>
  <c r="I39" i="4" s="1"/>
  <c r="S33" i="4"/>
  <c r="S42" i="4"/>
  <c r="R16" i="4"/>
  <c r="I16" i="4" s="1"/>
  <c r="S25" i="4"/>
  <c r="R35" i="4"/>
  <c r="I35" i="4" s="1"/>
  <c r="R27" i="4"/>
  <c r="I27" i="4" s="1"/>
  <c r="S39" i="4"/>
  <c r="S18" i="4"/>
  <c r="S27" i="4"/>
  <c r="R23" i="4"/>
  <c r="I23" i="4" s="1"/>
  <c r="R36" i="4"/>
  <c r="I36" i="4" s="1"/>
  <c r="S14" i="4"/>
  <c r="S35" i="4"/>
  <c r="S29" i="4"/>
  <c r="R37" i="4"/>
  <c r="I37" i="4" s="1"/>
  <c r="R17" i="4"/>
  <c r="I17" i="4" s="1"/>
  <c r="S32" i="4"/>
  <c r="R25" i="4"/>
  <c r="I25" i="4" s="1"/>
  <c r="R32" i="4"/>
  <c r="I32" i="4" s="1"/>
  <c r="R15" i="4"/>
  <c r="I15" i="4" s="1"/>
  <c r="R43" i="4"/>
  <c r="I43" i="4" s="1"/>
  <c r="R21" i="4"/>
  <c r="I21" i="4" s="1"/>
  <c r="R41" i="4"/>
  <c r="I41" i="4" s="1"/>
  <c r="S21" i="4"/>
  <c r="I50" i="13" l="1"/>
  <c r="I50" i="14"/>
  <c r="I50" i="4"/>
</calcChain>
</file>

<file path=xl/sharedStrings.xml><?xml version="1.0" encoding="utf-8"?>
<sst xmlns="http://schemas.openxmlformats.org/spreadsheetml/2006/main" count="690" uniqueCount="84">
  <si>
    <t>24N</t>
  </si>
  <si>
    <t>24J</t>
  </si>
  <si>
    <t>Date</t>
  </si>
  <si>
    <t>Service</t>
  </si>
  <si>
    <t>Horaire</t>
  </si>
  <si>
    <t>début</t>
  </si>
  <si>
    <t>Fin</t>
  </si>
  <si>
    <t>heures jour dimanche</t>
  </si>
  <si>
    <t>heures jour fériés</t>
  </si>
  <si>
    <t>Lundi de Pâques</t>
  </si>
  <si>
    <t>PP Début</t>
  </si>
  <si>
    <t>PP Fin</t>
  </si>
  <si>
    <t>PNP Début</t>
  </si>
  <si>
    <t>PNP Fin</t>
  </si>
  <si>
    <t>Heures totales payées</t>
  </si>
  <si>
    <t>début nuit</t>
  </si>
  <si>
    <t>fin nuit</t>
  </si>
  <si>
    <t>début dimanche &amp; JF</t>
  </si>
  <si>
    <t>fin dimanche &amp; JF</t>
  </si>
  <si>
    <t>Fin corrigée si nuit</t>
  </si>
  <si>
    <t>PNP Début corrigé</t>
  </si>
  <si>
    <t>PNP Fin corrigée</t>
  </si>
  <si>
    <t>Heures de nuit hors PNP</t>
  </si>
  <si>
    <t>Majoration</t>
  </si>
  <si>
    <t>Mois concerné</t>
  </si>
  <si>
    <t>Matricule:</t>
  </si>
  <si>
    <t>Département:</t>
  </si>
  <si>
    <t>Pause</t>
  </si>
  <si>
    <t>Totaux                sans          majoration</t>
  </si>
  <si>
    <t>Payée</t>
  </si>
  <si>
    <t>Non payée</t>
  </si>
  <si>
    <t>Début</t>
  </si>
  <si>
    <t>TOTAUX</t>
  </si>
  <si>
    <t>Date et visa du collaborateur</t>
  </si>
  <si>
    <t>Date et visa planification</t>
  </si>
  <si>
    <t>Heures de nuit</t>
  </si>
  <si>
    <t>heures jour dimanche hors PNP</t>
  </si>
  <si>
    <t>heures jour fériés hors PNP</t>
  </si>
  <si>
    <r>
      <t>GPA S.A.</t>
    </r>
    <r>
      <rPr>
        <b/>
        <sz val="16"/>
        <color rgb="FF000000"/>
        <rFont val="Calibri"/>
        <family val="2"/>
      </rPr>
      <t>®</t>
    </r>
    <r>
      <rPr>
        <b/>
        <sz val="12"/>
        <color rgb="FF000000"/>
        <rFont val="Arial"/>
        <family val="2"/>
      </rPr>
      <t xml:space="preserve">                                  </t>
    </r>
    <r>
      <rPr>
        <sz val="11"/>
        <color rgb="FF000000"/>
        <rFont val="Arial"/>
        <family val="2"/>
      </rPr>
      <t xml:space="preserve"> </t>
    </r>
    <r>
      <rPr>
        <i/>
        <sz val="11"/>
        <color rgb="FF000000"/>
        <rFont val="Arial"/>
        <family val="2"/>
      </rPr>
      <t>Société de Sécurité Privée</t>
    </r>
  </si>
  <si>
    <t xml:space="preserve">                   DQ RH00008</t>
  </si>
  <si>
    <t xml:space="preserve">Prénom: </t>
  </si>
  <si>
    <t xml:space="preserve">      RELEVE MENSUEL DES HEURES EFFECTUEES</t>
  </si>
  <si>
    <t>BM</t>
  </si>
  <si>
    <t>20J</t>
  </si>
  <si>
    <t>25J</t>
  </si>
  <si>
    <t xml:space="preserve">25J </t>
  </si>
  <si>
    <t>Trajet BF allé</t>
  </si>
  <si>
    <t>Examen BF</t>
  </si>
  <si>
    <t>trajet BF retour</t>
  </si>
  <si>
    <t>Reunion CDS</t>
  </si>
  <si>
    <t>PHILIPPE</t>
  </si>
  <si>
    <r>
      <t xml:space="preserve">Nom:    </t>
    </r>
    <r>
      <rPr>
        <b/>
        <sz val="11"/>
        <color rgb="FF0070C0"/>
        <rFont val="Arial"/>
        <family val="2"/>
      </rPr>
      <t>CONTE</t>
    </r>
  </si>
  <si>
    <t>20N</t>
  </si>
  <si>
    <t>Tir PPA</t>
  </si>
  <si>
    <t>Vendredi Saint</t>
  </si>
  <si>
    <t>Restauration republique</t>
  </si>
  <si>
    <t>RESERVE</t>
  </si>
  <si>
    <t>Nouvel An</t>
  </si>
  <si>
    <t>Jeudi ascension</t>
  </si>
  <si>
    <t>Lundi de pentecote</t>
  </si>
  <si>
    <t>Fete nationale</t>
  </si>
  <si>
    <t>jeune Genevois</t>
  </si>
  <si>
    <t xml:space="preserve">Noel </t>
  </si>
  <si>
    <t>Vacances</t>
  </si>
  <si>
    <t>xxx</t>
  </si>
  <si>
    <t xml:space="preserve">Nom:    </t>
  </si>
  <si>
    <t>vacances</t>
  </si>
  <si>
    <t>MOIS</t>
  </si>
  <si>
    <t>JOURS TRAVAILLES (colonne A)</t>
  </si>
  <si>
    <t>MAJORATION (colonne I)</t>
  </si>
  <si>
    <t>TOTAUX SANS MAJORATION (colonne J)</t>
  </si>
  <si>
    <t>Janvier</t>
  </si>
  <si>
    <t>Février</t>
  </si>
  <si>
    <t>Mars</t>
  </si>
  <si>
    <t>Avril</t>
  </si>
  <si>
    <t>Mai</t>
  </si>
  <si>
    <t>Juin</t>
  </si>
  <si>
    <t>Juillet</t>
  </si>
  <si>
    <t>Août</t>
  </si>
  <si>
    <t>Septembre</t>
  </si>
  <si>
    <t>Octobre</t>
  </si>
  <si>
    <t>Novembre</t>
  </si>
  <si>
    <t>Décembre</t>
  </si>
  <si>
    <t>TOTAUX ANNUEL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</si>
</sst>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F800]dddd\,\ mmmm\ dd\,\ yyyy"/>
    <numFmt numFmtId="165" formatCode="h:mm;@"/>
    <numFmt numFmtId="166" formatCode="ddd\ dd/mm/yyyy"/>
    <numFmt numFmtId="167" formatCode="d\ hh:mm"/>
    <numFmt numFmtId="168" formatCode="[$-40C]mmmm\-yy;@"/>
  </numFmts>
  <fonts count="25" x14ac:knownFonts="1">
    <font>
      <sz val="11"/>
      <color theme="1"/>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b/>
      <sz val="10"/>
      <name val="Calibri"/>
      <family val="2"/>
      <scheme val="minor"/>
    </font>
    <font>
      <sz val="11"/>
      <color theme="1"/>
      <name val="Calibri"/>
      <family val="2"/>
      <scheme val="minor"/>
    </font>
    <font>
      <b/>
      <sz val="12"/>
      <color rgb="FF000000"/>
      <name val="Arial"/>
      <family val="2"/>
    </font>
    <font>
      <b/>
      <sz val="10"/>
      <color theme="1"/>
      <name val="Arial"/>
      <family val="2"/>
    </font>
    <font>
      <b/>
      <sz val="20"/>
      <color theme="1"/>
      <name val="Impact"/>
      <family val="2"/>
    </font>
    <font>
      <b/>
      <sz val="12"/>
      <color theme="1"/>
      <name val="Calibri"/>
      <family val="2"/>
      <scheme val="minor"/>
    </font>
    <font>
      <b/>
      <sz val="12"/>
      <color rgb="FFFF0000"/>
      <name val="Calibri"/>
      <family val="2"/>
      <scheme val="minor"/>
    </font>
    <font>
      <sz val="11"/>
      <color theme="1"/>
      <name val="Arial"/>
      <family val="2"/>
    </font>
    <font>
      <sz val="10"/>
      <color theme="1"/>
      <name val="Calibri"/>
      <family val="2"/>
      <scheme val="minor"/>
    </font>
    <font>
      <b/>
      <sz val="16"/>
      <color rgb="FF000000"/>
      <name val="Calibri"/>
      <family val="2"/>
    </font>
    <font>
      <sz val="11"/>
      <color rgb="FF000000"/>
      <name val="Arial"/>
      <family val="2"/>
    </font>
    <font>
      <i/>
      <sz val="11"/>
      <color rgb="FF000000"/>
      <name val="Arial"/>
      <family val="2"/>
    </font>
    <font>
      <b/>
      <sz val="11"/>
      <color rgb="FF0070C0"/>
      <name val="Arial"/>
      <family val="2"/>
    </font>
    <font>
      <b/>
      <sz val="12"/>
      <color rgb="FF0070C0"/>
      <name val="Arial"/>
      <family val="2"/>
    </font>
    <font>
      <sz val="12"/>
      <color theme="1"/>
      <name val="Arial"/>
      <family val="2"/>
    </font>
    <font>
      <sz val="11"/>
      <color theme="0"/>
      <name val="Calibri"/>
      <family val="2"/>
      <scheme val="minor"/>
    </font>
    <font>
      <sz val="9"/>
      <color theme="0"/>
      <name val="Calibri"/>
      <family val="2"/>
      <scheme val="minor"/>
    </font>
    <font>
      <sz val="10"/>
      <color theme="0"/>
      <name val="Calibri"/>
      <family val="2"/>
      <scheme val="minor"/>
    </font>
    <font>
      <b/>
      <u/>
      <sz val="11"/>
      <color theme="1"/>
      <name val="Calibri"/>
      <family val="2"/>
      <scheme val="minor"/>
    </font>
    <font>
      <sz val="11"/>
      <color rgb="FF000000"/>
      <name val="Calibri"/>
      <family val="2"/>
    </font>
    <font>
      <sz val="16"/>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rgb="FFFFFF00"/>
        <bgColor indexed="64"/>
      </patternFill>
    </fill>
    <fill>
      <patternFill patternType="solid">
        <fgColor rgb="FF00B0F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right/>
      <top style="thin">
        <color indexed="64"/>
      </top>
      <bottom style="thin">
        <color indexed="64"/>
      </bottom>
      <diagonal/>
    </border>
    <border>
      <left/>
      <right/>
      <top style="medium">
        <color indexed="64"/>
      </top>
      <bottom style="thin">
        <color theme="0" tint="-0.249977111117893"/>
      </bottom>
      <diagonal/>
    </border>
  </borders>
  <cellStyleXfs count="2">
    <xf numFmtId="0" fontId="0" fillId="0" borderId="0"/>
    <xf numFmtId="43" fontId="5" fillId="0" borderId="0" applyFont="0" applyFill="0" applyBorder="0" applyAlignment="0" applyProtection="0"/>
  </cellStyleXfs>
  <cellXfs count="127">
    <xf numFmtId="0" fontId="0" fillId="0" borderId="0" xfId="0"/>
    <xf numFmtId="0" fontId="0" fillId="0" borderId="1" xfId="0" applyFont="1" applyBorder="1" applyAlignment="1" applyProtection="1">
      <alignment horizontal="center" vertical="center"/>
      <protection locked="0"/>
    </xf>
    <xf numFmtId="165" fontId="3" fillId="0" borderId="1" xfId="0" applyNumberFormat="1" applyFont="1" applyBorder="1" applyAlignment="1" applyProtection="1">
      <alignment horizontal="center" vertical="center"/>
      <protection locked="0"/>
    </xf>
    <xf numFmtId="165" fontId="3" fillId="2" borderId="1" xfId="0" applyNumberFormat="1" applyFont="1" applyFill="1" applyBorder="1" applyAlignment="1" applyProtection="1">
      <alignment horizontal="center" vertical="center"/>
      <protection locked="0"/>
    </xf>
    <xf numFmtId="0" fontId="4" fillId="0" borderId="0" xfId="0" applyFont="1" applyFill="1" applyBorder="1" applyAlignment="1">
      <alignment horizontal="center"/>
    </xf>
    <xf numFmtId="0" fontId="3" fillId="0" borderId="0" xfId="0" applyFont="1" applyBorder="1" applyAlignment="1">
      <alignment horizontal="center"/>
    </xf>
    <xf numFmtId="0" fontId="3" fillId="0" borderId="0" xfId="0" applyFont="1" applyBorder="1" applyAlignment="1">
      <alignment horizontal="right" indent="1"/>
    </xf>
    <xf numFmtId="0" fontId="0" fillId="0" borderId="0" xfId="0" applyAlignment="1">
      <alignment horizontal="right" indent="1"/>
    </xf>
    <xf numFmtId="166" fontId="3" fillId="3" borderId="0" xfId="0" applyNumberFormat="1" applyFont="1" applyFill="1" applyBorder="1" applyAlignment="1">
      <alignment horizontal="center"/>
    </xf>
    <xf numFmtId="164" fontId="2" fillId="0" borderId="2" xfId="0" applyNumberFormat="1" applyFont="1" applyBorder="1" applyAlignment="1" applyProtection="1">
      <alignment horizontal="center" vertical="center"/>
      <protection locked="0"/>
    </xf>
    <xf numFmtId="0" fontId="0" fillId="0" borderId="7" xfId="0" applyFont="1" applyBorder="1" applyAlignment="1" applyProtection="1">
      <alignment horizontal="center" vertical="center"/>
      <protection locked="0"/>
    </xf>
    <xf numFmtId="165" fontId="3" fillId="2" borderId="7" xfId="0" applyNumberFormat="1" applyFont="1" applyFill="1" applyBorder="1" applyAlignment="1" applyProtection="1">
      <alignment horizontal="center" vertical="center"/>
      <protection locked="0"/>
    </xf>
    <xf numFmtId="0" fontId="0" fillId="0" borderId="0" xfId="0" applyFill="1" applyAlignment="1">
      <alignment horizontal="center" vertical="center" wrapText="1"/>
    </xf>
    <xf numFmtId="20" fontId="0" fillId="0" borderId="0" xfId="0" applyNumberFormat="1"/>
    <xf numFmtId="167" fontId="0" fillId="0" borderId="0" xfId="0" applyNumberFormat="1"/>
    <xf numFmtId="166" fontId="3" fillId="0" borderId="0" xfId="0" applyNumberFormat="1" applyFont="1" applyFill="1" applyBorder="1" applyAlignment="1">
      <alignment horizontal="center"/>
    </xf>
    <xf numFmtId="165" fontId="12" fillId="0" borderId="1" xfId="0" applyNumberFormat="1" applyFont="1" applyBorder="1" applyAlignment="1" applyProtection="1">
      <alignment horizontal="center" vertical="center"/>
      <protection locked="0"/>
    </xf>
    <xf numFmtId="165" fontId="12" fillId="2" borderId="1" xfId="0" applyNumberFormat="1" applyFont="1" applyFill="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2" borderId="7" xfId="0" applyNumberFormat="1" applyFont="1" applyFill="1" applyBorder="1" applyAlignment="1" applyProtection="1">
      <alignment horizontal="center" vertical="center"/>
      <protection locked="0"/>
    </xf>
    <xf numFmtId="0" fontId="16" fillId="0" borderId="16" xfId="0" applyFont="1" applyBorder="1" applyAlignment="1" applyProtection="1">
      <alignment horizontal="left" vertical="center"/>
      <protection locked="0"/>
    </xf>
    <xf numFmtId="0" fontId="0" fillId="0" borderId="0" xfId="0" applyAlignment="1">
      <alignment horizontal="center"/>
    </xf>
    <xf numFmtId="0" fontId="0" fillId="0" borderId="0" xfId="0" applyAlignment="1" applyProtection="1"/>
    <xf numFmtId="0" fontId="1" fillId="0" borderId="0" xfId="0" applyFont="1" applyAlignment="1" applyProtection="1"/>
    <xf numFmtId="0" fontId="7" fillId="0" borderId="0" xfId="0" applyFont="1" applyAlignment="1" applyProtection="1"/>
    <xf numFmtId="0" fontId="0" fillId="0" borderId="0" xfId="0" applyProtection="1"/>
    <xf numFmtId="0" fontId="0" fillId="0" borderId="0" xfId="0" applyAlignment="1" applyProtection="1">
      <alignment horizontal="center"/>
    </xf>
    <xf numFmtId="0" fontId="11" fillId="0" borderId="11" xfId="0" applyFont="1" applyBorder="1" applyAlignment="1" applyProtection="1">
      <alignment vertical="center"/>
    </xf>
    <xf numFmtId="0" fontId="18" fillId="0" borderId="13" xfId="0" applyFont="1" applyBorder="1" applyAlignment="1" applyProtection="1">
      <alignment horizontal="left"/>
    </xf>
    <xf numFmtId="0" fontId="18" fillId="0" borderId="0" xfId="0" applyFont="1" applyBorder="1" applyAlignment="1" applyProtection="1">
      <alignment horizontal="left"/>
    </xf>
    <xf numFmtId="0" fontId="18" fillId="0" borderId="14" xfId="0" applyFont="1" applyBorder="1" applyAlignment="1" applyProtection="1">
      <alignment horizontal="center"/>
    </xf>
    <xf numFmtId="0" fontId="11" fillId="0" borderId="16" xfId="0" applyFont="1" applyBorder="1" applyAlignment="1" applyProtection="1">
      <alignment horizontal="left"/>
    </xf>
    <xf numFmtId="0" fontId="11" fillId="0" borderId="17" xfId="0" applyFont="1" applyBorder="1" applyAlignment="1" applyProtection="1">
      <alignment horizontal="center"/>
    </xf>
    <xf numFmtId="0" fontId="0" fillId="0" borderId="0" xfId="0" applyFill="1" applyBorder="1" applyAlignment="1" applyProtection="1">
      <alignment horizontal="center"/>
    </xf>
    <xf numFmtId="0" fontId="1" fillId="0" borderId="4"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xf>
    <xf numFmtId="0" fontId="1" fillId="5" borderId="5" xfId="0" applyFont="1" applyFill="1" applyBorder="1" applyAlignment="1" applyProtection="1">
      <alignment horizontal="center" vertical="center" wrapText="1"/>
    </xf>
    <xf numFmtId="0" fontId="1" fillId="0" borderId="6" xfId="0" applyFont="1" applyFill="1" applyBorder="1" applyAlignment="1" applyProtection="1">
      <alignment horizontal="center" vertical="center" wrapText="1"/>
    </xf>
    <xf numFmtId="43" fontId="3" fillId="5" borderId="1" xfId="1" applyFont="1" applyFill="1" applyBorder="1" applyAlignment="1" applyProtection="1">
      <alignment horizontal="center" vertical="center"/>
    </xf>
    <xf numFmtId="43" fontId="3" fillId="0" borderId="1" xfId="1" applyFont="1" applyFill="1" applyBorder="1" applyAlignment="1" applyProtection="1">
      <alignment horizontal="center" vertical="center"/>
    </xf>
    <xf numFmtId="167" fontId="3" fillId="3" borderId="1" xfId="0" applyNumberFormat="1" applyFont="1" applyFill="1" applyBorder="1" applyAlignment="1" applyProtection="1">
      <alignment horizontal="center" vertical="center"/>
    </xf>
    <xf numFmtId="43" fontId="3" fillId="3" borderId="1" xfId="1" applyFont="1" applyFill="1" applyBorder="1" applyAlignment="1" applyProtection="1">
      <alignment horizontal="center" vertical="center"/>
    </xf>
    <xf numFmtId="43" fontId="3" fillId="3" borderId="3" xfId="1" applyFont="1" applyFill="1" applyBorder="1" applyAlignment="1" applyProtection="1">
      <alignment horizontal="center" vertical="center"/>
    </xf>
    <xf numFmtId="43" fontId="3" fillId="0" borderId="7" xfId="1" applyFont="1" applyFill="1" applyBorder="1" applyAlignment="1" applyProtection="1">
      <alignment horizontal="center" vertical="center"/>
    </xf>
    <xf numFmtId="167" fontId="3" fillId="3" borderId="7" xfId="0" applyNumberFormat="1" applyFont="1" applyFill="1" applyBorder="1" applyAlignment="1" applyProtection="1">
      <alignment horizontal="center" vertical="center"/>
    </xf>
    <xf numFmtId="43" fontId="3" fillId="3" borderId="7" xfId="1" applyFont="1" applyFill="1" applyBorder="1" applyAlignment="1" applyProtection="1">
      <alignment horizontal="center" vertical="center"/>
    </xf>
    <xf numFmtId="43" fontId="3" fillId="3" borderId="8" xfId="1" applyFont="1" applyFill="1" applyBorder="1" applyAlignment="1" applyProtection="1">
      <alignment horizontal="center" vertical="center"/>
    </xf>
    <xf numFmtId="43" fontId="12" fillId="5" borderId="1" xfId="1" applyNumberFormat="1" applyFont="1" applyFill="1" applyBorder="1" applyAlignment="1" applyProtection="1">
      <alignment horizontal="center" vertical="center"/>
    </xf>
    <xf numFmtId="43" fontId="12" fillId="0" borderId="1" xfId="1" applyNumberFormat="1" applyFont="1" applyFill="1" applyBorder="1" applyAlignment="1" applyProtection="1">
      <alignment horizontal="center" vertical="center"/>
    </xf>
    <xf numFmtId="167" fontId="12" fillId="3" borderId="3" xfId="0" applyNumberFormat="1" applyFont="1" applyFill="1" applyBorder="1" applyAlignment="1" applyProtection="1">
      <alignment horizontal="center" vertical="center"/>
    </xf>
    <xf numFmtId="167" fontId="12" fillId="3" borderId="30" xfId="0" applyNumberFormat="1" applyFont="1" applyFill="1" applyBorder="1" applyAlignment="1" applyProtection="1">
      <alignment horizontal="center" vertical="center"/>
    </xf>
    <xf numFmtId="43" fontId="12" fillId="3" borderId="30" xfId="1" applyNumberFormat="1" applyFont="1" applyFill="1" applyBorder="1" applyAlignment="1" applyProtection="1">
      <alignment horizontal="center" vertical="center"/>
    </xf>
    <xf numFmtId="43" fontId="12" fillId="5" borderId="7" xfId="1" applyNumberFormat="1" applyFont="1" applyFill="1" applyBorder="1" applyAlignment="1" applyProtection="1">
      <alignment horizontal="center" vertical="center"/>
    </xf>
    <xf numFmtId="43" fontId="12" fillId="0" borderId="7" xfId="1" applyNumberFormat="1" applyFont="1" applyFill="1" applyBorder="1" applyAlignment="1" applyProtection="1">
      <alignment horizontal="center" vertical="center"/>
    </xf>
    <xf numFmtId="167" fontId="12" fillId="3" borderId="8" xfId="0" applyNumberFormat="1" applyFont="1" applyFill="1" applyBorder="1" applyAlignment="1" applyProtection="1">
      <alignment horizontal="center" vertical="center"/>
    </xf>
    <xf numFmtId="167" fontId="12" fillId="3" borderId="9" xfId="0" applyNumberFormat="1" applyFont="1" applyFill="1" applyBorder="1" applyAlignment="1" applyProtection="1">
      <alignment horizontal="center" vertical="center"/>
    </xf>
    <xf numFmtId="43" fontId="12" fillId="3" borderId="9" xfId="1" applyNumberFormat="1" applyFont="1" applyFill="1" applyBorder="1" applyAlignment="1" applyProtection="1">
      <alignment horizontal="center" vertical="center"/>
    </xf>
    <xf numFmtId="43" fontId="3" fillId="5" borderId="1" xfId="1" applyNumberFormat="1" applyFont="1" applyFill="1" applyBorder="1" applyAlignment="1" applyProtection="1">
      <alignment horizontal="center" vertical="center"/>
    </xf>
    <xf numFmtId="43" fontId="3" fillId="0" borderId="1" xfId="1" applyNumberFormat="1" applyFont="1" applyFill="1" applyBorder="1" applyAlignment="1" applyProtection="1">
      <alignment horizontal="center" vertical="center"/>
    </xf>
    <xf numFmtId="167" fontId="3" fillId="3" borderId="3" xfId="0" applyNumberFormat="1" applyFont="1" applyFill="1" applyBorder="1" applyAlignment="1" applyProtection="1">
      <alignment horizontal="center" vertical="center"/>
    </xf>
    <xf numFmtId="167" fontId="3" fillId="3" borderId="30" xfId="0" applyNumberFormat="1" applyFont="1" applyFill="1" applyBorder="1" applyAlignment="1" applyProtection="1">
      <alignment horizontal="center" vertical="center"/>
    </xf>
    <xf numFmtId="167" fontId="3" fillId="3" borderId="1" xfId="1" applyNumberFormat="1" applyFont="1" applyFill="1" applyBorder="1" applyAlignment="1" applyProtection="1">
      <alignment horizontal="center" vertical="center"/>
    </xf>
    <xf numFmtId="43" fontId="3" fillId="3" borderId="30" xfId="1" applyNumberFormat="1" applyFont="1" applyFill="1" applyBorder="1" applyAlignment="1" applyProtection="1">
      <alignment horizontal="center" vertical="center"/>
    </xf>
    <xf numFmtId="0" fontId="0" fillId="0" borderId="0" xfId="0" applyBorder="1" applyProtection="1"/>
    <xf numFmtId="2" fontId="9" fillId="5" borderId="21" xfId="0" applyNumberFormat="1" applyFont="1" applyFill="1" applyBorder="1" applyAlignment="1" applyProtection="1">
      <alignment horizontal="center" vertical="center"/>
    </xf>
    <xf numFmtId="2" fontId="10" fillId="0" borderId="21" xfId="0" applyNumberFormat="1" applyFont="1" applyBorder="1" applyAlignment="1" applyProtection="1">
      <alignment horizontal="center" vertical="center"/>
    </xf>
    <xf numFmtId="0" fontId="0" fillId="0" borderId="0" xfId="0" applyBorder="1" applyAlignment="1" applyProtection="1">
      <alignment horizontal="center"/>
    </xf>
    <xf numFmtId="0" fontId="11" fillId="0" borderId="15" xfId="0" applyFont="1" applyBorder="1" applyAlignment="1" applyProtection="1">
      <alignment vertical="center"/>
    </xf>
    <xf numFmtId="0" fontId="0" fillId="2" borderId="1" xfId="0" applyFont="1" applyFill="1" applyBorder="1" applyAlignment="1" applyProtection="1">
      <alignment horizontal="center" vertical="center"/>
    </xf>
    <xf numFmtId="0" fontId="3" fillId="0" borderId="1" xfId="0" applyFont="1" applyBorder="1" applyAlignment="1" applyProtection="1">
      <alignment horizontal="center" vertical="center"/>
      <protection locked="0"/>
    </xf>
    <xf numFmtId="0" fontId="0" fillId="0" borderId="0" xfId="0" applyBorder="1" applyAlignment="1" applyProtection="1">
      <alignment horizontal="center"/>
    </xf>
    <xf numFmtId="0" fontId="0" fillId="2" borderId="1" xfId="0" applyFont="1" applyFill="1" applyBorder="1" applyAlignment="1" applyProtection="1">
      <alignment horizontal="center" vertical="center"/>
    </xf>
    <xf numFmtId="0" fontId="0" fillId="0" borderId="0" xfId="0" applyBorder="1" applyAlignment="1" applyProtection="1">
      <alignment horizontal="center"/>
    </xf>
    <xf numFmtId="0" fontId="0" fillId="2" borderId="1" xfId="0" applyFont="1" applyFill="1" applyBorder="1" applyAlignment="1" applyProtection="1">
      <alignment horizontal="center" vertical="center"/>
    </xf>
    <xf numFmtId="164" fontId="2" fillId="6" borderId="2" xfId="0" applyNumberFormat="1" applyFont="1" applyFill="1" applyBorder="1" applyAlignment="1" applyProtection="1">
      <alignment horizontal="center" vertical="center"/>
      <protection locked="0"/>
    </xf>
    <xf numFmtId="0" fontId="0" fillId="6" borderId="1" xfId="0" applyFont="1" applyFill="1" applyBorder="1" applyAlignment="1" applyProtection="1">
      <alignment horizontal="center" vertical="center"/>
      <protection locked="0"/>
    </xf>
    <xf numFmtId="165" fontId="3" fillId="6" borderId="1" xfId="0" applyNumberFormat="1" applyFont="1" applyFill="1" applyBorder="1" applyAlignment="1" applyProtection="1">
      <alignment horizontal="center" vertical="center"/>
      <protection locked="0"/>
    </xf>
    <xf numFmtId="43" fontId="3" fillId="6" borderId="1" xfId="1" applyFont="1" applyFill="1" applyBorder="1" applyAlignment="1" applyProtection="1">
      <alignment horizontal="center" vertical="center"/>
    </xf>
    <xf numFmtId="0" fontId="0" fillId="6" borderId="7" xfId="0" applyFont="1" applyFill="1" applyBorder="1" applyAlignment="1" applyProtection="1">
      <alignment horizontal="center" vertical="center"/>
      <protection locked="0"/>
    </xf>
    <xf numFmtId="165" fontId="3" fillId="6" borderId="7" xfId="0" applyNumberFormat="1" applyFont="1" applyFill="1" applyBorder="1" applyAlignment="1" applyProtection="1">
      <alignment horizontal="center" vertical="center"/>
      <protection locked="0"/>
    </xf>
    <xf numFmtId="43" fontId="3" fillId="6" borderId="7" xfId="1" applyFont="1" applyFill="1" applyBorder="1" applyAlignment="1" applyProtection="1">
      <alignment horizontal="center" vertical="center"/>
    </xf>
    <xf numFmtId="165" fontId="12" fillId="6" borderId="1" xfId="0" applyNumberFormat="1" applyFont="1" applyFill="1" applyBorder="1" applyAlignment="1" applyProtection="1">
      <alignment horizontal="center" vertical="center"/>
      <protection locked="0"/>
    </xf>
    <xf numFmtId="43" fontId="12" fillId="6" borderId="1" xfId="1" applyNumberFormat="1" applyFont="1" applyFill="1" applyBorder="1" applyAlignment="1" applyProtection="1">
      <alignment horizontal="center" vertical="center"/>
    </xf>
    <xf numFmtId="164" fontId="20" fillId="7" borderId="2" xfId="0" applyNumberFormat="1" applyFont="1" applyFill="1" applyBorder="1" applyAlignment="1" applyProtection="1">
      <alignment horizontal="center" vertical="center"/>
      <protection locked="0"/>
    </xf>
    <xf numFmtId="0" fontId="19" fillId="7" borderId="1" xfId="0" applyFont="1" applyFill="1" applyBorder="1" applyAlignment="1" applyProtection="1">
      <alignment horizontal="center" vertical="center"/>
      <protection locked="0"/>
    </xf>
    <xf numFmtId="165" fontId="21" fillId="7" borderId="1" xfId="0" applyNumberFormat="1" applyFont="1" applyFill="1" applyBorder="1" applyAlignment="1" applyProtection="1">
      <alignment horizontal="center" vertical="center"/>
      <protection locked="0"/>
    </xf>
    <xf numFmtId="43" fontId="21" fillId="7" borderId="1" xfId="1" applyNumberFormat="1" applyFont="1" applyFill="1" applyBorder="1" applyAlignment="1" applyProtection="1">
      <alignment horizontal="center" vertical="center"/>
    </xf>
    <xf numFmtId="20" fontId="0" fillId="0" borderId="0" xfId="0" applyNumberFormat="1" applyAlignment="1">
      <alignment horizontal="right" indent="1"/>
    </xf>
    <xf numFmtId="0" fontId="0" fillId="6" borderId="0" xfId="0" applyFill="1"/>
    <xf numFmtId="20" fontId="0" fillId="6" borderId="0" xfId="0" applyNumberFormat="1" applyFill="1" applyAlignment="1">
      <alignment horizontal="right" indent="1"/>
    </xf>
    <xf numFmtId="20" fontId="0" fillId="6" borderId="0" xfId="0" applyNumberFormat="1" applyFill="1"/>
    <xf numFmtId="0" fontId="0" fillId="0" borderId="0" xfId="0"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2" fillId="0" borderId="1" xfId="0" applyFont="1" applyBorder="1" applyAlignment="1">
      <alignment horizontal="center" vertical="center"/>
    </xf>
    <xf numFmtId="16" fontId="0" fillId="0" borderId="1" xfId="0" applyNumberFormat="1" applyFill="1" applyBorder="1" applyAlignment="1">
      <alignment horizontal="center" vertical="center"/>
    </xf>
    <xf numFmtId="0" fontId="6" fillId="0" borderId="0" xfId="0" applyFont="1" applyAlignment="1" applyProtection="1">
      <alignment horizontal="left" vertical="center" wrapText="1"/>
    </xf>
    <xf numFmtId="0" fontId="16" fillId="0" borderId="11"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1" xfId="0" applyFont="1" applyBorder="1" applyAlignment="1" applyProtection="1">
      <alignment horizontal="left"/>
    </xf>
    <xf numFmtId="168" fontId="17" fillId="0" borderId="11" xfId="0" applyNumberFormat="1" applyFont="1" applyBorder="1" applyAlignment="1" applyProtection="1">
      <alignment horizontal="left"/>
      <protection locked="0"/>
    </xf>
    <xf numFmtId="168" fontId="17" fillId="0" borderId="12" xfId="0" applyNumberFormat="1" applyFont="1" applyBorder="1" applyAlignment="1" applyProtection="1">
      <alignment horizontal="left"/>
      <protection locked="0"/>
    </xf>
    <xf numFmtId="0" fontId="11" fillId="0" borderId="10" xfId="0" applyFont="1" applyBorder="1" applyAlignment="1" applyProtection="1">
      <alignment horizontal="left" vertical="center"/>
      <protection locked="0"/>
    </xf>
    <xf numFmtId="0" fontId="11" fillId="0" borderId="11" xfId="0" applyFont="1" applyBorder="1" applyAlignment="1" applyProtection="1">
      <alignment horizontal="left" vertical="center"/>
      <protection locked="0"/>
    </xf>
    <xf numFmtId="0" fontId="8" fillId="0" borderId="0" xfId="0" applyFont="1" applyAlignment="1" applyProtection="1">
      <alignment horizontal="center" vertical="center"/>
    </xf>
    <xf numFmtId="0" fontId="8" fillId="0" borderId="16"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0" xfId="0" applyFont="1" applyBorder="1" applyAlignment="1" applyProtection="1">
      <alignment horizontal="center" vertical="center"/>
    </xf>
    <xf numFmtId="0" fontId="11" fillId="0" borderId="28" xfId="0" applyFont="1" applyBorder="1" applyAlignment="1" applyProtection="1">
      <alignment horizontal="center"/>
    </xf>
    <xf numFmtId="0" fontId="11" fillId="0" borderId="31" xfId="0" applyFont="1" applyBorder="1" applyAlignment="1" applyProtection="1">
      <alignment horizontal="center"/>
    </xf>
    <xf numFmtId="0" fontId="0" fillId="0" borderId="22" xfId="0" applyBorder="1" applyAlignment="1" applyProtection="1">
      <alignment horizontal="center"/>
    </xf>
    <xf numFmtId="0" fontId="0" fillId="0" borderId="23" xfId="0" applyBorder="1" applyAlignment="1" applyProtection="1">
      <alignment horizontal="center"/>
    </xf>
    <xf numFmtId="0" fontId="0" fillId="0" borderId="24" xfId="0" applyBorder="1" applyAlignment="1" applyProtection="1">
      <alignment horizontal="center"/>
    </xf>
    <xf numFmtId="0" fontId="0" fillId="0" borderId="25" xfId="0" applyBorder="1" applyAlignment="1" applyProtection="1">
      <alignment horizontal="center"/>
    </xf>
    <xf numFmtId="0" fontId="0" fillId="0" borderId="0" xfId="0" applyBorder="1" applyAlignment="1" applyProtection="1">
      <alignment horizontal="center"/>
    </xf>
    <xf numFmtId="0" fontId="0" fillId="0" borderId="26" xfId="0" applyBorder="1" applyAlignment="1" applyProtection="1">
      <alignment horizontal="center"/>
    </xf>
    <xf numFmtId="0" fontId="0" fillId="0" borderId="27" xfId="0" applyBorder="1" applyAlignment="1" applyProtection="1">
      <alignment horizontal="center"/>
    </xf>
    <xf numFmtId="0" fontId="0" fillId="0" borderId="28" xfId="0" applyBorder="1" applyAlignment="1" applyProtection="1">
      <alignment horizontal="center"/>
    </xf>
    <xf numFmtId="0" fontId="0" fillId="0" borderId="29" xfId="0" applyBorder="1" applyAlignment="1" applyProtection="1">
      <alignment horizontal="center"/>
    </xf>
    <xf numFmtId="0" fontId="0" fillId="0" borderId="1" xfId="0" applyFont="1" applyBorder="1" applyAlignment="1" applyProtection="1">
      <alignment horizontal="center" vertical="center"/>
    </xf>
    <xf numFmtId="0" fontId="0" fillId="2" borderId="1" xfId="0" applyFont="1" applyFill="1" applyBorder="1" applyAlignment="1" applyProtection="1">
      <alignment horizontal="center" vertical="center"/>
    </xf>
    <xf numFmtId="2" fontId="0" fillId="5" borderId="1" xfId="0" applyNumberFormat="1" applyFont="1" applyFill="1" applyBorder="1" applyAlignment="1" applyProtection="1">
      <alignment horizontal="center" vertical="center"/>
    </xf>
    <xf numFmtId="0" fontId="0" fillId="4" borderId="1" xfId="0" applyFont="1" applyFill="1" applyBorder="1" applyAlignment="1" applyProtection="1">
      <alignment horizontal="center" vertical="center" wrapText="1"/>
    </xf>
    <xf numFmtId="0" fontId="0" fillId="0" borderId="1" xfId="0" applyFont="1" applyBorder="1" applyAlignment="1" applyProtection="1">
      <alignment horizontal="center" vertical="top"/>
    </xf>
    <xf numFmtId="0" fontId="0" fillId="0" borderId="1" xfId="0" applyNumberFormat="1" applyBorder="1" applyAlignment="1">
      <alignment horizontal="center" vertical="center"/>
    </xf>
    <xf numFmtId="0" fontId="24" fillId="6" borderId="0" xfId="0" applyFont="1" applyFill="1" applyAlignment="1">
      <alignment horizontal="center" vertical="center"/>
    </xf>
  </cellXfs>
  <cellStyles count="2">
    <cellStyle name="Milliers" xfId="1" builtinId="3"/>
    <cellStyle name="Normal" xfId="0" builtinId="0"/>
  </cellStyles>
  <dxfs count="336">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solid">
          <fgColor indexed="64"/>
          <bgColor theme="0" tint="-4.9989318521683403E-2"/>
        </patternFill>
      </fill>
      <alignment horizontal="center" vertical="center" textRotation="0" wrapText="0" indent="0" justifyLastLine="0" shrinkToFit="0" readingOrder="0"/>
      <protection locked="1" hidden="0"/>
    </dxf>
    <dxf>
      <border outline="0">
        <bottom style="thin">
          <color indexed="64"/>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53340</xdr:colOff>
      <xdr:row>24</xdr:row>
      <xdr:rowOff>57150</xdr:rowOff>
    </xdr:from>
    <xdr:to>
      <xdr:col>8</xdr:col>
      <xdr:colOff>558800</xdr:colOff>
      <xdr:row>26</xdr:row>
      <xdr:rowOff>134620</xdr:rowOff>
    </xdr:to>
    <xdr:sp macro="" textlink="">
      <xdr:nvSpPr>
        <xdr:cNvPr id="4" name="ZoneTexte 3"/>
        <xdr:cNvSpPr txBox="1"/>
      </xdr:nvSpPr>
      <xdr:spPr>
        <a:xfrm>
          <a:off x="3590290" y="4318000"/>
          <a:ext cx="2505710" cy="52832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bg1"/>
              </a:solidFill>
            </a:rPr>
            <a:t>Ici devrait apparaitre</a:t>
          </a:r>
          <a:r>
            <a:rPr lang="fr-FR" sz="1100" baseline="0">
              <a:solidFill>
                <a:schemeClr val="bg1"/>
              </a:solidFill>
            </a:rPr>
            <a:t> les 10% de majoration sur les heures entre 23h00 et 06h00</a:t>
          </a:r>
          <a:endParaRPr lang="fr-FR" sz="1100">
            <a:solidFill>
              <a:schemeClr val="bg1"/>
            </a:solidFill>
          </a:endParaRPr>
        </a:p>
      </xdr:txBody>
    </xdr:sp>
    <xdr:clientData/>
  </xdr:twoCellAnchor>
  <xdr:twoCellAnchor>
    <xdr:from>
      <xdr:col>8</xdr:col>
      <xdr:colOff>273050</xdr:colOff>
      <xdr:row>23</xdr:row>
      <xdr:rowOff>114300</xdr:rowOff>
    </xdr:from>
    <xdr:to>
      <xdr:col>8</xdr:col>
      <xdr:colOff>419100</xdr:colOff>
      <xdr:row>24</xdr:row>
      <xdr:rowOff>50800</xdr:rowOff>
    </xdr:to>
    <xdr:cxnSp macro="">
      <xdr:nvCxnSpPr>
        <xdr:cNvPr id="6" name="Connecteur droit avec flèche 5"/>
        <xdr:cNvCxnSpPr/>
      </xdr:nvCxnSpPr>
      <xdr:spPr>
        <a:xfrm flipV="1">
          <a:off x="5810250" y="4191000"/>
          <a:ext cx="146050" cy="12065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114300</xdr:colOff>
      <xdr:row>22</xdr:row>
      <xdr:rowOff>106680</xdr:rowOff>
    </xdr:from>
    <xdr:to>
      <xdr:col>8</xdr:col>
      <xdr:colOff>411480</xdr:colOff>
      <xdr:row>24</xdr:row>
      <xdr:rowOff>50800</xdr:rowOff>
    </xdr:to>
    <xdr:cxnSp macro="">
      <xdr:nvCxnSpPr>
        <xdr:cNvPr id="7" name="Connecteur droit avec flèche 6"/>
        <xdr:cNvCxnSpPr/>
      </xdr:nvCxnSpPr>
      <xdr:spPr>
        <a:xfrm flipV="1">
          <a:off x="5651500" y="3999230"/>
          <a:ext cx="297180" cy="31242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139700</xdr:colOff>
      <xdr:row>7</xdr:row>
      <xdr:rowOff>19050</xdr:rowOff>
    </xdr:from>
    <xdr:to>
      <xdr:col>28</xdr:col>
      <xdr:colOff>609600</xdr:colOff>
      <xdr:row>23</xdr:row>
      <xdr:rowOff>63500</xdr:rowOff>
    </xdr:to>
    <xdr:sp macro="" textlink="">
      <xdr:nvSpPr>
        <xdr:cNvPr id="2" name="ZoneTexte 1"/>
        <xdr:cNvSpPr txBox="1"/>
      </xdr:nvSpPr>
      <xdr:spPr>
        <a:xfrm>
          <a:off x="14827250" y="1371600"/>
          <a:ext cx="6565900" cy="3321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les majorations ne se mettaient pas dans la colonne I dés lors que l’on saisi des horaires à partir de 00h00 et jusqu'à 06h00 </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avoir le récapitulatif de chaque onglets les totaux en nombre des jours travaillés saisis. Si par exemple je saisi 5 dates en janvier je souhaiterais avec dans l’onglet totaux le nombre 5 qui apparait en face de la ligne janvier et idem pour les majorations et totaux sans majoration</a:t>
          </a:r>
        </a:p>
        <a:p>
          <a:r>
            <a:rPr lang="fr-FR"/>
            <a:t/>
          </a:r>
          <a:br>
            <a:rPr lang="fr-FR"/>
          </a:br>
          <a:r>
            <a:rPr lang="fr-FR" sz="1100" b="0" i="0">
              <a:solidFill>
                <a:schemeClr val="dk1"/>
              </a:solidFill>
              <a:effectLst/>
              <a:latin typeface="+mn-lt"/>
              <a:ea typeface="+mn-ea"/>
              <a:cs typeface="+mn-cs"/>
            </a:rPr>
            <a:t>mettre dans l’onglet JF une ligne « vacances avec des plages horaires que je pourrais modifier en fonction des services de mes personnels et que cette plage horaire se mette automatiquement dans les feuilles mensuelles dés lors que je saisi le mot vacances dans la colonne B</a:t>
          </a:r>
        </a:p>
        <a:p>
          <a:r>
            <a:rPr lang="fr-FR"/>
            <a:t/>
          </a:r>
          <a:br>
            <a:rPr lang="fr-FR"/>
          </a:br>
          <a:r>
            <a:rPr lang="fr-FR" sz="1100" b="0" i="0">
              <a:solidFill>
                <a:schemeClr val="dk1"/>
              </a:solidFill>
              <a:effectLst/>
              <a:latin typeface="+mn-lt"/>
              <a:ea typeface="+mn-ea"/>
              <a:cs typeface="+mn-cs"/>
            </a:rPr>
            <a:t>mettre dans l’onglet un bouton d’effacement total des données saisies dans le classeur ( avec une confirmation de suppression afin de ne pas faire de fausse manip) pour que je puisse effacer et reconfigurer le classeur pour l’année d’après...dans l'onglet paramètre qu'il serai souhaitable de le mettre car avec l'onglet JF ils sont cachés et protégés afin de ne pas en effacer les données</a:t>
          </a:r>
        </a:p>
        <a:p>
          <a:r>
            <a:rPr lang="fr-FR"/>
            <a:t/>
          </a:r>
          <a:br>
            <a:rPr lang="fr-FR"/>
          </a:br>
          <a:r>
            <a:rPr lang="fr-FR" sz="1100" b="0" i="0">
              <a:solidFill>
                <a:schemeClr val="dk1"/>
              </a:solidFill>
              <a:effectLst/>
              <a:latin typeface="+mn-lt"/>
              <a:ea typeface="+mn-ea"/>
              <a:cs typeface="+mn-cs"/>
            </a:rPr>
            <a:t>avoir une redondance sur le nom de l’onglet et le mois affiché dans la feuille de calcul afin de ne pas a avoir à recopier systématiquement le mois.</a:t>
          </a:r>
        </a:p>
        <a:p>
          <a:endParaRPr lang="fr-FR" sz="1100" b="0" i="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120650</xdr:colOff>
      <xdr:row>2</xdr:row>
      <xdr:rowOff>6350</xdr:rowOff>
    </xdr:from>
    <xdr:to>
      <xdr:col>5</xdr:col>
      <xdr:colOff>381000</xdr:colOff>
      <xdr:row>4</xdr:row>
      <xdr:rowOff>133350</xdr:rowOff>
    </xdr:to>
    <xdr:sp macro="" textlink="">
      <xdr:nvSpPr>
        <xdr:cNvPr id="2" name="Rectangle à coins arrondis 1"/>
        <xdr:cNvSpPr/>
      </xdr:nvSpPr>
      <xdr:spPr>
        <a:xfrm>
          <a:off x="3162300" y="374650"/>
          <a:ext cx="1784350" cy="495300"/>
        </a:xfrm>
        <a:prstGeom prst="wedgeRoundRectCallout">
          <a:avLst>
            <a:gd name="adj1" fmla="val -91191"/>
            <a:gd name="adj2" fmla="val -5766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1 indique le jour d'après pour faciliter les calculs</a:t>
          </a:r>
        </a:p>
      </xdr:txBody>
    </xdr:sp>
    <xdr:clientData/>
  </xdr:twoCellAnchor>
  <mc:AlternateContent xmlns:mc="http://schemas.openxmlformats.org/markup-compatibility/2006">
    <mc:Choice xmlns:a14="http://schemas.microsoft.com/office/drawing/2010/main" Requires="a14">
      <xdr:twoCellAnchor>
        <xdr:from>
          <xdr:col>1</xdr:col>
          <xdr:colOff>0</xdr:colOff>
          <xdr:row>6</xdr:row>
          <xdr:rowOff>158750</xdr:rowOff>
        </xdr:from>
        <xdr:to>
          <xdr:col>3</xdr:col>
          <xdr:colOff>12700</xdr:colOff>
          <xdr:row>9</xdr:row>
          <xdr:rowOff>177800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EFFACEMENT DU CLASSEUR</a:t>
              </a:r>
            </a:p>
          </xdr:txBody>
        </xdr:sp>
        <xdr:clientData fPrintsWithSheet="0"/>
      </xdr:twoCellAnchor>
    </mc:Choice>
    <mc:Fallback/>
  </mc:AlternateContent>
  <xdr:twoCellAnchor>
    <xdr:from>
      <xdr:col>2</xdr:col>
      <xdr:colOff>754380</xdr:colOff>
      <xdr:row>10</xdr:row>
      <xdr:rowOff>106680</xdr:rowOff>
    </xdr:from>
    <xdr:to>
      <xdr:col>5</xdr:col>
      <xdr:colOff>396240</xdr:colOff>
      <xdr:row>17</xdr:row>
      <xdr:rowOff>38100</xdr:rowOff>
    </xdr:to>
    <xdr:sp macro="" textlink="">
      <xdr:nvSpPr>
        <xdr:cNvPr id="3" name="ZoneTexte 2"/>
        <xdr:cNvSpPr txBox="1"/>
      </xdr:nvSpPr>
      <xdr:spPr>
        <a:xfrm>
          <a:off x="3040380" y="1935480"/>
          <a:ext cx="2019300" cy="121158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Avec</a:t>
          </a:r>
          <a:r>
            <a:rPr lang="fr-FR" sz="1100" baseline="0"/>
            <a:t> si possible une confirmation de suppression afin de ne pas supprimer toutes les données par un appuie malhencontreux</a:t>
          </a:r>
          <a:endParaRPr lang="fr-FR" sz="1100"/>
        </a:p>
      </xdr:txBody>
    </xdr:sp>
    <xdr:clientData/>
  </xdr:twoCellAnchor>
</xdr:wsDr>
</file>

<file path=xl/tables/table1.xml><?xml version="1.0" encoding="utf-8"?>
<table xmlns="http://schemas.openxmlformats.org/spreadsheetml/2006/main" id="1" name="Horaires" displayName="Horaires" ref="A12:S49" totalsRowShown="0" headerRowDxfId="335" dataDxfId="333" headerRowBorderDxfId="334" tableBorderDxfId="332" totalsRowBorderDxfId="331">
  <autoFilter ref="A12:S49"/>
  <tableColumns count="19">
    <tableColumn id="1" name="Date" dataDxfId="330"/>
    <tableColumn id="2" name="Service" dataDxfId="329"/>
    <tableColumn id="3" name="début" dataDxfId="328"/>
    <tableColumn id="4" name="Fin" dataDxfId="327"/>
    <tableColumn id="5" name="PP Début" dataDxfId="326"/>
    <tableColumn id="6" name="PP Fin" dataDxfId="325"/>
    <tableColumn id="7" name="PNP Début" dataDxfId="324"/>
    <tableColumn id="8" name="PNP Fin" dataDxfId="323"/>
    <tableColumn id="10" name="Majoration" dataDxfId="322" dataCellStyle="Milliers">
      <calculatedColumnFormula>0.1*(Horaires[[#This Row],[Heures de nuit]]+Horaires[[#This Row],[heures jour dimanche]]+Horaires[[#This Row],[heures jour fériés]])</calculatedColumnFormula>
    </tableColumn>
    <tableColumn id="9" name="Heures totales payées" dataDxfId="321" dataCellStyle="Milliers">
      <calculatedColumnFormula>(MOD(Horaires[[#This Row],[Fin]]-Horaires[[#This Row],[début]],1)-MOD(Horaires[[#This Row],[PNP Fin]]-Horaires[[#This Row],[PNP Début]],1))*24</calculatedColumnFormula>
    </tableColumn>
    <tableColumn id="15" name="PNP Début corrigé" dataDxfId="320">
      <calculatedColumnFormula>IF(Horaires[[#This Row],[PNP Début]]=0,0,IF(Horaires[[#This Row],[PNP Début]]&lt;Horaires[[#This Row],[début]],1,0)+Horaires[[#This Row],[PNP Début]])</calculatedColumnFormula>
    </tableColumn>
    <tableColumn id="16" name="PNP Fin corrigée" dataDxfId="319">
      <calculatedColumnFormula>IF(Horaires[[#This Row],[PNP Fin]]=0,0,IF(Horaires[[#This Row],[PNP Fin]]&lt;Horaires[[#This Row],[début]],1,0)+Horaires[[#This Row],[PNP Fin]])</calculatedColumnFormula>
    </tableColumn>
    <tableColumn id="14" name="Fin corrigée si nuit" dataDxfId="318">
      <calculatedColumnFormula>IF(Horaires[[#This Row],[Fin]]&lt;Horaires[[#This Row],[début]],1,0)+Horaires[[#This Row],[Fin]]</calculatedColumnFormula>
    </tableColumn>
    <tableColumn id="13" name="Heures de nuit" dataDxfId="317" dataCellStyle="Milliers">
      <calculatedColumnFormula>MAX(0,MIN(Horaires[[#This Row],[Fin corrigée si nuit]],fin_nuit)-MAX(Horaires[[#This Row],[début]],deb_nuit))*24</calculatedColumnFormula>
    </tableColumn>
    <tableColumn id="17" name="Heures de nuit hors PNP" dataDxfId="316" dataCellStyle="Milliers">
      <calculatedColumnFormula>(MAX(0,MIN(Horaires[[#This Row],[Fin corrigée si nuit]],fin_nuit)-MAX(Horaires[[#This Row],[début]],deb_nuit))-IF(Horaires[[#This Row],[PNP Début]]=0,0,MIN(Horaires[[#This Row],[PNP Fin corrigée]],fin_nuit)-MAX(Horaires[[#This Row],[PNP Début corrigé]],deb_nuit)))*24</calculatedColumnFormula>
    </tableColumn>
    <tableColumn id="18" name="heures jour dimanche" dataDxfId="315" dataCellStyle="Milliers">
      <calculatedColumnFormula>(IF(WEEKDAY(Horaires[[#This Row],[Date]],2)=7,MAX(0,MIN(fin_dimJF,Horaires[[#This Row],[Fin corrigée si nuit]])-MAX(deb_dimJF,Horaires[[#This Row],[début]])),0)+IF(WEEKDAY(Horaires[[#This Row],[Date]],2)=6,MAX(0,Horaires[[#This Row],[Fin corrigée si nuit]]-(1+deb_dimJF)),0))*24</calculatedColumnFormula>
    </tableColumn>
    <tableColumn id="11" name="heures jour dimanche hors PNP" dataDxfId="314" dataCellStyle="Milliers">
      <calculatedColumnFormula>(IF(WEEKDAY(Horaires[[#This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calculatedColumnFormula>
    </tableColumn>
    <tableColumn id="19" name="heures jour fériés" dataDxfId="313" dataCellStyle="Milliers">
      <calculatedColumnFormula>(IF(COUNTIF(JF,Horaires[[#This Row],[Date]]),MAX(0,MIN(fin_dimJF,Horaires[[#This Row],[Fin corrigée si nuit]])-MAX(deb_dimJF,Horaires[[#This Row],[début]])),0)+IF(COUNTIF(JF,Horaires[[#This Row],[Date]]+1),MAX(0,Horaires[[#This Row],[Fin corrigée si nuit]]-(1+deb_dimJF)),0))*24</calculatedColumnFormula>
    </tableColumn>
    <tableColumn id="12" name="heures jour fériés hors PNP" dataDxfId="312" dataCellStyle="Milliers">
      <calculatedColumnFormula>(IF(COUNTIF(JF,Horaires[[#This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calculatedColumnFormula>
    </tableColumn>
  </tableColumns>
  <tableStyleInfo name="TableStyleLight9" showFirstColumn="0" showLastColumn="0" showRowStripes="1" showColumnStripes="0"/>
</table>
</file>

<file path=xl/tables/table2.xml><?xml version="1.0" encoding="utf-8"?>
<table xmlns="http://schemas.openxmlformats.org/spreadsheetml/2006/main" id="5" name="Horaires356" displayName="Horaires356" ref="A12:S49" totalsRowShown="0" headerRowDxfId="311" dataDxfId="309" headerRowBorderDxfId="310" tableBorderDxfId="308" totalsRowBorderDxfId="307">
  <autoFilter ref="A12:S49"/>
  <tableColumns count="19">
    <tableColumn id="1" name="Date" dataDxfId="306"/>
    <tableColumn id="2" name="Service" dataDxfId="305"/>
    <tableColumn id="3" name="début" dataDxfId="304"/>
    <tableColumn id="4" name="Fin" dataDxfId="303"/>
    <tableColumn id="5" name="PP Début" dataDxfId="302"/>
    <tableColumn id="6" name="PP Fin" dataDxfId="301"/>
    <tableColumn id="7" name="PNP Début" dataDxfId="300"/>
    <tableColumn id="8" name="PNP Fin" dataDxfId="299"/>
    <tableColumn id="10" name="Majoration" dataDxfId="298" dataCellStyle="Milliers">
      <calculatedColumnFormula>0.1*(Horaires356[[#This Row],[Heures de nuit]]+Horaires356[[#This Row],[heures jour dimanche]]+Horaires356[[#This Row],[heures jour fériés]])</calculatedColumnFormula>
    </tableColumn>
    <tableColumn id="9" name="Heures totales payées" dataDxfId="297" dataCellStyle="Milliers">
      <calculatedColumnFormula>(MOD(Horaires356[[#This Row],[Fin]]-Horaires356[[#This Row],[début]],1)-MOD(Horaires356[[#This Row],[PNP Fin]]-Horaires356[[#This Row],[PNP Début]],1))*24</calculatedColumnFormula>
    </tableColumn>
    <tableColumn id="15" name="PNP Début corrigé" dataDxfId="296">
      <calculatedColumnFormula>IF(Horaires356[[#This Row],[PNP Début]]=0,0,IF(Horaires356[[#This Row],[PNP Début]]&lt;Horaires356[[#This Row],[début]],1,0)+Horaires356[[#This Row],[PNP Début]])</calculatedColumnFormula>
    </tableColumn>
    <tableColumn id="16" name="PNP Fin corrigée" dataDxfId="295">
      <calculatedColumnFormula>IF(Horaires356[[#This Row],[PNP Fin]]=0,0,IF(Horaires356[[#This Row],[PNP Fin]]&lt;Horaires356[[#This Row],[début]],1,0)+Horaires356[[#This Row],[PNP Fin]])</calculatedColumnFormula>
    </tableColumn>
    <tableColumn id="14" name="Fin corrigée si nuit" dataDxfId="294">
      <calculatedColumnFormula>IF(Horaires356[[#This Row],[Fin]]&lt;Horaires356[[#This Row],[début]],1,0)+Horaires356[[#This Row],[Fin]]</calculatedColumnFormula>
    </tableColumn>
    <tableColumn id="13" name="Heures de nuit" dataDxfId="293" dataCellStyle="Milliers">
      <calculatedColumnFormula>MAX(0,MIN(Horaires356[[#This Row],[Fin corrigée si nuit]],fin_nuit)-MAX(Horaires356[[#This Row],[début]],deb_nuit))*24</calculatedColumnFormula>
    </tableColumn>
    <tableColumn id="17" name="Heures de nuit hors PNP" dataDxfId="292" dataCellStyle="Milliers">
      <calculatedColumnFormula>(MAX(0,MIN(Horaires356[[#This Row],[Fin corrigée si nuit]],fin_nuit)-MAX(Horaires356[[#This Row],[début]],deb_nuit))-IF(Horaires356[[#This Row],[PNP Début]]=0,0,MIN(Horaires356[[#This Row],[PNP Fin corrigée]],fin_nuit)-MAX(Horaires356[[#This Row],[PNP Début corrigé]],deb_nuit)))*24</calculatedColumnFormula>
    </tableColumn>
    <tableColumn id="18" name="heures jour dimanche" dataDxfId="291" dataCellStyle="Milliers">
      <calculatedColumnFormula>(IF(WEEKDAY(Horaires356[[#This Row],[Date]],2)=7,MAX(0,MIN(fin_dimJF,Horaires356[[#This Row],[Fin corrigée si nuit]])-MAX(deb_dimJF,Horaires356[[#This Row],[début]])),0)+IF(WEEKDAY(Horaires356[[#This Row],[Date]],2)=6,MAX(0,Horaires356[[#This Row],[Fin corrigée si nuit]]-(1+deb_dimJF)),0))*24</calculatedColumnFormula>
    </tableColumn>
    <tableColumn id="11" name="heures jour dimanche hors PNP" dataDxfId="290" dataCellStyle="Milliers">
      <calculatedColumnFormula>(IF(WEEKDAY(Horaires356[[#This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calculatedColumnFormula>
    </tableColumn>
    <tableColumn id="19" name="heures jour fériés" dataDxfId="289" dataCellStyle="Milliers">
      <calculatedColumnFormula>(IF(COUNTIF(JF,Horaires356[[#This Row],[Date]]),MAX(0,MIN(fin_dimJF,Horaires356[[#This Row],[Fin corrigée si nuit]])-MAX(deb_dimJF,Horaires356[[#This Row],[début]])),0)+IF(COUNTIF(JF,Horaires356[[#This Row],[Date]]+1),MAX(0,Horaires356[[#This Row],[Fin corrigée si nuit]]-(1+deb_dimJF)),0))*24</calculatedColumnFormula>
    </tableColumn>
    <tableColumn id="12" name="heures jour fériés hors PNP" dataDxfId="288" dataCellStyle="Milliers">
      <calculatedColumnFormula>(IF(COUNTIF(JF,Horaires356[[#This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calculatedColumnFormula>
    </tableColumn>
  </tableColumns>
  <tableStyleInfo name="TableStyleLight9" showFirstColumn="0" showLastColumn="0" showRowStripes="1" showColumnStripes="0"/>
</table>
</file>

<file path=xl/tables/table3.xml><?xml version="1.0" encoding="utf-8"?>
<table xmlns="http://schemas.openxmlformats.org/spreadsheetml/2006/main" id="6" name="Horaires3567" displayName="Horaires3567" ref="A12:S49" totalsRowShown="0" headerRowDxfId="287" dataDxfId="285" headerRowBorderDxfId="286" tableBorderDxfId="284" totalsRowBorderDxfId="283">
  <autoFilter ref="A12:S49"/>
  <tableColumns count="19">
    <tableColumn id="1" name="Date" dataDxfId="282"/>
    <tableColumn id="2" name="Service" dataDxfId="281"/>
    <tableColumn id="3" name="début" dataDxfId="280"/>
    <tableColumn id="4" name="Fin" dataDxfId="279"/>
    <tableColumn id="5" name="PP Début" dataDxfId="278"/>
    <tableColumn id="6" name="PP Fin" dataDxfId="277"/>
    <tableColumn id="7" name="PNP Début" dataDxfId="276"/>
    <tableColumn id="8" name="PNP Fin" dataDxfId="275"/>
    <tableColumn id="10" name="Majoration" dataDxfId="274" dataCellStyle="Milliers">
      <calculatedColumnFormula>0.1*(Horaires3567[[#This Row],[Heures de nuit]]+Horaires3567[[#This Row],[heures jour dimanche]]+Horaires3567[[#This Row],[heures jour fériés]])</calculatedColumnFormula>
    </tableColumn>
    <tableColumn id="9" name="Heures totales payées" dataDxfId="273" dataCellStyle="Milliers">
      <calculatedColumnFormula>(MOD(Horaires3567[[#This Row],[Fin]]-Horaires3567[[#This Row],[début]],1)-MOD(Horaires3567[[#This Row],[PNP Fin]]-Horaires3567[[#This Row],[PNP Début]],1))*24</calculatedColumnFormula>
    </tableColumn>
    <tableColumn id="15" name="PNP Début corrigé" dataDxfId="272">
      <calculatedColumnFormula>IF(Horaires3567[[#This Row],[PNP Début]]=0,0,IF(Horaires3567[[#This Row],[PNP Début]]&lt;Horaires3567[[#This Row],[début]],1,0)+Horaires3567[[#This Row],[PNP Début]])</calculatedColumnFormula>
    </tableColumn>
    <tableColumn id="16" name="PNP Fin corrigée" dataDxfId="271">
      <calculatedColumnFormula>IF(Horaires3567[[#This Row],[PNP Fin]]=0,0,IF(Horaires3567[[#This Row],[PNP Fin]]&lt;Horaires3567[[#This Row],[début]],1,0)+Horaires3567[[#This Row],[PNP Fin]])</calculatedColumnFormula>
    </tableColumn>
    <tableColumn id="14" name="Fin corrigée si nuit" dataDxfId="270">
      <calculatedColumnFormula>IF(Horaires3567[[#This Row],[Fin]]&lt;Horaires3567[[#This Row],[début]],1,0)+Horaires3567[[#This Row],[Fin]]</calculatedColumnFormula>
    </tableColumn>
    <tableColumn id="13" name="Heures de nuit" dataDxfId="269" dataCellStyle="Milliers">
      <calculatedColumnFormula>MAX(0,MIN(Horaires3567[[#This Row],[Fin corrigée si nuit]],fin_nuit)-MAX(Horaires3567[[#This Row],[début]],deb_nuit))*24</calculatedColumnFormula>
    </tableColumn>
    <tableColumn id="17" name="Heures de nuit hors PNP" dataDxfId="268" dataCellStyle="Milliers">
      <calculatedColumnFormula>(MAX(0,MIN(Horaires3567[[#This Row],[Fin corrigée si nuit]],fin_nuit)-MAX(Horaires3567[[#This Row],[début]],deb_nuit))-IF(Horaires3567[[#This Row],[PNP Début]]=0,0,MIN(Horaires3567[[#This Row],[PNP Fin corrigée]],fin_nuit)-MAX(Horaires3567[[#This Row],[PNP Début corrigé]],deb_nuit)))*24</calculatedColumnFormula>
    </tableColumn>
    <tableColumn id="18" name="heures jour dimanche" dataDxfId="267" dataCellStyle="Milliers">
      <calculatedColumnFormula>(IF(WEEKDAY(Horaires3567[[#This Row],[Date]],2)=7,MAX(0,MIN(fin_dimJF,Horaires3567[[#This Row],[Fin corrigée si nuit]])-MAX(deb_dimJF,Horaires3567[[#This Row],[début]])),0)+IF(WEEKDAY(Horaires3567[[#This Row],[Date]],2)=6,MAX(0,Horaires3567[[#This Row],[Fin corrigée si nuit]]-(1+deb_dimJF)),0))*24</calculatedColumnFormula>
    </tableColumn>
    <tableColumn id="11" name="heures jour dimanche hors PNP" dataDxfId="266" dataCellStyle="Milliers">
      <calculatedColumnFormula>(IF(WEEKDAY(Horaires3567[[#This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calculatedColumnFormula>
    </tableColumn>
    <tableColumn id="19" name="heures jour fériés" dataDxfId="265" dataCellStyle="Milliers">
      <calculatedColumnFormula>(IF(COUNTIF(JF,Horaires3567[[#This Row],[Date]]),MAX(0,MIN(fin_dimJF,Horaires3567[[#This Row],[Fin corrigée si nuit]])-MAX(deb_dimJF,Horaires3567[[#This Row],[début]])),0)+IF(COUNTIF(JF,Horaires3567[[#This Row],[Date]]+1),MAX(0,Horaires3567[[#This Row],[Fin corrigée si nuit]]-(1+deb_dimJF)),0))*24</calculatedColumnFormula>
    </tableColumn>
    <tableColumn id="12" name="heures jour fériés hors PNP" dataDxfId="264" dataCellStyle="Milliers">
      <calculatedColumnFormula>(IF(COUNTIF(JF,Horaires3567[[#This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calculatedColumnFormula>
    </tableColumn>
  </tableColumns>
  <tableStyleInfo name="TableStyleLight9" showFirstColumn="0" showLastColumn="0" showRowStripes="1" showColumnStripes="0"/>
</table>
</file>

<file path=xl/tables/table4.xml><?xml version="1.0" encoding="utf-8"?>
<table xmlns="http://schemas.openxmlformats.org/spreadsheetml/2006/main" id="2" name="Horaires35673" displayName="Horaires35673" ref="A12:S49" totalsRowShown="0" headerRowDxfId="263" dataDxfId="261" headerRowBorderDxfId="262" tableBorderDxfId="260" totalsRowBorderDxfId="259">
  <autoFilter ref="A12:S49"/>
  <tableColumns count="19">
    <tableColumn id="1" name="Date" dataDxfId="258"/>
    <tableColumn id="2" name="Service" dataDxfId="257"/>
    <tableColumn id="3" name="début" dataDxfId="256"/>
    <tableColumn id="4" name="Fin" dataDxfId="255"/>
    <tableColumn id="5" name="PP Début" dataDxfId="254"/>
    <tableColumn id="6" name="PP Fin" dataDxfId="253"/>
    <tableColumn id="7" name="PNP Début" dataDxfId="252"/>
    <tableColumn id="8" name="PNP Fin" dataDxfId="251"/>
    <tableColumn id="10" name="Majoration" dataDxfId="250" dataCellStyle="Milliers">
      <calculatedColumnFormula>0.1*(Horaires35673[[#This Row],[Heures de nuit]]+Horaires35673[[#This Row],[heures jour dimanche]]+Horaires35673[[#This Row],[heures jour fériés]])</calculatedColumnFormula>
    </tableColumn>
    <tableColumn id="9" name="Heures totales payées" dataDxfId="249" dataCellStyle="Milliers">
      <calculatedColumnFormula>(MOD(Horaires35673[[#This Row],[Fin]]-Horaires35673[[#This Row],[début]],1)-MOD(Horaires35673[[#This Row],[PNP Fin]]-Horaires35673[[#This Row],[PNP Début]],1))*24</calculatedColumnFormula>
    </tableColumn>
    <tableColumn id="15" name="PNP Début corrigé" dataDxfId="248">
      <calculatedColumnFormula>IF(Horaires35673[[#This Row],[PNP Début]]=0,0,IF(Horaires35673[[#This Row],[PNP Début]]&lt;Horaires35673[[#This Row],[début]],1,0)+Horaires35673[[#This Row],[PNP Début]])</calculatedColumnFormula>
    </tableColumn>
    <tableColumn id="16" name="PNP Fin corrigée" dataDxfId="247">
      <calculatedColumnFormula>IF(Horaires35673[[#This Row],[PNP Fin]]=0,0,IF(Horaires35673[[#This Row],[PNP Fin]]&lt;Horaires35673[[#This Row],[début]],1,0)+Horaires35673[[#This Row],[PNP Fin]])</calculatedColumnFormula>
    </tableColumn>
    <tableColumn id="14" name="Fin corrigée si nuit" dataDxfId="246">
      <calculatedColumnFormula>IF(Horaires35673[[#This Row],[Fin]]&lt;Horaires35673[[#This Row],[début]],1,0)+Horaires35673[[#This Row],[Fin]]</calculatedColumnFormula>
    </tableColumn>
    <tableColumn id="13" name="Heures de nuit" dataDxfId="245" dataCellStyle="Milliers">
      <calculatedColumnFormula>MAX(0,MIN(Horaires35673[[#This Row],[Fin corrigée si nuit]],fin_nuit)-MAX(Horaires35673[[#This Row],[début]],deb_nuit))*24</calculatedColumnFormula>
    </tableColumn>
    <tableColumn id="17" name="Heures de nuit hors PNP" dataDxfId="244" dataCellStyle="Milliers">
      <calculatedColumnFormula>(MAX(0,MIN(Horaires35673[[#This Row],[Fin corrigée si nuit]],fin_nuit)-MAX(Horaires35673[[#This Row],[début]],deb_nuit))-IF(Horaires35673[[#This Row],[PNP Début]]=0,0,MIN(Horaires35673[[#This Row],[PNP Fin corrigée]],fin_nuit)-MAX(Horaires35673[[#This Row],[PNP Début corrigé]],deb_nuit)))*24</calculatedColumnFormula>
    </tableColumn>
    <tableColumn id="18" name="heures jour dimanche" dataDxfId="243" dataCellStyle="Milliers">
      <calculatedColumnFormula>(IF(WEEKDAY(Horaires35673[[#This Row],[Date]],2)=7,MAX(0,MIN(fin_dimJF,Horaires35673[[#This Row],[Fin corrigée si nuit]])-MAX(deb_dimJF,Horaires35673[[#This Row],[début]])),0)+IF(WEEKDAY(Horaires35673[[#This Row],[Date]],2)=6,MAX(0,Horaires35673[[#This Row],[Fin corrigée si nuit]]-(1+deb_dimJF)),0))*24</calculatedColumnFormula>
    </tableColumn>
    <tableColumn id="11" name="heures jour dimanche hors PNP" dataDxfId="242" dataCellStyle="Milliers">
      <calculatedColumnFormula>(IF(WEEKDAY(Horaires35673[[#This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calculatedColumnFormula>
    </tableColumn>
    <tableColumn id="19" name="heures jour fériés" dataDxfId="241" dataCellStyle="Milliers">
      <calculatedColumnFormula>(IF(COUNTIF(JF,Horaires35673[[#This Row],[Date]]),MAX(0,MIN(fin_dimJF,Horaires35673[[#This Row],[Fin corrigée si nuit]])-MAX(deb_dimJF,Horaires35673[[#This Row],[début]])),0)+IF(COUNTIF(JF,Horaires35673[[#This Row],[Date]]+1),MAX(0,Horaires35673[[#This Row],[Fin corrigée si nuit]]-(1+deb_dimJF)),0))*24</calculatedColumnFormula>
    </tableColumn>
    <tableColumn id="12" name="heures jour fériés hors PNP" dataDxfId="240" dataCellStyle="Milliers">
      <calculatedColumnFormula>(IF(COUNTIF(JF,Horaires35673[[#This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calculatedColumnFormula>
    </tableColumn>
  </tableColumns>
  <tableStyleInfo name="TableStyleLight9" showFirstColumn="0" showLastColumn="0" showRowStripes="1" showColumnStripes="0"/>
</table>
</file>

<file path=xl/tables/table5.xml><?xml version="1.0" encoding="utf-8"?>
<table xmlns="http://schemas.openxmlformats.org/spreadsheetml/2006/main" id="3" name="Horaires356734" displayName="Horaires356734" ref="A12:S49" totalsRowShown="0" headerRowDxfId="239" dataDxfId="237" headerRowBorderDxfId="238" tableBorderDxfId="236" totalsRowBorderDxfId="235">
  <autoFilter ref="A12:S49"/>
  <tableColumns count="19">
    <tableColumn id="1" name="Date" dataDxfId="234"/>
    <tableColumn id="2" name="Service" dataDxfId="233"/>
    <tableColumn id="3" name="début" dataDxfId="232"/>
    <tableColumn id="4" name="Fin" dataDxfId="231"/>
    <tableColumn id="5" name="PP Début" dataDxfId="230"/>
    <tableColumn id="6" name="PP Fin" dataDxfId="229"/>
    <tableColumn id="7" name="PNP Début" dataDxfId="228"/>
    <tableColumn id="8" name="PNP Fin" dataDxfId="227"/>
    <tableColumn id="10" name="Majoration" dataDxfId="226" dataCellStyle="Milliers">
      <calculatedColumnFormula>0.1*(Horaires356734[[#This Row],[Heures de nuit]]+Horaires356734[[#This Row],[heures jour dimanche]]+Horaires356734[[#This Row],[heures jour fériés]])</calculatedColumnFormula>
    </tableColumn>
    <tableColumn id="9" name="Heures totales payées" dataDxfId="225" dataCellStyle="Milliers">
      <calculatedColumnFormula>(MOD(Horaires356734[[#This Row],[Fin]]-Horaires356734[[#This Row],[début]],1)-MOD(Horaires356734[[#This Row],[PNP Fin]]-Horaires356734[[#This Row],[PNP Début]],1))*24</calculatedColumnFormula>
    </tableColumn>
    <tableColumn id="15" name="PNP Début corrigé" dataDxfId="224">
      <calculatedColumnFormula>IF(Horaires356734[[#This Row],[PNP Début]]=0,0,IF(Horaires356734[[#This Row],[PNP Début]]&lt;Horaires356734[[#This Row],[début]],1,0)+Horaires356734[[#This Row],[PNP Début]])</calculatedColumnFormula>
    </tableColumn>
    <tableColumn id="16" name="PNP Fin corrigée" dataDxfId="223">
      <calculatedColumnFormula>IF(Horaires356734[[#This Row],[PNP Fin]]=0,0,IF(Horaires356734[[#This Row],[PNP Fin]]&lt;Horaires356734[[#This Row],[début]],1,0)+Horaires356734[[#This Row],[PNP Fin]])</calculatedColumnFormula>
    </tableColumn>
    <tableColumn id="14" name="Fin corrigée si nuit" dataDxfId="222">
      <calculatedColumnFormula>IF(Horaires356734[[#This Row],[Fin]]&lt;Horaires356734[[#This Row],[début]],1,0)+Horaires356734[[#This Row],[Fin]]</calculatedColumnFormula>
    </tableColumn>
    <tableColumn id="13" name="Heures de nuit" dataDxfId="221" dataCellStyle="Milliers">
      <calculatedColumnFormula>MAX(0,MIN(Horaires356734[[#This Row],[Fin corrigée si nuit]],fin_nuit)-MAX(Horaires356734[[#This Row],[début]],deb_nuit))*24</calculatedColumnFormula>
    </tableColumn>
    <tableColumn id="17" name="Heures de nuit hors PNP" dataDxfId="220" dataCellStyle="Milliers">
      <calculatedColumnFormula>(MAX(0,MIN(Horaires356734[[#This Row],[Fin corrigée si nuit]],fin_nuit)-MAX(Horaires356734[[#This Row],[début]],deb_nuit))-IF(Horaires356734[[#This Row],[PNP Début]]=0,0,MIN(Horaires356734[[#This Row],[PNP Fin corrigée]],fin_nuit)-MAX(Horaires356734[[#This Row],[PNP Début corrigé]],deb_nuit)))*24</calculatedColumnFormula>
    </tableColumn>
    <tableColumn id="18" name="heures jour dimanche" dataDxfId="219" dataCellStyle="Milliers">
      <calculatedColumnFormula>(IF(WEEKDAY(Horaires356734[[#This Row],[Date]],2)=7,MAX(0,MIN(fin_dimJF,Horaires356734[[#This Row],[Fin corrigée si nuit]])-MAX(deb_dimJF,Horaires356734[[#This Row],[début]])),0)+IF(WEEKDAY(Horaires356734[[#This Row],[Date]],2)=6,MAX(0,Horaires356734[[#This Row],[Fin corrigée si nuit]]-(1+deb_dimJF)),0))*24</calculatedColumnFormula>
    </tableColumn>
    <tableColumn id="11" name="heures jour dimanche hors PNP" dataDxfId="218" dataCellStyle="Milliers">
      <calculatedColumnFormula>(IF(WEEKDAY(Horaires356734[[#This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calculatedColumnFormula>
    </tableColumn>
    <tableColumn id="19" name="heures jour fériés" dataDxfId="217" dataCellStyle="Milliers">
      <calculatedColumnFormula>(IF(COUNTIF(JF,Horaires356734[[#This Row],[Date]]),MAX(0,MIN(fin_dimJF,Horaires356734[[#This Row],[Fin corrigée si nuit]])-MAX(deb_dimJF,Horaires356734[[#This Row],[début]])),0)+IF(COUNTIF(JF,Horaires356734[[#This Row],[Date]]+1),MAX(0,Horaires356734[[#This Row],[Fin corrigée si nuit]]-(1+deb_dimJF)),0))*24</calculatedColumnFormula>
    </tableColumn>
    <tableColumn id="12" name="heures jour fériés hors PNP" dataDxfId="216" dataCellStyle="Milliers">
      <calculatedColumnFormula>(IF(COUNTIF(JF,Horaires356734[[#This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calculatedColumnFormula>
    </tableColumn>
  </tableColumns>
  <tableStyleInfo name="TableStyleLight9" showFirstColumn="0" showLastColumn="0" showRowStripes="1" showColumnStripes="0"/>
</table>
</file>

<file path=xl/tables/table6.xml><?xml version="1.0" encoding="utf-8"?>
<table xmlns="http://schemas.openxmlformats.org/spreadsheetml/2006/main" id="4" name="Horaires3567345" displayName="Horaires3567345" ref="A12:S49" totalsRowShown="0" headerRowDxfId="215" dataDxfId="213" headerRowBorderDxfId="214" tableBorderDxfId="212" totalsRowBorderDxfId="211">
  <autoFilter ref="A12:S49"/>
  <tableColumns count="19">
    <tableColumn id="1" name="Date" dataDxfId="210"/>
    <tableColumn id="2" name="Service" dataDxfId="209"/>
    <tableColumn id="3" name="début" dataDxfId="208"/>
    <tableColumn id="4" name="Fin" dataDxfId="207"/>
    <tableColumn id="5" name="PP Début" dataDxfId="206"/>
    <tableColumn id="6" name="PP Fin" dataDxfId="205"/>
    <tableColumn id="7" name="PNP Début" dataDxfId="204"/>
    <tableColumn id="8" name="PNP Fin" dataDxfId="203"/>
    <tableColumn id="10" name="Majoration" dataDxfId="202" dataCellStyle="Milliers">
      <calculatedColumnFormula>0.1*(Horaires3567345[[#This Row],[Heures de nuit]]+Horaires3567345[[#This Row],[heures jour dimanche]]+Horaires3567345[[#This Row],[heures jour fériés]])</calculatedColumnFormula>
    </tableColumn>
    <tableColumn id="9" name="Heures totales payées" dataDxfId="201" dataCellStyle="Milliers">
      <calculatedColumnFormula>(MOD(Horaires3567345[[#This Row],[Fin]]-Horaires3567345[[#This Row],[début]],1)-MOD(Horaires3567345[[#This Row],[PNP Fin]]-Horaires3567345[[#This Row],[PNP Début]],1))*24</calculatedColumnFormula>
    </tableColumn>
    <tableColumn id="15" name="PNP Début corrigé" dataDxfId="200">
      <calculatedColumnFormula>IF(Horaires3567345[[#This Row],[PNP Début]]=0,0,IF(Horaires3567345[[#This Row],[PNP Début]]&lt;Horaires3567345[[#This Row],[début]],1,0)+Horaires3567345[[#This Row],[PNP Début]])</calculatedColumnFormula>
    </tableColumn>
    <tableColumn id="16" name="PNP Fin corrigée" dataDxfId="199">
      <calculatedColumnFormula>IF(Horaires3567345[[#This Row],[PNP Fin]]=0,0,IF(Horaires3567345[[#This Row],[PNP Fin]]&lt;Horaires3567345[[#This Row],[début]],1,0)+Horaires3567345[[#This Row],[PNP Fin]])</calculatedColumnFormula>
    </tableColumn>
    <tableColumn id="14" name="Fin corrigée si nuit" dataDxfId="198">
      <calculatedColumnFormula>IF(Horaires3567345[[#This Row],[Fin]]&lt;Horaires3567345[[#This Row],[début]],1,0)+Horaires3567345[[#This Row],[Fin]]</calculatedColumnFormula>
    </tableColumn>
    <tableColumn id="13" name="Heures de nuit" dataDxfId="197" dataCellStyle="Milliers">
      <calculatedColumnFormula>MAX(0,MIN(Horaires3567345[[#This Row],[Fin corrigée si nuit]],fin_nuit)-MAX(Horaires3567345[[#This Row],[début]],deb_nuit))*24</calculatedColumnFormula>
    </tableColumn>
    <tableColumn id="17" name="Heures de nuit hors PNP" dataDxfId="196" dataCellStyle="Milliers">
      <calculatedColumnFormula>(MAX(0,MIN(Horaires3567345[[#This Row],[Fin corrigée si nuit]],fin_nuit)-MAX(Horaires3567345[[#This Row],[début]],deb_nuit))-IF(Horaires3567345[[#This Row],[PNP Début]]=0,0,MIN(Horaires3567345[[#This Row],[PNP Fin corrigée]],fin_nuit)-MAX(Horaires3567345[[#This Row],[PNP Début corrigé]],deb_nuit)))*24</calculatedColumnFormula>
    </tableColumn>
    <tableColumn id="18" name="heures jour dimanche" dataDxfId="195" dataCellStyle="Milliers">
      <calculatedColumnFormula>(IF(WEEKDAY(Horaires3567345[[#This Row],[Date]],2)=7,MAX(0,MIN(fin_dimJF,Horaires3567345[[#This Row],[Fin corrigée si nuit]])-MAX(deb_dimJF,Horaires3567345[[#This Row],[début]])),0)+IF(WEEKDAY(Horaires3567345[[#This Row],[Date]],2)=6,MAX(0,Horaires3567345[[#This Row],[Fin corrigée si nuit]]-(1+deb_dimJF)),0))*24</calculatedColumnFormula>
    </tableColumn>
    <tableColumn id="11" name="heures jour dimanche hors PNP" dataDxfId="194" dataCellStyle="Milliers">
      <calculatedColumnFormula>(IF(WEEKDAY(Horaires3567345[[#This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calculatedColumnFormula>
    </tableColumn>
    <tableColumn id="19" name="heures jour fériés" dataDxfId="193" dataCellStyle="Milliers">
      <calculatedColumnFormula>(IF(COUNTIF(JF,Horaires3567345[[#This Row],[Date]]),MAX(0,MIN(fin_dimJF,Horaires3567345[[#This Row],[Fin corrigée si nuit]])-MAX(deb_dimJF,Horaires3567345[[#This Row],[début]])),0)+IF(COUNTIF(JF,Horaires3567345[[#This Row],[Date]]+1),MAX(0,Horaires3567345[[#This Row],[Fin corrigée si nuit]]-(1+deb_dimJF)),0))*24</calculatedColumnFormula>
    </tableColumn>
    <tableColumn id="12" name="heures jour fériés hors PNP" dataDxfId="192" dataCellStyle="Milliers">
      <calculatedColumnFormula>(IF(COUNTIF(JF,Horaires3567345[[#This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calculatedColumnFormula>
    </tableColumn>
  </tableColumns>
  <tableStyleInfo name="TableStyleLight9" showFirstColumn="0" showLastColumn="0" showRowStripes="1" showColumnStripes="0"/>
</table>
</file>

<file path=xl/tables/table7.xml><?xml version="1.0" encoding="utf-8"?>
<table xmlns="http://schemas.openxmlformats.org/spreadsheetml/2006/main" id="8" name="Horaires356739" displayName="Horaires356739" ref="A12:S49" totalsRowShown="0" headerRowDxfId="191" dataDxfId="189" headerRowBorderDxfId="190" tableBorderDxfId="188" totalsRowBorderDxfId="187">
  <autoFilter ref="A12:S49"/>
  <tableColumns count="19">
    <tableColumn id="1" name="Date" dataDxfId="186"/>
    <tableColumn id="2" name="Service" dataDxfId="185"/>
    <tableColumn id="3" name="début" dataDxfId="184"/>
    <tableColumn id="4" name="Fin" dataDxfId="183"/>
    <tableColumn id="5" name="PP Début" dataDxfId="182"/>
    <tableColumn id="6" name="PP Fin" dataDxfId="181"/>
    <tableColumn id="7" name="PNP Début" dataDxfId="180"/>
    <tableColumn id="8" name="PNP Fin" dataDxfId="179"/>
    <tableColumn id="10" name="Majoration" dataDxfId="178" dataCellStyle="Milliers">
      <calculatedColumnFormula>0.1*(Horaires356739[[#This Row],[Heures de nuit]]+Horaires356739[[#This Row],[heures jour dimanche]]+Horaires356739[[#This Row],[heures jour fériés]])</calculatedColumnFormula>
    </tableColumn>
    <tableColumn id="9" name="Heures totales payées" dataDxfId="177" dataCellStyle="Milliers">
      <calculatedColumnFormula>(MOD(Horaires356739[[#This Row],[Fin]]-Horaires356739[[#This Row],[début]],1)-MOD(Horaires356739[[#This Row],[PNP Fin]]-Horaires356739[[#This Row],[PNP Début]],1))*24</calculatedColumnFormula>
    </tableColumn>
    <tableColumn id="15" name="PNP Début corrigé" dataDxfId="176">
      <calculatedColumnFormula>IF(Horaires356739[[#This Row],[PNP Début]]=0,0,IF(Horaires356739[[#This Row],[PNP Début]]&lt;Horaires356739[[#This Row],[début]],1,0)+Horaires356739[[#This Row],[PNP Début]])</calculatedColumnFormula>
    </tableColumn>
    <tableColumn id="16" name="PNP Fin corrigée" dataDxfId="175">
      <calculatedColumnFormula>IF(Horaires356739[[#This Row],[PNP Fin]]=0,0,IF(Horaires356739[[#This Row],[PNP Fin]]&lt;Horaires356739[[#This Row],[début]],1,0)+Horaires356739[[#This Row],[PNP Fin]])</calculatedColumnFormula>
    </tableColumn>
    <tableColumn id="14" name="Fin corrigée si nuit" dataDxfId="174">
      <calculatedColumnFormula>IF(Horaires356739[[#This Row],[Fin]]&lt;Horaires356739[[#This Row],[début]],1,0)+Horaires356739[[#This Row],[Fin]]</calculatedColumnFormula>
    </tableColumn>
    <tableColumn id="13" name="Heures de nuit" dataDxfId="173" dataCellStyle="Milliers">
      <calculatedColumnFormula>MAX(0,MIN(Horaires356739[[#This Row],[Fin corrigée si nuit]],fin_nuit)-MAX(Horaires356739[[#This Row],[début]],deb_nuit))*24</calculatedColumnFormula>
    </tableColumn>
    <tableColumn id="17" name="Heures de nuit hors PNP" dataDxfId="172" dataCellStyle="Milliers">
      <calculatedColumnFormula>(MAX(0,MIN(Horaires356739[[#This Row],[Fin corrigée si nuit]],fin_nuit)-MAX(Horaires356739[[#This Row],[début]],deb_nuit))-IF(Horaires356739[[#This Row],[PNP Début]]=0,0,MIN(Horaires356739[[#This Row],[PNP Fin corrigée]],fin_nuit)-MAX(Horaires356739[[#This Row],[PNP Début corrigé]],deb_nuit)))*24</calculatedColumnFormula>
    </tableColumn>
    <tableColumn id="18" name="heures jour dimanche" dataDxfId="171" dataCellStyle="Milliers">
      <calculatedColumnFormula>(IF(WEEKDAY(Horaires356739[[#This Row],[Date]],2)=7,MAX(0,MIN(fin_dimJF,Horaires356739[[#This Row],[Fin corrigée si nuit]])-MAX(deb_dimJF,Horaires356739[[#This Row],[début]])),0)+IF(WEEKDAY(Horaires356739[[#This Row],[Date]],2)=6,MAX(0,Horaires356739[[#This Row],[Fin corrigée si nuit]]-(1+deb_dimJF)),0))*24</calculatedColumnFormula>
    </tableColumn>
    <tableColumn id="11" name="heures jour dimanche hors PNP" dataDxfId="170" dataCellStyle="Milliers">
      <calculatedColumnFormula>(IF(WEEKDAY(Horaires356739[[#This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calculatedColumnFormula>
    </tableColumn>
    <tableColumn id="19" name="heures jour fériés" dataDxfId="169" dataCellStyle="Milliers">
      <calculatedColumnFormula>(IF(COUNTIF(JF,Horaires356739[[#This Row],[Date]]),MAX(0,MIN(fin_dimJF,Horaires356739[[#This Row],[Fin corrigée si nuit]])-MAX(deb_dimJF,Horaires356739[[#This Row],[début]])),0)+IF(COUNTIF(JF,Horaires356739[[#This Row],[Date]]+1),MAX(0,Horaires356739[[#This Row],[Fin corrigée si nuit]]-(1+deb_dimJF)),0))*24</calculatedColumnFormula>
    </tableColumn>
    <tableColumn id="12" name="heures jour fériés hors PNP" dataDxfId="168" dataCellStyle="Milliers">
      <calculatedColumnFormula>(IF(COUNTIF(JF,Horaires356739[[#This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calculatedColumnFormula>
    </tableColumn>
  </tableColumns>
  <tableStyleInfo name="TableStyleLight9" showFirstColumn="0" showLastColumn="0" showRowStripes="1" showColumnStripes="0"/>
</table>
</file>

<file path=xl/tables/table8.xml><?xml version="1.0" encoding="utf-8"?>
<table xmlns="http://schemas.openxmlformats.org/spreadsheetml/2006/main" id="9" name="Horaires3567310" displayName="Horaires3567310" ref="A12:S49" totalsRowShown="0" headerRowDxfId="167" dataDxfId="165" headerRowBorderDxfId="166" tableBorderDxfId="164" totalsRowBorderDxfId="163">
  <autoFilter ref="A12:S49"/>
  <tableColumns count="19">
    <tableColumn id="1" name="Date" dataDxfId="162"/>
    <tableColumn id="2" name="Service" dataDxfId="161"/>
    <tableColumn id="3" name="début" dataDxfId="160"/>
    <tableColumn id="4" name="Fin" dataDxfId="159"/>
    <tableColumn id="5" name="PP Début" dataDxfId="158"/>
    <tableColumn id="6" name="PP Fin" dataDxfId="157"/>
    <tableColumn id="7" name="PNP Début" dataDxfId="156"/>
    <tableColumn id="8" name="PNP Fin" dataDxfId="155"/>
    <tableColumn id="10" name="Majoration" dataDxfId="154" dataCellStyle="Milliers">
      <calculatedColumnFormula>0.1*(Horaires3567310[[#This Row],[Heures de nuit]]+Horaires3567310[[#This Row],[heures jour dimanche]]+Horaires3567310[[#This Row],[heures jour fériés]])</calculatedColumnFormula>
    </tableColumn>
    <tableColumn id="9" name="Heures totales payées" dataDxfId="153" dataCellStyle="Milliers">
      <calculatedColumnFormula>(MOD(Horaires3567310[[#This Row],[Fin]]-Horaires3567310[[#This Row],[début]],1)-MOD(Horaires3567310[[#This Row],[PNP Fin]]-Horaires3567310[[#This Row],[PNP Début]],1))*24</calculatedColumnFormula>
    </tableColumn>
    <tableColumn id="15" name="PNP Début corrigé" dataDxfId="152">
      <calculatedColumnFormula>IF(Horaires3567310[[#This Row],[PNP Début]]=0,0,IF(Horaires3567310[[#This Row],[PNP Début]]&lt;Horaires3567310[[#This Row],[début]],1,0)+Horaires3567310[[#This Row],[PNP Début]])</calculatedColumnFormula>
    </tableColumn>
    <tableColumn id="16" name="PNP Fin corrigée" dataDxfId="151">
      <calculatedColumnFormula>IF(Horaires3567310[[#This Row],[PNP Fin]]=0,0,IF(Horaires3567310[[#This Row],[PNP Fin]]&lt;Horaires3567310[[#This Row],[début]],1,0)+Horaires3567310[[#This Row],[PNP Fin]])</calculatedColumnFormula>
    </tableColumn>
    <tableColumn id="14" name="Fin corrigée si nuit" dataDxfId="150">
      <calculatedColumnFormula>IF(Horaires3567310[[#This Row],[Fin]]&lt;Horaires3567310[[#This Row],[début]],1,0)+Horaires3567310[[#This Row],[Fin]]</calculatedColumnFormula>
    </tableColumn>
    <tableColumn id="13" name="Heures de nuit" dataDxfId="149" dataCellStyle="Milliers">
      <calculatedColumnFormula>MAX(0,MIN(Horaires3567310[[#This Row],[Fin corrigée si nuit]],fin_nuit)-MAX(Horaires3567310[[#This Row],[début]],deb_nuit))*24</calculatedColumnFormula>
    </tableColumn>
    <tableColumn id="17" name="Heures de nuit hors PNP" dataDxfId="148" dataCellStyle="Milliers">
      <calculatedColumnFormula>(MAX(0,MIN(Horaires3567310[[#This Row],[Fin corrigée si nuit]],fin_nuit)-MAX(Horaires3567310[[#This Row],[début]],deb_nuit))-IF(Horaires3567310[[#This Row],[PNP Début]]=0,0,MIN(Horaires3567310[[#This Row],[PNP Fin corrigée]],fin_nuit)-MAX(Horaires3567310[[#This Row],[PNP Début corrigé]],deb_nuit)))*24</calculatedColumnFormula>
    </tableColumn>
    <tableColumn id="18" name="heures jour dimanche" dataDxfId="147" dataCellStyle="Milliers">
      <calculatedColumnFormula>(IF(WEEKDAY(Horaires3567310[[#This Row],[Date]],2)=7,MAX(0,MIN(fin_dimJF,Horaires3567310[[#This Row],[Fin corrigée si nuit]])-MAX(deb_dimJF,Horaires3567310[[#This Row],[début]])),0)+IF(WEEKDAY(Horaires3567310[[#This Row],[Date]],2)=6,MAX(0,Horaires3567310[[#This Row],[Fin corrigée si nuit]]-(1+deb_dimJF)),0))*24</calculatedColumnFormula>
    </tableColumn>
    <tableColumn id="11" name="heures jour dimanche hors PNP" dataDxfId="146" dataCellStyle="Milliers">
      <calculatedColumnFormula>(IF(WEEKDAY(Horaires3567310[[#This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calculatedColumnFormula>
    </tableColumn>
    <tableColumn id="19" name="heures jour fériés" dataDxfId="145" dataCellStyle="Milliers">
      <calculatedColumnFormula>(IF(COUNTIF(JF,Horaires3567310[[#This Row],[Date]]),MAX(0,MIN(fin_dimJF,Horaires3567310[[#This Row],[Fin corrigée si nuit]])-MAX(deb_dimJF,Horaires3567310[[#This Row],[début]])),0)+IF(COUNTIF(JF,Horaires3567310[[#This Row],[Date]]+1),MAX(0,Horaires3567310[[#This Row],[Fin corrigée si nuit]]-(1+deb_dimJF)),0))*24</calculatedColumnFormula>
    </tableColumn>
    <tableColumn id="12" name="heures jour fériés hors PNP" dataDxfId="144" dataCellStyle="Milliers">
      <calculatedColumnFormula>(IF(COUNTIF(JF,Horaires3567310[[#This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calculatedColumnFormula>
    </tableColumn>
  </tableColumns>
  <tableStyleInfo name="TableStyleLight9" showFirstColumn="0" showLastColumn="0" showRowStripes="1" showColumnStripes="0"/>
</table>
</file>

<file path=xl/tables/table9.xml><?xml version="1.0" encoding="utf-8"?>
<table xmlns="http://schemas.openxmlformats.org/spreadsheetml/2006/main" id="14" name="Horaires356715" displayName="Horaires356715" ref="A12:S49" totalsRowShown="0" headerRowDxfId="143" dataDxfId="141" headerRowBorderDxfId="142" tableBorderDxfId="140" totalsRowBorderDxfId="139">
  <autoFilter ref="A12:S49"/>
  <tableColumns count="19">
    <tableColumn id="1" name="Date" dataDxfId="138"/>
    <tableColumn id="2" name="Service" dataDxfId="137"/>
    <tableColumn id="3" name="début" dataDxfId="136"/>
    <tableColumn id="4" name="Fin" dataDxfId="135"/>
    <tableColumn id="5" name="PP Début" dataDxfId="134"/>
    <tableColumn id="6" name="PP Fin" dataDxfId="133"/>
    <tableColumn id="7" name="PNP Début" dataDxfId="132"/>
    <tableColumn id="8" name="PNP Fin" dataDxfId="131"/>
    <tableColumn id="10" name="Majoration" dataDxfId="130" dataCellStyle="Milliers">
      <calculatedColumnFormula>0.1*(Horaires356715[[#This Row],[Heures de nuit]]+Horaires356715[[#This Row],[heures jour dimanche]]+Horaires356715[[#This Row],[heures jour fériés]])</calculatedColumnFormula>
    </tableColumn>
    <tableColumn id="9" name="Heures totales payées" dataDxfId="129" dataCellStyle="Milliers">
      <calculatedColumnFormula>(MOD(Horaires356715[[#This Row],[Fin]]-Horaires356715[[#This Row],[début]],1)-MOD(Horaires356715[[#This Row],[PNP Fin]]-Horaires356715[[#This Row],[PNP Début]],1))*24</calculatedColumnFormula>
    </tableColumn>
    <tableColumn id="15" name="PNP Début corrigé" dataDxfId="128">
      <calculatedColumnFormula>IF(Horaires356715[[#This Row],[PNP Début]]=0,0,IF(Horaires356715[[#This Row],[PNP Début]]&lt;Horaires356715[[#This Row],[début]],1,0)+Horaires356715[[#This Row],[PNP Début]])</calculatedColumnFormula>
    </tableColumn>
    <tableColumn id="16" name="PNP Fin corrigée" dataDxfId="127">
      <calculatedColumnFormula>IF(Horaires356715[[#This Row],[PNP Fin]]=0,0,IF(Horaires356715[[#This Row],[PNP Fin]]&lt;Horaires356715[[#This Row],[début]],1,0)+Horaires356715[[#This Row],[PNP Fin]])</calculatedColumnFormula>
    </tableColumn>
    <tableColumn id="14" name="Fin corrigée si nuit" dataDxfId="126">
      <calculatedColumnFormula>IF(Horaires356715[[#This Row],[Fin]]&lt;Horaires356715[[#This Row],[début]],1,0)+Horaires356715[[#This Row],[Fin]]</calculatedColumnFormula>
    </tableColumn>
    <tableColumn id="13" name="Heures de nuit" dataDxfId="125" dataCellStyle="Milliers">
      <calculatedColumnFormula>MAX(0,MIN(Horaires356715[[#This Row],[Fin corrigée si nuit]],fin_nuit)-MAX(Horaires356715[[#This Row],[début]],deb_nuit))*24</calculatedColumnFormula>
    </tableColumn>
    <tableColumn id="17" name="Heures de nuit hors PNP" dataDxfId="124" dataCellStyle="Milliers">
      <calculatedColumnFormula>(MAX(0,MIN(Horaires356715[[#This Row],[Fin corrigée si nuit]],fin_nuit)-MAX(Horaires356715[[#This Row],[début]],deb_nuit))-IF(Horaires356715[[#This Row],[PNP Début]]=0,0,MIN(Horaires356715[[#This Row],[PNP Fin corrigée]],fin_nuit)-MAX(Horaires356715[[#This Row],[PNP Début corrigé]],deb_nuit)))*24</calculatedColumnFormula>
    </tableColumn>
    <tableColumn id="18" name="heures jour dimanche" dataDxfId="123" dataCellStyle="Milliers">
      <calculatedColumnFormula>(IF(WEEKDAY(Horaires356715[[#This Row],[Date]],2)=7,MAX(0,MIN(fin_dimJF,Horaires356715[[#This Row],[Fin corrigée si nuit]])-MAX(deb_dimJF,Horaires356715[[#This Row],[début]])),0)+IF(WEEKDAY(Horaires356715[[#This Row],[Date]],2)=6,MAX(0,Horaires356715[[#This Row],[Fin corrigée si nuit]]-(1+deb_dimJF)),0))*24</calculatedColumnFormula>
    </tableColumn>
    <tableColumn id="11" name="heures jour dimanche hors PNP" dataDxfId="122" dataCellStyle="Milliers">
      <calculatedColumnFormula>(IF(WEEKDAY(Horaires356715[[#This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calculatedColumnFormula>
    </tableColumn>
    <tableColumn id="19" name="heures jour fériés" dataDxfId="121" dataCellStyle="Milliers">
      <calculatedColumnFormula>(IF(COUNTIF(JF,Horaires356715[[#This Row],[Date]]),MAX(0,MIN(fin_dimJF,Horaires356715[[#This Row],[Fin corrigée si nuit]])-MAX(deb_dimJF,Horaires356715[[#This Row],[début]])),0)+IF(COUNTIF(JF,Horaires356715[[#This Row],[Date]]+1),MAX(0,Horaires356715[[#This Row],[Fin corrigée si nuit]]-(1+deb_dimJF)),0))*24</calculatedColumnFormula>
    </tableColumn>
    <tableColumn id="12" name="heures jour fériés hors PNP" dataDxfId="120" dataCellStyle="Milliers">
      <calculatedColumnFormula>(IF(COUNTIF(JF,Horaires356715[[#This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calculatedColumnFormula>
    </tableColumn>
  </tableColumns>
  <tableStyleInfo name="TableStyleLight9" showFirstColumn="0" showLastColumn="0" showRowStripes="1" showColumnStripes="0"/>
</table>
</file>

<file path=xl/tables/table10.xml><?xml version="1.0" encoding="utf-8"?>
<table xmlns="http://schemas.openxmlformats.org/spreadsheetml/2006/main" id="13" name="Horaires3567314" displayName="Horaires3567314" ref="A12:S49" totalsRowShown="0" headerRowDxfId="119" dataDxfId="117" headerRowBorderDxfId="118" tableBorderDxfId="116" totalsRowBorderDxfId="115">
  <autoFilter ref="A12:S49"/>
  <tableColumns count="19">
    <tableColumn id="1" name="Date" dataDxfId="114"/>
    <tableColumn id="2" name="Service" dataDxfId="113"/>
    <tableColumn id="3" name="début" dataDxfId="112"/>
    <tableColumn id="4" name="Fin" dataDxfId="111"/>
    <tableColumn id="5" name="PP Début" dataDxfId="110"/>
    <tableColumn id="6" name="PP Fin" dataDxfId="109"/>
    <tableColumn id="7" name="PNP Début" dataDxfId="108"/>
    <tableColumn id="8" name="PNP Fin" dataDxfId="107"/>
    <tableColumn id="10" name="Majoration" dataDxfId="106" dataCellStyle="Milliers">
      <calculatedColumnFormula>0.1*(Horaires3567314[[#This Row],[Heures de nuit]]+Horaires3567314[[#This Row],[heures jour dimanche]]+Horaires3567314[[#This Row],[heures jour fériés]])</calculatedColumnFormula>
    </tableColumn>
    <tableColumn id="9" name="Heures totales payées" dataDxfId="105" dataCellStyle="Milliers">
      <calculatedColumnFormula>(MOD(Horaires3567314[[#This Row],[Fin]]-Horaires3567314[[#This Row],[début]],1)-MOD(Horaires3567314[[#This Row],[PNP Fin]]-Horaires3567314[[#This Row],[PNP Début]],1))*24</calculatedColumnFormula>
    </tableColumn>
    <tableColumn id="15" name="PNP Début corrigé" dataDxfId="104">
      <calculatedColumnFormula>IF(Horaires3567314[[#This Row],[PNP Début]]=0,0,IF(Horaires3567314[[#This Row],[PNP Début]]&lt;Horaires3567314[[#This Row],[début]],1,0)+Horaires3567314[[#This Row],[PNP Début]])</calculatedColumnFormula>
    </tableColumn>
    <tableColumn id="16" name="PNP Fin corrigée" dataDxfId="103">
      <calculatedColumnFormula>IF(Horaires3567314[[#This Row],[PNP Fin]]=0,0,IF(Horaires3567314[[#This Row],[PNP Fin]]&lt;Horaires3567314[[#This Row],[début]],1,0)+Horaires3567314[[#This Row],[PNP Fin]])</calculatedColumnFormula>
    </tableColumn>
    <tableColumn id="14" name="Fin corrigée si nuit" dataDxfId="102">
      <calculatedColumnFormula>IF(Horaires3567314[[#This Row],[Fin]]&lt;Horaires3567314[[#This Row],[début]],1,0)+Horaires3567314[[#This Row],[Fin]]</calculatedColumnFormula>
    </tableColumn>
    <tableColumn id="13" name="Heures de nuit" dataDxfId="101" dataCellStyle="Milliers">
      <calculatedColumnFormula>MAX(0,MIN(Horaires3567314[[#This Row],[Fin corrigée si nuit]],fin_nuit)-MAX(Horaires3567314[[#This Row],[début]],deb_nuit))*24</calculatedColumnFormula>
    </tableColumn>
    <tableColumn id="17" name="Heures de nuit hors PNP" dataDxfId="100" dataCellStyle="Milliers">
      <calculatedColumnFormula>(MAX(0,MIN(Horaires3567314[[#This Row],[Fin corrigée si nuit]],fin_nuit)-MAX(Horaires3567314[[#This Row],[début]],deb_nuit))-IF(Horaires3567314[[#This Row],[PNP Début]]=0,0,MIN(Horaires3567314[[#This Row],[PNP Fin corrigée]],fin_nuit)-MAX(Horaires3567314[[#This Row],[PNP Début corrigé]],deb_nuit)))*24</calculatedColumnFormula>
    </tableColumn>
    <tableColumn id="18" name="heures jour dimanche" dataDxfId="99" dataCellStyle="Milliers">
      <calculatedColumnFormula>(IF(WEEKDAY(Horaires3567314[[#This Row],[Date]],2)=7,MAX(0,MIN(fin_dimJF,Horaires3567314[[#This Row],[Fin corrigée si nuit]])-MAX(deb_dimJF,Horaires3567314[[#This Row],[début]])),0)+IF(WEEKDAY(Horaires3567314[[#This Row],[Date]],2)=6,MAX(0,Horaires3567314[[#This Row],[Fin corrigée si nuit]]-(1+deb_dimJF)),0))*24</calculatedColumnFormula>
    </tableColumn>
    <tableColumn id="11" name="heures jour dimanche hors PNP" dataDxfId="98" dataCellStyle="Milliers">
      <calculatedColumnFormula>(IF(WEEKDAY(Horaires3567314[[#This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calculatedColumnFormula>
    </tableColumn>
    <tableColumn id="19" name="heures jour fériés" dataDxfId="97" dataCellStyle="Milliers">
      <calculatedColumnFormula>(IF(COUNTIF(JF,Horaires3567314[[#This Row],[Date]]),MAX(0,MIN(fin_dimJF,Horaires3567314[[#This Row],[Fin corrigée si nuit]])-MAX(deb_dimJF,Horaires3567314[[#This Row],[début]])),0)+IF(COUNTIF(JF,Horaires3567314[[#This Row],[Date]]+1),MAX(0,Horaires3567314[[#This Row],[Fin corrigée si nuit]]-(1+deb_dimJF)),0))*24</calculatedColumnFormula>
    </tableColumn>
    <tableColumn id="12" name="heures jour fériés hors PNP" dataDxfId="96" dataCellStyle="Milliers">
      <calculatedColumnFormula>(IF(COUNTIF(JF,Horaires3567314[[#This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calculatedColumnFormula>
    </tableColumn>
  </tableColumns>
  <tableStyleInfo name="TableStyleLight9" showFirstColumn="0" showLastColumn="0" showRowStripes="1" showColumnStripes="0"/>
</table>
</file>

<file path=xl/tables/table11.xml><?xml version="1.0" encoding="utf-8"?>
<table xmlns="http://schemas.openxmlformats.org/spreadsheetml/2006/main" id="12" name="Horaires35673413" displayName="Horaires35673413" ref="A12:S49" totalsRowShown="0" headerRowDxfId="95" dataDxfId="93" headerRowBorderDxfId="94" tableBorderDxfId="92" totalsRowBorderDxfId="91">
  <autoFilter ref="A12:S49"/>
  <tableColumns count="19">
    <tableColumn id="1" name="Date" dataDxfId="90"/>
    <tableColumn id="2" name="Service" dataDxfId="89"/>
    <tableColumn id="3" name="début" dataDxfId="88"/>
    <tableColumn id="4" name="Fin" dataDxfId="87"/>
    <tableColumn id="5" name="PP Début" dataDxfId="86"/>
    <tableColumn id="6" name="PP Fin" dataDxfId="85"/>
    <tableColumn id="7" name="PNP Début" dataDxfId="84"/>
    <tableColumn id="8" name="PNP Fin" dataDxfId="83"/>
    <tableColumn id="10" name="Majoration" dataDxfId="82" dataCellStyle="Milliers">
      <calculatedColumnFormula>0.1*(Horaires35673413[[#This Row],[Heures de nuit]]+Horaires35673413[[#This Row],[heures jour dimanche]]+Horaires35673413[[#This Row],[heures jour fériés]])</calculatedColumnFormula>
    </tableColumn>
    <tableColumn id="9" name="Heures totales payées" dataDxfId="81" dataCellStyle="Milliers">
      <calculatedColumnFormula>(MOD(Horaires35673413[[#This Row],[Fin]]-Horaires35673413[[#This Row],[début]],1)-MOD(Horaires35673413[[#This Row],[PNP Fin]]-Horaires35673413[[#This Row],[PNP Début]],1))*24</calculatedColumnFormula>
    </tableColumn>
    <tableColumn id="15" name="PNP Début corrigé" dataDxfId="80">
      <calculatedColumnFormula>IF(Horaires35673413[[#This Row],[PNP Début]]=0,0,IF(Horaires35673413[[#This Row],[PNP Début]]&lt;Horaires35673413[[#This Row],[début]],1,0)+Horaires35673413[[#This Row],[PNP Début]])</calculatedColumnFormula>
    </tableColumn>
    <tableColumn id="16" name="PNP Fin corrigée" dataDxfId="79">
      <calculatedColumnFormula>IF(Horaires35673413[[#This Row],[PNP Fin]]=0,0,IF(Horaires35673413[[#This Row],[PNP Fin]]&lt;Horaires35673413[[#This Row],[début]],1,0)+Horaires35673413[[#This Row],[PNP Fin]])</calculatedColumnFormula>
    </tableColumn>
    <tableColumn id="14" name="Fin corrigée si nuit" dataDxfId="78">
      <calculatedColumnFormula>IF(Horaires35673413[[#This Row],[Fin]]&lt;Horaires35673413[[#This Row],[début]],1,0)+Horaires35673413[[#This Row],[Fin]]</calculatedColumnFormula>
    </tableColumn>
    <tableColumn id="13" name="Heures de nuit" dataDxfId="77" dataCellStyle="Milliers">
      <calculatedColumnFormula>MAX(0,MIN(Horaires35673413[[#This Row],[Fin corrigée si nuit]],fin_nuit)-MAX(Horaires35673413[[#This Row],[début]],deb_nuit))*24</calculatedColumnFormula>
    </tableColumn>
    <tableColumn id="17" name="Heures de nuit hors PNP" dataDxfId="76" dataCellStyle="Milliers">
      <calculatedColumnFormula>(MAX(0,MIN(Horaires35673413[[#This Row],[Fin corrigée si nuit]],fin_nuit)-MAX(Horaires35673413[[#This Row],[début]],deb_nuit))-IF(Horaires35673413[[#This Row],[PNP Début]]=0,0,MIN(Horaires35673413[[#This Row],[PNP Fin corrigée]],fin_nuit)-MAX(Horaires35673413[[#This Row],[PNP Début corrigé]],deb_nuit)))*24</calculatedColumnFormula>
    </tableColumn>
    <tableColumn id="18" name="heures jour dimanche" dataDxfId="75" dataCellStyle="Milliers">
      <calculatedColumnFormula>(IF(WEEKDAY(Horaires35673413[[#This Row],[Date]],2)=7,MAX(0,MIN(fin_dimJF,Horaires35673413[[#This Row],[Fin corrigée si nuit]])-MAX(deb_dimJF,Horaires35673413[[#This Row],[début]])),0)+IF(WEEKDAY(Horaires35673413[[#This Row],[Date]],2)=6,MAX(0,Horaires35673413[[#This Row],[Fin corrigée si nuit]]-(1+deb_dimJF)),0))*24</calculatedColumnFormula>
    </tableColumn>
    <tableColumn id="11" name="heures jour dimanche hors PNP" dataDxfId="74" dataCellStyle="Milliers">
      <calculatedColumnFormula>(IF(WEEKDAY(Horaires35673413[[#This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calculatedColumnFormula>
    </tableColumn>
    <tableColumn id="19" name="heures jour fériés" dataDxfId="73" dataCellStyle="Milliers">
      <calculatedColumnFormula>(IF(COUNTIF(JF,Horaires35673413[[#This Row],[Date]]),MAX(0,MIN(fin_dimJF,Horaires35673413[[#This Row],[Fin corrigée si nuit]])-MAX(deb_dimJF,Horaires35673413[[#This Row],[début]])),0)+IF(COUNTIF(JF,Horaires35673413[[#This Row],[Date]]+1),MAX(0,Horaires35673413[[#This Row],[Fin corrigée si nuit]]-(1+deb_dimJF)),0))*24</calculatedColumnFormula>
    </tableColumn>
    <tableColumn id="12" name="heures jour fériés hors PNP" dataDxfId="72" dataCellStyle="Milliers">
      <calculatedColumnFormula>(IF(COUNTIF(JF,Horaires35673413[[#This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calculatedColumnFormula>
    </tableColumn>
  </tableColumns>
  <tableStyleInfo name="TableStyleLight9" showFirstColumn="0" showLastColumn="0" showRowStripes="1" showColumnStripes="0"/>
</table>
</file>

<file path=xl/tables/table12.xml><?xml version="1.0" encoding="utf-8"?>
<table xmlns="http://schemas.openxmlformats.org/spreadsheetml/2006/main" id="11" name="Horaires356734512" displayName="Horaires356734512" ref="A12:S49" totalsRowShown="0" headerRowDxfId="71" dataDxfId="69" headerRowBorderDxfId="70" tableBorderDxfId="68" totalsRowBorderDxfId="67">
  <autoFilter ref="A12:S49"/>
  <tableColumns count="19">
    <tableColumn id="1" name="Date" dataDxfId="66"/>
    <tableColumn id="2" name="Service" dataDxfId="65"/>
    <tableColumn id="3" name="début" dataDxfId="64"/>
    <tableColumn id="4" name="Fin" dataDxfId="63"/>
    <tableColumn id="5" name="PP Début" dataDxfId="62"/>
    <tableColumn id="6" name="PP Fin" dataDxfId="61"/>
    <tableColumn id="7" name="PNP Début" dataDxfId="60"/>
    <tableColumn id="8" name="PNP Fin" dataDxfId="59"/>
    <tableColumn id="10" name="Majoration" dataDxfId="58" dataCellStyle="Milliers">
      <calculatedColumnFormula>0.1*(Horaires356734512[[#This Row],[Heures de nuit]]+Horaires356734512[[#This Row],[heures jour dimanche]]+Horaires356734512[[#This Row],[heures jour fériés]])</calculatedColumnFormula>
    </tableColumn>
    <tableColumn id="9" name="Heures totales payées" dataDxfId="57" dataCellStyle="Milliers">
      <calculatedColumnFormula>(MOD(Horaires356734512[[#This Row],[Fin]]-Horaires356734512[[#This Row],[début]],1)-MOD(Horaires356734512[[#This Row],[PNP Fin]]-Horaires356734512[[#This Row],[PNP Début]],1))*24</calculatedColumnFormula>
    </tableColumn>
    <tableColumn id="15" name="PNP Début corrigé" dataDxfId="56">
      <calculatedColumnFormula>IF(Horaires356734512[[#This Row],[PNP Début]]=0,0,IF(Horaires356734512[[#This Row],[PNP Début]]&lt;Horaires356734512[[#This Row],[début]],1,0)+Horaires356734512[[#This Row],[PNP Début]])</calculatedColumnFormula>
    </tableColumn>
    <tableColumn id="16" name="PNP Fin corrigée" dataDxfId="55">
      <calculatedColumnFormula>IF(Horaires356734512[[#This Row],[PNP Fin]]=0,0,IF(Horaires356734512[[#This Row],[PNP Fin]]&lt;Horaires356734512[[#This Row],[début]],1,0)+Horaires356734512[[#This Row],[PNP Fin]])</calculatedColumnFormula>
    </tableColumn>
    <tableColumn id="14" name="Fin corrigée si nuit" dataDxfId="54">
      <calculatedColumnFormula>IF(Horaires356734512[[#This Row],[Fin]]&lt;Horaires356734512[[#This Row],[début]],1,0)+Horaires356734512[[#This Row],[Fin]]</calculatedColumnFormula>
    </tableColumn>
    <tableColumn id="13" name="Heures de nuit" dataDxfId="53" dataCellStyle="Milliers">
      <calculatedColumnFormula>MAX(0,MIN(Horaires356734512[[#This Row],[Fin corrigée si nuit]],fin_nuit)-MAX(Horaires356734512[[#This Row],[début]],deb_nuit))*24</calculatedColumnFormula>
    </tableColumn>
    <tableColumn id="17" name="Heures de nuit hors PNP" dataDxfId="52" dataCellStyle="Milliers">
      <calculatedColumnFormula>(MAX(0,MIN(Horaires356734512[[#This Row],[Fin corrigée si nuit]],fin_nuit)-MAX(Horaires356734512[[#This Row],[début]],deb_nuit))-IF(Horaires356734512[[#This Row],[PNP Début]]=0,0,MIN(Horaires356734512[[#This Row],[PNP Fin corrigée]],fin_nuit)-MAX(Horaires356734512[[#This Row],[PNP Début corrigé]],deb_nuit)))*24</calculatedColumnFormula>
    </tableColumn>
    <tableColumn id="18" name="heures jour dimanche" dataDxfId="51" dataCellStyle="Milliers">
      <calculatedColumnFormula>(IF(WEEKDAY(Horaires356734512[[#This Row],[Date]],2)=7,MAX(0,MIN(fin_dimJF,Horaires356734512[[#This Row],[Fin corrigée si nuit]])-MAX(deb_dimJF,Horaires356734512[[#This Row],[début]])),0)+IF(WEEKDAY(Horaires356734512[[#This Row],[Date]],2)=6,MAX(0,Horaires356734512[[#This Row],[Fin corrigée si nuit]]-(1+deb_dimJF)),0))*24</calculatedColumnFormula>
    </tableColumn>
    <tableColumn id="11" name="heures jour dimanche hors PNP" dataDxfId="50" dataCellStyle="Milliers">
      <calculatedColumnFormula>(IF(WEEKDAY(Horaires356734512[[#This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calculatedColumnFormula>
    </tableColumn>
    <tableColumn id="19" name="heures jour fériés" dataDxfId="49" dataCellStyle="Milliers">
      <calculatedColumnFormula>(IF(COUNTIF(JF,Horaires356734512[[#This Row],[Date]]),MAX(0,MIN(fin_dimJF,Horaires356734512[[#This Row],[Fin corrigée si nuit]])-MAX(deb_dimJF,Horaires356734512[[#This Row],[début]])),0)+IF(COUNTIF(JF,Horaires356734512[[#This Row],[Date]]+1),MAX(0,Horaires356734512[[#This Row],[Fin corrigée si nuit]]-(1+deb_dimJF)),0))*24</calculatedColumnFormula>
    </tableColumn>
    <tableColumn id="12" name="heures jour fériés hors PNP" dataDxfId="48" dataCellStyle="Milliers">
      <calculatedColumnFormula>(IF(COUNTIF(JF,Horaires356734512[[#This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calculatedColumnFormula>
    </tableColumn>
  </tableColumns>
  <tableStyleInfo name="TableStyleLight9" showFirstColumn="0" showLastColumn="0" showRowStripes="1" showColumnStripes="0"/>
</table>
</file>

<file path=xl/tables/table13.xml><?xml version="1.0" encoding="utf-8"?>
<table xmlns="http://schemas.openxmlformats.org/spreadsheetml/2006/main" id="10" name="Horaires356731011" displayName="Horaires356731011" ref="A12:S49" totalsRowShown="0" headerRowDxfId="47" dataDxfId="45" headerRowBorderDxfId="46" tableBorderDxfId="44" totalsRowBorderDxfId="43">
  <autoFilter ref="A12:S49"/>
  <tableColumns count="19">
    <tableColumn id="1" name="Date" dataDxfId="42"/>
    <tableColumn id="2" name="Service" dataDxfId="41"/>
    <tableColumn id="3" name="début" dataDxfId="40"/>
    <tableColumn id="4" name="Fin" dataDxfId="39"/>
    <tableColumn id="5" name="PP Début" dataDxfId="38"/>
    <tableColumn id="6" name="PP Fin" dataDxfId="37"/>
    <tableColumn id="7" name="PNP Début" dataDxfId="36"/>
    <tableColumn id="8" name="PNP Fin" dataDxfId="35"/>
    <tableColumn id="10" name="Majoration" dataDxfId="34" dataCellStyle="Milliers">
      <calculatedColumnFormula>0.1*(Horaires356731011[[#This Row],[Heures de nuit]]+Horaires356731011[[#This Row],[heures jour dimanche]]+Horaires356731011[[#This Row],[heures jour fériés]])</calculatedColumnFormula>
    </tableColumn>
    <tableColumn id="9" name="Heures totales payées" dataDxfId="33" dataCellStyle="Milliers">
      <calculatedColumnFormula>(MOD(Horaires356731011[[#This Row],[Fin]]-Horaires356731011[[#This Row],[début]],1)-MOD(Horaires356731011[[#This Row],[PNP Fin]]-Horaires356731011[[#This Row],[PNP Début]],1))*24</calculatedColumnFormula>
    </tableColumn>
    <tableColumn id="15" name="PNP Début corrigé" dataDxfId="32">
      <calculatedColumnFormula>IF(Horaires356731011[[#This Row],[PNP Début]]=0,0,IF(Horaires356731011[[#This Row],[PNP Début]]&lt;Horaires356731011[[#This Row],[début]],1,0)+Horaires356731011[[#This Row],[PNP Début]])</calculatedColumnFormula>
    </tableColumn>
    <tableColumn id="16" name="PNP Fin corrigée" dataDxfId="31">
      <calculatedColumnFormula>IF(Horaires356731011[[#This Row],[PNP Fin]]=0,0,IF(Horaires356731011[[#This Row],[PNP Fin]]&lt;Horaires356731011[[#This Row],[début]],1,0)+Horaires356731011[[#This Row],[PNP Fin]])</calculatedColumnFormula>
    </tableColumn>
    <tableColumn id="14" name="Fin corrigée si nuit" dataDxfId="30">
      <calculatedColumnFormula>IF(Horaires356731011[[#This Row],[Fin]]&lt;Horaires356731011[[#This Row],[début]],1,0)+Horaires356731011[[#This Row],[Fin]]</calculatedColumnFormula>
    </tableColumn>
    <tableColumn id="13" name="Heures de nuit" dataDxfId="29" dataCellStyle="Milliers">
      <calculatedColumnFormula>MAX(0,MIN(Horaires356731011[[#This Row],[Fin corrigée si nuit]],fin_nuit)-MAX(Horaires356731011[[#This Row],[début]],deb_nuit))*24</calculatedColumnFormula>
    </tableColumn>
    <tableColumn id="17" name="Heures de nuit hors PNP" dataDxfId="28" dataCellStyle="Milliers">
      <calculatedColumnFormula>(MAX(0,MIN(Horaires356731011[[#This Row],[Fin corrigée si nuit]],fin_nuit)-MAX(Horaires356731011[[#This Row],[début]],deb_nuit))-IF(Horaires356731011[[#This Row],[PNP Début]]=0,0,MIN(Horaires356731011[[#This Row],[PNP Fin corrigée]],fin_nuit)-MAX(Horaires356731011[[#This Row],[PNP Début corrigé]],deb_nuit)))*24</calculatedColumnFormula>
    </tableColumn>
    <tableColumn id="18" name="heures jour dimanche" dataDxfId="27" dataCellStyle="Milliers">
      <calculatedColumnFormula>(IF(WEEKDAY(Horaires356731011[[#This Row],[Date]],2)=7,MAX(0,MIN(fin_dimJF,Horaires356731011[[#This Row],[Fin corrigée si nuit]])-MAX(deb_dimJF,Horaires356731011[[#This Row],[début]])),0)+IF(WEEKDAY(Horaires356731011[[#This Row],[Date]],2)=6,MAX(0,Horaires356731011[[#This Row],[Fin corrigée si nuit]]-(1+deb_dimJF)),0))*24</calculatedColumnFormula>
    </tableColumn>
    <tableColumn id="11" name="heures jour dimanche hors PNP" dataDxfId="26" dataCellStyle="Milliers">
      <calculatedColumnFormula>(IF(WEEKDAY(Horaires356731011[[#This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calculatedColumnFormula>
    </tableColumn>
    <tableColumn id="19" name="heures jour fériés" dataDxfId="25" dataCellStyle="Milliers">
      <calculatedColumnFormula>(IF(COUNTIF(JF,Horaires356731011[[#This Row],[Date]]),MAX(0,MIN(fin_dimJF,Horaires356731011[[#This Row],[Fin corrigée si nuit]])-MAX(deb_dimJF,Horaires356731011[[#This Row],[début]])),0)+IF(COUNTIF(JF,Horaires356731011[[#This Row],[Date]]+1),MAX(0,Horaires356731011[[#This Row],[Fin corrigée si nuit]]-(1+deb_dimJF)),0))*24</calculatedColumnFormula>
    </tableColumn>
    <tableColumn id="12" name="heures jour fériés hors PNP" dataDxfId="24" dataCellStyle="Milliers">
      <calculatedColumnFormula>(IF(COUNTIF(JF,Horaires356731011[[#This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calculatedColumnFormula>
    </tableColumn>
  </tableColumns>
  <tableStyleInfo name="TableStyleLight9" showFirstColumn="0" showLastColumn="0" showRowStripes="1" showColumnStripes="0"/>
</table>
</file>

<file path=xl/tables/table14.xml><?xml version="1.0" encoding="utf-8"?>
<table xmlns="http://schemas.openxmlformats.org/spreadsheetml/2006/main" id="7" name="Horaires3567348" displayName="Horaires3567348" ref="A12:S49" totalsRowShown="0" headerRowDxfId="23" dataDxfId="21" headerRowBorderDxfId="22" tableBorderDxfId="20" totalsRowBorderDxfId="19">
  <autoFilter ref="A12:S49"/>
  <tableColumns count="19">
    <tableColumn id="1" name="Date" dataDxfId="18"/>
    <tableColumn id="2" name="Service" dataDxfId="17"/>
    <tableColumn id="3" name="début" dataDxfId="16"/>
    <tableColumn id="4" name="Fin" dataDxfId="15"/>
    <tableColumn id="5" name="PP Début" dataDxfId="14"/>
    <tableColumn id="6" name="PP Fin" dataDxfId="13"/>
    <tableColumn id="7" name="PNP Début" dataDxfId="12"/>
    <tableColumn id="8" name="PNP Fin" dataDxfId="11"/>
    <tableColumn id="10" name="Majoration" dataDxfId="10" dataCellStyle="Milliers">
      <calculatedColumnFormula>0.1*(Horaires3567348[[#This Row],[Heures de nuit]]+Horaires3567348[[#This Row],[heures jour dimanche]]+Horaires3567348[[#This Row],[heures jour fériés]])</calculatedColumnFormula>
    </tableColumn>
    <tableColumn id="9" name="Heures totales payées" dataDxfId="9" dataCellStyle="Milliers">
      <calculatedColumnFormula>(MOD(Horaires3567348[[#This Row],[Fin]]-Horaires3567348[[#This Row],[début]],1)-MOD(Horaires3567348[[#This Row],[PNP Fin]]-Horaires3567348[[#This Row],[PNP Début]],1))*24</calculatedColumnFormula>
    </tableColumn>
    <tableColumn id="15" name="PNP Début corrigé" dataDxfId="8">
      <calculatedColumnFormula>IF(Horaires3567348[[#This Row],[PNP Début]]=0,0,IF(Horaires3567348[[#This Row],[PNP Début]]&lt;Horaires3567348[[#This Row],[début]],1,0)+Horaires3567348[[#This Row],[PNP Début]])</calculatedColumnFormula>
    </tableColumn>
    <tableColumn id="16" name="PNP Fin corrigée" dataDxfId="7">
      <calculatedColumnFormula>IF(Horaires3567348[[#This Row],[PNP Fin]]=0,0,IF(Horaires3567348[[#This Row],[PNP Fin]]&lt;Horaires3567348[[#This Row],[début]],1,0)+Horaires3567348[[#This Row],[PNP Fin]])</calculatedColumnFormula>
    </tableColumn>
    <tableColumn id="14" name="Fin corrigée si nuit" dataDxfId="6">
      <calculatedColumnFormula>IF(Horaires3567348[[#This Row],[Fin]]&lt;Horaires3567348[[#This Row],[début]],1,0)+Horaires3567348[[#This Row],[Fin]]</calculatedColumnFormula>
    </tableColumn>
    <tableColumn id="13" name="Heures de nuit" dataDxfId="5" dataCellStyle="Milliers">
      <calculatedColumnFormula>MAX(0,MIN(Horaires3567348[[#This Row],[Fin corrigée si nuit]],fin_nuit)-MAX(Horaires3567348[[#This Row],[début]],deb_nuit))*24</calculatedColumnFormula>
    </tableColumn>
    <tableColumn id="17" name="Heures de nuit hors PNP" dataDxfId="4" dataCellStyle="Milliers">
      <calculatedColumnFormula>(MAX(0,MIN(Horaires3567348[[#This Row],[Fin corrigée si nuit]],fin_nuit)-MAX(Horaires3567348[[#This Row],[début]],deb_nuit))-IF(Horaires3567348[[#This Row],[PNP Début]]=0,0,MIN(Horaires3567348[[#This Row],[PNP Fin corrigée]],fin_nuit)-MAX(Horaires3567348[[#This Row],[PNP Début corrigé]],deb_nuit)))*24</calculatedColumnFormula>
    </tableColumn>
    <tableColumn id="18" name="heures jour dimanche" dataDxfId="3" dataCellStyle="Milliers">
      <calculatedColumnFormula>(IF(WEEKDAY(Horaires3567348[[#This Row],[Date]],2)=7,MAX(0,MIN(fin_dimJF,Horaires3567348[[#This Row],[Fin corrigée si nuit]])-MAX(deb_dimJF,Horaires3567348[[#This Row],[début]])),0)+IF(WEEKDAY(Horaires3567348[[#This Row],[Date]],2)=6,MAX(0,Horaires3567348[[#This Row],[Fin corrigée si nuit]]-(1+deb_dimJF)),0))*24</calculatedColumnFormula>
    </tableColumn>
    <tableColumn id="11" name="heures jour dimanche hors PNP" dataDxfId="2" dataCellStyle="Milliers">
      <calculatedColumnFormula>(IF(WEEKDAY(Horaires3567348[[#This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calculatedColumnFormula>
    </tableColumn>
    <tableColumn id="19" name="heures jour fériés" dataDxfId="1" dataCellStyle="Milliers">
      <calculatedColumnFormula>(IF(COUNTIF(JF,Horaires3567348[[#This Row],[Date]]),MAX(0,MIN(fin_dimJF,Horaires3567348[[#This Row],[Fin corrigée si nuit]])-MAX(deb_dimJF,Horaires3567348[[#This Row],[début]])),0)+IF(COUNTIF(JF,Horaires3567348[[#This Row],[Date]]+1),MAX(0,Horaires3567348[[#This Row],[Fin corrigée si nuit]]-(1+deb_dimJF)),0))*24</calculatedColumnFormula>
    </tableColumn>
    <tableColumn id="12" name="heures jour fériés hors PNP" dataDxfId="0" dataCellStyle="Milliers">
      <calculatedColumnFormula>(IF(COUNTIF(JF,Horaires3567348[[#This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60"/>
  <sheetViews>
    <sheetView workbookViewId="0">
      <selection activeCell="A13" sqref="A13"/>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38</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t="s">
        <v>51</v>
      </c>
      <c r="B5" s="103"/>
      <c r="C5" s="27" t="s">
        <v>40</v>
      </c>
      <c r="D5" s="97" t="s">
        <v>50</v>
      </c>
      <c r="E5" s="98"/>
      <c r="F5" s="98"/>
      <c r="G5" s="99" t="s">
        <v>24</v>
      </c>
      <c r="H5" s="99"/>
      <c r="I5" s="100">
        <v>42979</v>
      </c>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68" t="s">
        <v>31</v>
      </c>
      <c r="F11" s="68" t="s">
        <v>6</v>
      </c>
      <c r="G11" s="68" t="s">
        <v>31</v>
      </c>
      <c r="H11" s="68"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v>42978</v>
      </c>
      <c r="B13" s="1" t="s">
        <v>0</v>
      </c>
      <c r="C13" s="2">
        <v>0.75</v>
      </c>
      <c r="D13" s="2">
        <v>0.25</v>
      </c>
      <c r="E13" s="3">
        <v>4.1666666666666664E-2</v>
      </c>
      <c r="F13" s="3">
        <v>8.3333333333333329E-2</v>
      </c>
      <c r="G13" s="3">
        <v>0.125</v>
      </c>
      <c r="H13" s="3">
        <v>0.16666666666666666</v>
      </c>
      <c r="I13" s="38">
        <f>0.1*(Horaires[[#This Row],[Heures de nuit]]+Horaires[[#This Row],[heures jour dimanche]]+Horaires[[#This Row],[heures jour fériés]])</f>
        <v>0.7</v>
      </c>
      <c r="J13" s="39">
        <f>(MOD(Horaires[[#This Row],[Fin]]-Horaires[[#This Row],[début]],1)-MOD(Horaires[[#This Row],[PNP Fin]]-Horaires[[#This Row],[PNP Début]],1))*24</f>
        <v>11</v>
      </c>
      <c r="K13" s="40">
        <f>IF(Horaires[[#This Row],[PNP Début]]=0,0,IF(Horaires[[#This Row],[PNP Début]]&lt;Horaires[[#This Row],[début]],1,0)+Horaires[[#This Row],[PNP Début]])</f>
        <v>1.125</v>
      </c>
      <c r="L13" s="40">
        <f>IF(Horaires[[#This Row],[PNP Fin]]=0,0,IF(Horaires[[#This Row],[PNP Fin]]&lt;Horaires[[#This Row],[début]],1,0)+Horaires[[#This Row],[PNP Fin]])</f>
        <v>1.1666666666666667</v>
      </c>
      <c r="M13" s="40">
        <f>IF(Horaires[[#This Row],[Fin]]&lt;Horaires[[#This Row],[début]],1,0)+Horaires[[#This Row],[Fin]]</f>
        <v>1.25</v>
      </c>
      <c r="N13" s="41">
        <f>MAX(0,MIN(Horaires[[#This Row],[Fin corrigée si nuit]],fin_nuit)-MAX(Horaires[[#This Row],[début]],deb_nuit))*24</f>
        <v>6.9999999999999991</v>
      </c>
      <c r="O13" s="41">
        <f>(MAX(0,MIN(Horaires[[#This Row],[Fin corrigée si nuit]],fin_nuit)-MAX(Horaires[[#This Row],[début]],deb_nuit))-IF(Horaires[[#This Row],[PNP Début]]=0,0,MIN(Horaires[[#This Row],[PNP Fin corrigée]],fin_nuit)-MAX(Horaires[[#This Row],[PNP Début corrigé]],deb_nuit)))*24</f>
        <v>5.9999999999999973</v>
      </c>
      <c r="P13" s="41">
        <f>(IF(WEEKDAY(Horaires[[#This Row],[Date]],2)=7,MAX(0,MIN(fin_dimJF,Horaires[[#This Row],[Fin corrigée si nuit]])-MAX(deb_dimJF,Horaires[[#This Row],[début]])),0)+IF(WEEKDAY(Horaires[[#This Row],[Date]],2)=6,MAX(0,Horaires[[#This Row],[Fin corrigée si nuit]]-(1+deb_dimJF)),0))*24</f>
        <v>0</v>
      </c>
      <c r="Q13" s="4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13" s="42">
        <f>(IF(COUNTIF(JF,Horaires[[#This Row],[Date]]),MAX(0,MIN(fin_dimJF,Horaires[[#This Row],[Fin corrigée si nuit]])-MAX(deb_dimJF,Horaires[[#This Row],[début]])),0)+IF(COUNTIF(JF,Horaires[[#This Row],[Date]]+1),MAX(0,Horaires[[#This Row],[Fin corrigée si nuit]]-(1+deb_dimJF)),0))*24</f>
        <v>0</v>
      </c>
      <c r="S13" s="4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14" spans="1:19" x14ac:dyDescent="0.35">
      <c r="A14" s="9">
        <v>42980</v>
      </c>
      <c r="B14" s="1" t="s">
        <v>43</v>
      </c>
      <c r="C14" s="2">
        <v>0.25</v>
      </c>
      <c r="D14" s="2">
        <v>0.75</v>
      </c>
      <c r="E14" s="3">
        <v>0.54166666666666663</v>
      </c>
      <c r="F14" s="3">
        <v>0.58333333333333337</v>
      </c>
      <c r="G14" s="3"/>
      <c r="H14" s="3"/>
      <c r="I14" s="38">
        <f>0.1*(Horaires[[#This Row],[Heures de nuit]]+Horaires[[#This Row],[heures jour dimanche]]+Horaires[[#This Row],[heures jour fériés]])</f>
        <v>0</v>
      </c>
      <c r="J14" s="39">
        <f>(MOD(Horaires[[#This Row],[Fin]]-Horaires[[#This Row],[début]],1)-MOD(Horaires[[#This Row],[PNP Fin]]-Horaires[[#This Row],[PNP Début]],1))*24</f>
        <v>12</v>
      </c>
      <c r="K14" s="40">
        <f>IF(Horaires[[#This Row],[PNP Début]]=0,0,IF(Horaires[[#This Row],[PNP Début]]&lt;Horaires[[#This Row],[début]],1,0)+Horaires[[#This Row],[PNP Début]])</f>
        <v>0</v>
      </c>
      <c r="L14" s="40">
        <f>IF(Horaires[[#This Row],[PNP Fin]]=0,0,IF(Horaires[[#This Row],[PNP Fin]]&lt;Horaires[[#This Row],[début]],1,0)+Horaires[[#This Row],[PNP Fin]])</f>
        <v>0</v>
      </c>
      <c r="M14" s="40">
        <f>IF(Horaires[[#This Row],[Fin]]&lt;Horaires[[#This Row],[début]],1,0)+Horaires[[#This Row],[Fin]]</f>
        <v>0.75</v>
      </c>
      <c r="N14" s="41">
        <f>MAX(0,MIN(Horaires[[#This Row],[Fin corrigée si nuit]],fin_nuit)-MAX(Horaires[[#This Row],[début]],deb_nuit))*24</f>
        <v>0</v>
      </c>
      <c r="O14" s="41">
        <f>(MAX(0,MIN(Horaires[[#This Row],[Fin corrigée si nuit]],fin_nuit)-MAX(Horaires[[#This Row],[début]],deb_nuit))-IF(Horaires[[#This Row],[PNP Début]]=0,0,MIN(Horaires[[#This Row],[PNP Fin corrigée]],fin_nuit)-MAX(Horaires[[#This Row],[PNP Début corrigé]],deb_nuit)))*24</f>
        <v>0</v>
      </c>
      <c r="P14" s="41">
        <f>(IF(WEEKDAY(Horaires[[#This Row],[Date]],2)=7,MAX(0,MIN(fin_dimJF,Horaires[[#This Row],[Fin corrigée si nuit]])-MAX(deb_dimJF,Horaires[[#This Row],[début]])),0)+IF(WEEKDAY(Horaires[[#This Row],[Date]],2)=6,MAX(0,Horaires[[#This Row],[Fin corrigée si nuit]]-(1+deb_dimJF)),0))*24</f>
        <v>0</v>
      </c>
      <c r="Q14" s="4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14" s="42">
        <f>(IF(COUNTIF(JF,Horaires[[#This Row],[Date]]),MAX(0,MIN(fin_dimJF,Horaires[[#This Row],[Fin corrigée si nuit]])-MAX(deb_dimJF,Horaires[[#This Row],[début]])),0)+IF(COUNTIF(JF,Horaires[[#This Row],[Date]]+1),MAX(0,Horaires[[#This Row],[Fin corrigée si nuit]]-(1+deb_dimJF)),0))*24</f>
        <v>0</v>
      </c>
      <c r="S14" s="4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15" spans="1:19" x14ac:dyDescent="0.35">
      <c r="A15" s="9">
        <v>42982</v>
      </c>
      <c r="B15" s="1" t="s">
        <v>44</v>
      </c>
      <c r="C15" s="2">
        <v>0.25</v>
      </c>
      <c r="D15" s="2">
        <v>0.75</v>
      </c>
      <c r="E15" s="3">
        <v>0.54166666666666663</v>
      </c>
      <c r="F15" s="3">
        <v>0.58333333333333337</v>
      </c>
      <c r="G15" s="3"/>
      <c r="H15" s="3"/>
      <c r="I15" s="38">
        <f>0.1*(Horaires[[#This Row],[Heures de nuit]]+Horaires[[#This Row],[heures jour dimanche]]+Horaires[[#This Row],[heures jour fériés]])</f>
        <v>0</v>
      </c>
      <c r="J15" s="39">
        <f>(MOD(Horaires[[#This Row],[Fin]]-Horaires[[#This Row],[début]],1)-MOD(Horaires[[#This Row],[PNP Fin]]-Horaires[[#This Row],[PNP Début]],1))*24</f>
        <v>12</v>
      </c>
      <c r="K15" s="40">
        <f>IF(Horaires[[#This Row],[PNP Début]]=0,0,IF(Horaires[[#This Row],[PNP Début]]&lt;Horaires[[#This Row],[début]],1,0)+Horaires[[#This Row],[PNP Début]])</f>
        <v>0</v>
      </c>
      <c r="L15" s="40">
        <f>IF(Horaires[[#This Row],[PNP Fin]]=0,0,IF(Horaires[[#This Row],[PNP Fin]]&lt;Horaires[[#This Row],[début]],1,0)+Horaires[[#This Row],[PNP Fin]])</f>
        <v>0</v>
      </c>
      <c r="M15" s="40">
        <f>IF(Horaires[[#This Row],[Fin]]&lt;Horaires[[#This Row],[début]],1,0)+Horaires[[#This Row],[Fin]]</f>
        <v>0.75</v>
      </c>
      <c r="N15" s="41">
        <f>MAX(0,MIN(Horaires[[#This Row],[Fin corrigée si nuit]],fin_nuit)-MAX(Horaires[[#This Row],[début]],deb_nuit))*24</f>
        <v>0</v>
      </c>
      <c r="O15" s="41">
        <f>(MAX(0,MIN(Horaires[[#This Row],[Fin corrigée si nuit]],fin_nuit)-MAX(Horaires[[#This Row],[début]],deb_nuit))-IF(Horaires[[#This Row],[PNP Début]]=0,0,MIN(Horaires[[#This Row],[PNP Fin corrigée]],fin_nuit)-MAX(Horaires[[#This Row],[PNP Début corrigé]],deb_nuit)))*24</f>
        <v>0</v>
      </c>
      <c r="P15" s="41">
        <f>(IF(WEEKDAY(Horaires[[#This Row],[Date]],2)=7,MAX(0,MIN(fin_dimJF,Horaires[[#This Row],[Fin corrigée si nuit]])-MAX(deb_dimJF,Horaires[[#This Row],[début]])),0)+IF(WEEKDAY(Horaires[[#This Row],[Date]],2)=6,MAX(0,Horaires[[#This Row],[Fin corrigée si nuit]]-(1+deb_dimJF)),0))*24</f>
        <v>0</v>
      </c>
      <c r="Q15" s="4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15" s="42">
        <f>(IF(COUNTIF(JF,Horaires[[#This Row],[Date]]),MAX(0,MIN(fin_dimJF,Horaires[[#This Row],[Fin corrigée si nuit]])-MAX(deb_dimJF,Horaires[[#This Row],[début]])),0)+IF(COUNTIF(JF,Horaires[[#This Row],[Date]]+1),MAX(0,Horaires[[#This Row],[Fin corrigée si nuit]]-(1+deb_dimJF)),0))*24</f>
        <v>0</v>
      </c>
      <c r="S15" s="4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16" spans="1:19" x14ac:dyDescent="0.35">
      <c r="A16" s="9">
        <v>42983</v>
      </c>
      <c r="B16" s="10" t="s">
        <v>44</v>
      </c>
      <c r="C16" s="2">
        <v>0.25</v>
      </c>
      <c r="D16" s="2">
        <v>0.75</v>
      </c>
      <c r="E16" s="3">
        <v>0.54166666666666663</v>
      </c>
      <c r="F16" s="3">
        <v>0.58333333333333337</v>
      </c>
      <c r="G16" s="11"/>
      <c r="H16" s="11"/>
      <c r="I16" s="38">
        <f>0.1*(Horaires[[#This Row],[Heures de nuit]]+Horaires[[#This Row],[heures jour dimanche]]+Horaires[[#This Row],[heures jour fériés]])</f>
        <v>0</v>
      </c>
      <c r="J16" s="43">
        <f>(MOD(Horaires[[#This Row],[Fin]]-Horaires[[#This Row],[début]],1)-MOD(Horaires[[#This Row],[PNP Fin]]-Horaires[[#This Row],[PNP Début]],1))*24</f>
        <v>12</v>
      </c>
      <c r="K16" s="40">
        <f>IF(Horaires[[#This Row],[PNP Début]]=0,0,IF(Horaires[[#This Row],[PNP Début]]&lt;Horaires[[#This Row],[début]],1,0)+Horaires[[#This Row],[PNP Début]])</f>
        <v>0</v>
      </c>
      <c r="L16" s="40">
        <f>IF(Horaires[[#This Row],[PNP Fin]]=0,0,IF(Horaires[[#This Row],[PNP Fin]]&lt;Horaires[[#This Row],[début]],1,0)+Horaires[[#This Row],[PNP Fin]])</f>
        <v>0</v>
      </c>
      <c r="M16" s="44">
        <f>IF(Horaires[[#This Row],[Fin]]&lt;Horaires[[#This Row],[début]],1,0)+Horaires[[#This Row],[Fin]]</f>
        <v>0.75</v>
      </c>
      <c r="N16" s="41">
        <f>MAX(0,MIN(Horaires[[#This Row],[Fin corrigée si nuit]],fin_nuit)-MAX(Horaires[[#This Row],[début]],deb_nuit))*24</f>
        <v>0</v>
      </c>
      <c r="O16" s="45">
        <f>(MAX(0,MIN(Horaires[[#This Row],[Fin corrigée si nuit]],fin_nuit)-MAX(Horaires[[#This Row],[début]],deb_nuit))-IF(Horaires[[#This Row],[PNP Début]]=0,0,MIN(Horaires[[#This Row],[PNP Fin corrigée]],fin_nuit)-MAX(Horaires[[#This Row],[PNP Début corrigé]],deb_nuit)))*24</f>
        <v>0</v>
      </c>
      <c r="P16" s="45">
        <f>(IF(WEEKDAY(Horaires[[#This Row],[Date]],2)=7,MAX(0,MIN(fin_dimJF,Horaires[[#This Row],[Fin corrigée si nuit]])-MAX(deb_dimJF,Horaires[[#This Row],[début]])),0)+IF(WEEKDAY(Horaires[[#This Row],[Date]],2)=6,MAX(0,Horaires[[#This Row],[Fin corrigée si nuit]]-(1+deb_dimJF)),0))*24</f>
        <v>0</v>
      </c>
      <c r="Q16" s="4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16" s="46">
        <f>(IF(COUNTIF(JF,Horaires[[#This Row],[Date]]),MAX(0,MIN(fin_dimJF,Horaires[[#This Row],[Fin corrigée si nuit]])-MAX(deb_dimJF,Horaires[[#This Row],[début]])),0)+IF(COUNTIF(JF,Horaires[[#This Row],[Date]]+1),MAX(0,Horaires[[#This Row],[Fin corrigée si nuit]]-(1+deb_dimJF)),0))*24</f>
        <v>0</v>
      </c>
      <c r="S16" s="46">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17" spans="1:19" x14ac:dyDescent="0.35">
      <c r="A17" s="9">
        <v>42984</v>
      </c>
      <c r="B17" s="1" t="s">
        <v>45</v>
      </c>
      <c r="C17" s="2">
        <v>0.25</v>
      </c>
      <c r="D17" s="2">
        <v>0.75</v>
      </c>
      <c r="E17" s="3">
        <v>0.54166666666666663</v>
      </c>
      <c r="F17" s="3">
        <v>0.58333333333333337</v>
      </c>
      <c r="G17" s="17"/>
      <c r="H17" s="17"/>
      <c r="I17" s="47">
        <f>0.1*(Horaires[[#This Row],[Heures de nuit]]+Horaires[[#This Row],[heures jour dimanche]]+Horaires[[#This Row],[heures jour fériés]])</f>
        <v>0</v>
      </c>
      <c r="J17" s="48">
        <f>(MOD(Horaires[[#This Row],[Fin]]-Horaires[[#This Row],[début]],1)-MOD(Horaires[[#This Row],[PNP Fin]]-Horaires[[#This Row],[PNP Début]],1))*24</f>
        <v>12</v>
      </c>
      <c r="K17" s="49">
        <f>IF(Horaires[[#This Row],[PNP Début]]=0,0,IF(Horaires[[#This Row],[PNP Début]]&lt;Horaires[[#This Row],[début]],1,0)+Horaires[[#This Row],[PNP Début]])</f>
        <v>0</v>
      </c>
      <c r="L17" s="50">
        <f>IF(Horaires[[#This Row],[PNP Fin]]=0,0,IF(Horaires[[#This Row],[PNP Fin]]&lt;Horaires[[#This Row],[début]],1,0)+Horaires[[#This Row],[PNP Fin]])</f>
        <v>0</v>
      </c>
      <c r="M17" s="50">
        <f>IF(Horaires[[#This Row],[Fin]]&lt;Horaires[[#This Row],[début]],1,0)+Horaires[[#This Row],[Fin]]</f>
        <v>0.75</v>
      </c>
      <c r="N17" s="41">
        <f>MAX(0,MIN(Horaires[[#This Row],[Fin corrigée si nuit]],fin_nuit)-MAX(Horaires[[#This Row],[début]],deb_nuit))*24</f>
        <v>0</v>
      </c>
      <c r="O17" s="51">
        <f>(MAX(0,MIN(Horaires[[#This Row],[Fin corrigée si nuit]],fin_nuit)-MAX(Horaires[[#This Row],[début]],deb_nuit))-IF(Horaires[[#This Row],[PNP Début]]=0,0,MIN(Horaires[[#This Row],[PNP Fin corrigée]],fin_nuit)-MAX(Horaires[[#This Row],[PNP Début corrigé]],deb_nuit)))*24</f>
        <v>0</v>
      </c>
      <c r="P17" s="51">
        <f>(IF(WEEKDAY(Horaires[[#This Row],[Date]],2)=7,MAX(0,MIN(fin_dimJF,Horaires[[#This Row],[Fin corrigée si nuit]])-MAX(deb_dimJF,Horaires[[#This Row],[début]])),0)+IF(WEEKDAY(Horaires[[#This Row],[Date]],2)=6,MAX(0,Horaires[[#This Row],[Fin corrigée si nuit]]-(1+deb_dimJF)),0))*24</f>
        <v>0</v>
      </c>
      <c r="Q17" s="5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17" s="51">
        <f>(IF(COUNTIF(JF,Horaires[[#This Row],[Date]]),MAX(0,MIN(fin_dimJF,Horaires[[#This Row],[Fin corrigée si nuit]])-MAX(deb_dimJF,Horaires[[#This Row],[début]])),0)+IF(COUNTIF(JF,Horaires[[#This Row],[Date]]+1),MAX(0,Horaires[[#This Row],[Fin corrigée si nuit]]-(1+deb_dimJF)),0))*24</f>
        <v>0</v>
      </c>
      <c r="S17" s="51">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18" spans="1:19" x14ac:dyDescent="0.35">
      <c r="A18" s="9">
        <v>42989</v>
      </c>
      <c r="B18" s="69" t="s">
        <v>46</v>
      </c>
      <c r="C18" s="16">
        <v>0.60416666666666663</v>
      </c>
      <c r="D18" s="16">
        <v>0.70833333333333337</v>
      </c>
      <c r="E18" s="17"/>
      <c r="F18" s="17"/>
      <c r="G18" s="17"/>
      <c r="H18" s="17"/>
      <c r="I18" s="47">
        <f>0.1*(Horaires[[#This Row],[Heures de nuit]]+Horaires[[#This Row],[heures jour dimanche]]+Horaires[[#This Row],[heures jour fériés]])</f>
        <v>0</v>
      </c>
      <c r="J18" s="48">
        <f>(MOD(Horaires[[#This Row],[Fin]]-Horaires[[#This Row],[début]],1)-MOD(Horaires[[#This Row],[PNP Fin]]-Horaires[[#This Row],[PNP Début]],1))*24</f>
        <v>2.5000000000000018</v>
      </c>
      <c r="K18" s="49">
        <f>IF(Horaires[[#This Row],[PNP Début]]=0,0,IF(Horaires[[#This Row],[PNP Début]]&lt;Horaires[[#This Row],[début]],1,0)+Horaires[[#This Row],[PNP Début]])</f>
        <v>0</v>
      </c>
      <c r="L18" s="50">
        <f>IF(Horaires[[#This Row],[PNP Fin]]=0,0,IF(Horaires[[#This Row],[PNP Fin]]&lt;Horaires[[#This Row],[début]],1,0)+Horaires[[#This Row],[PNP Fin]])</f>
        <v>0</v>
      </c>
      <c r="M18" s="50">
        <f>IF(Horaires[[#This Row],[Fin]]&lt;Horaires[[#This Row],[début]],1,0)+Horaires[[#This Row],[Fin]]</f>
        <v>0.70833333333333337</v>
      </c>
      <c r="N18" s="41">
        <f>MAX(0,MIN(Horaires[[#This Row],[Fin corrigée si nuit]],fin_nuit)-MAX(Horaires[[#This Row],[début]],deb_nuit))*24</f>
        <v>0</v>
      </c>
      <c r="O18" s="51">
        <f>(MAX(0,MIN(Horaires[[#This Row],[Fin corrigée si nuit]],fin_nuit)-MAX(Horaires[[#This Row],[début]],deb_nuit))-IF(Horaires[[#This Row],[PNP Début]]=0,0,MIN(Horaires[[#This Row],[PNP Fin corrigée]],fin_nuit)-MAX(Horaires[[#This Row],[PNP Début corrigé]],deb_nuit)))*24</f>
        <v>0</v>
      </c>
      <c r="P18" s="51">
        <f>(IF(WEEKDAY(Horaires[[#This Row],[Date]],2)=7,MAX(0,MIN(fin_dimJF,Horaires[[#This Row],[Fin corrigée si nuit]])-MAX(deb_dimJF,Horaires[[#This Row],[début]])),0)+IF(WEEKDAY(Horaires[[#This Row],[Date]],2)=6,MAX(0,Horaires[[#This Row],[Fin corrigée si nuit]]-(1+deb_dimJF)),0))*24</f>
        <v>0</v>
      </c>
      <c r="Q18" s="5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18" s="51">
        <f>(IF(COUNTIF(JF,Horaires[[#This Row],[Date]]),MAX(0,MIN(fin_dimJF,Horaires[[#This Row],[Fin corrigée si nuit]])-MAX(deb_dimJF,Horaires[[#This Row],[début]])),0)+IF(COUNTIF(JF,Horaires[[#This Row],[Date]]+1),MAX(0,Horaires[[#This Row],[Fin corrigée si nuit]]-(1+deb_dimJF)),0))*24</f>
        <v>0</v>
      </c>
      <c r="S18" s="51">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19" spans="1:19" x14ac:dyDescent="0.35">
      <c r="A19" s="9">
        <v>42990</v>
      </c>
      <c r="B19" s="1" t="s">
        <v>47</v>
      </c>
      <c r="C19" s="16">
        <v>0.3125</v>
      </c>
      <c r="D19" s="16">
        <v>0.8125</v>
      </c>
      <c r="E19" s="3">
        <v>0.54166666666666663</v>
      </c>
      <c r="F19" s="3">
        <v>0.58333333333333337</v>
      </c>
      <c r="G19" s="17"/>
      <c r="H19" s="17"/>
      <c r="I19" s="47">
        <f>0.1*(Horaires[[#This Row],[Heures de nuit]]+Horaires[[#This Row],[heures jour dimanche]]+Horaires[[#This Row],[heures jour fériés]])</f>
        <v>0</v>
      </c>
      <c r="J19" s="48">
        <f>(MOD(Horaires[[#This Row],[Fin]]-Horaires[[#This Row],[début]],1)-MOD(Horaires[[#This Row],[PNP Fin]]-Horaires[[#This Row],[PNP Début]],1))*24</f>
        <v>12</v>
      </c>
      <c r="K19" s="49">
        <f>IF(Horaires[[#This Row],[PNP Début]]=0,0,IF(Horaires[[#This Row],[PNP Début]]&lt;Horaires[[#This Row],[début]],1,0)+Horaires[[#This Row],[PNP Début]])</f>
        <v>0</v>
      </c>
      <c r="L19" s="50">
        <f>IF(Horaires[[#This Row],[PNP Fin]]=0,0,IF(Horaires[[#This Row],[PNP Fin]]&lt;Horaires[[#This Row],[début]],1,0)+Horaires[[#This Row],[PNP Fin]])</f>
        <v>0</v>
      </c>
      <c r="M19" s="50">
        <f>IF(Horaires[[#This Row],[Fin]]&lt;Horaires[[#This Row],[début]],1,0)+Horaires[[#This Row],[Fin]]</f>
        <v>0.8125</v>
      </c>
      <c r="N19" s="41">
        <f>MAX(0,MIN(Horaires[[#This Row],[Fin corrigée si nuit]],fin_nuit)-MAX(Horaires[[#This Row],[début]],deb_nuit))*24</f>
        <v>0</v>
      </c>
      <c r="O19" s="51">
        <f>(MAX(0,MIN(Horaires[[#This Row],[Fin corrigée si nuit]],fin_nuit)-MAX(Horaires[[#This Row],[début]],deb_nuit))-IF(Horaires[[#This Row],[PNP Début]]=0,0,MIN(Horaires[[#This Row],[PNP Fin corrigée]],fin_nuit)-MAX(Horaires[[#This Row],[PNP Début corrigé]],deb_nuit)))*24</f>
        <v>0</v>
      </c>
      <c r="P19" s="51">
        <f>(IF(WEEKDAY(Horaires[[#This Row],[Date]],2)=7,MAX(0,MIN(fin_dimJF,Horaires[[#This Row],[Fin corrigée si nuit]])-MAX(deb_dimJF,Horaires[[#This Row],[début]])),0)+IF(WEEKDAY(Horaires[[#This Row],[Date]],2)=6,MAX(0,Horaires[[#This Row],[Fin corrigée si nuit]]-(1+deb_dimJF)),0))*24</f>
        <v>0</v>
      </c>
      <c r="Q19" s="5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19" s="51">
        <f>(IF(COUNTIF(JF,Horaires[[#This Row],[Date]]),MAX(0,MIN(fin_dimJF,Horaires[[#This Row],[Fin corrigée si nuit]])-MAX(deb_dimJF,Horaires[[#This Row],[début]])),0)+IF(COUNTIF(JF,Horaires[[#This Row],[Date]]+1),MAX(0,Horaires[[#This Row],[Fin corrigée si nuit]]-(1+deb_dimJF)),0))*24</f>
        <v>0</v>
      </c>
      <c r="S19" s="51">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0" spans="1:19" x14ac:dyDescent="0.35">
      <c r="A20" s="9">
        <v>42990</v>
      </c>
      <c r="B20" s="1" t="s">
        <v>48</v>
      </c>
      <c r="C20" s="16">
        <v>0.83333333333333337</v>
      </c>
      <c r="D20" s="16">
        <v>0.9375</v>
      </c>
      <c r="E20" s="17"/>
      <c r="F20" s="17"/>
      <c r="G20" s="17"/>
      <c r="H20" s="17"/>
      <c r="I20" s="47">
        <f>0.1*(Horaires[[#This Row],[Heures de nuit]]+Horaires[[#This Row],[heures jour dimanche]]+Horaires[[#This Row],[heures jour fériés]])</f>
        <v>0</v>
      </c>
      <c r="J20" s="48">
        <f>(MOD(Horaires[[#This Row],[Fin]]-Horaires[[#This Row],[début]],1)-MOD(Horaires[[#This Row],[PNP Fin]]-Horaires[[#This Row],[PNP Début]],1))*24</f>
        <v>2.4999999999999991</v>
      </c>
      <c r="K20" s="49">
        <f>IF(Horaires[[#This Row],[PNP Début]]=0,0,IF(Horaires[[#This Row],[PNP Début]]&lt;Horaires[[#This Row],[début]],1,0)+Horaires[[#This Row],[PNP Début]])</f>
        <v>0</v>
      </c>
      <c r="L20" s="50">
        <f>IF(Horaires[[#This Row],[PNP Fin]]=0,0,IF(Horaires[[#This Row],[PNP Fin]]&lt;Horaires[[#This Row],[début]],1,0)+Horaires[[#This Row],[PNP Fin]])</f>
        <v>0</v>
      </c>
      <c r="M20" s="50">
        <f>IF(Horaires[[#This Row],[Fin]]&lt;Horaires[[#This Row],[début]],1,0)+Horaires[[#This Row],[Fin]]</f>
        <v>0.9375</v>
      </c>
      <c r="N20" s="41">
        <f>MAX(0,MIN(Horaires[[#This Row],[Fin corrigée si nuit]],fin_nuit)-MAX(Horaires[[#This Row],[début]],deb_nuit))*24</f>
        <v>0</v>
      </c>
      <c r="O20" s="51">
        <f>(MAX(0,MIN(Horaires[[#This Row],[Fin corrigée si nuit]],fin_nuit)-MAX(Horaires[[#This Row],[début]],deb_nuit))-IF(Horaires[[#This Row],[PNP Début]]=0,0,MIN(Horaires[[#This Row],[PNP Fin corrigée]],fin_nuit)-MAX(Horaires[[#This Row],[PNP Début corrigé]],deb_nuit)))*24</f>
        <v>0</v>
      </c>
      <c r="P20" s="51">
        <f>(IF(WEEKDAY(Horaires[[#This Row],[Date]],2)=7,MAX(0,MIN(fin_dimJF,Horaires[[#This Row],[Fin corrigée si nuit]])-MAX(deb_dimJF,Horaires[[#This Row],[début]])),0)+IF(WEEKDAY(Horaires[[#This Row],[Date]],2)=6,MAX(0,Horaires[[#This Row],[Fin corrigée si nuit]]-(1+deb_dimJF)),0))*24</f>
        <v>0</v>
      </c>
      <c r="Q20" s="51">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0" s="51">
        <f>(IF(COUNTIF(JF,Horaires[[#This Row],[Date]]),MAX(0,MIN(fin_dimJF,Horaires[[#This Row],[Fin corrigée si nuit]])-MAX(deb_dimJF,Horaires[[#This Row],[début]])),0)+IF(COUNTIF(JF,Horaires[[#This Row],[Date]]+1),MAX(0,Horaires[[#This Row],[Fin corrigée si nuit]]-(1+deb_dimJF)),0))*24</f>
        <v>0</v>
      </c>
      <c r="S20" s="51">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1" spans="1:19" x14ac:dyDescent="0.35">
      <c r="A21" s="9">
        <v>42991</v>
      </c>
      <c r="B21" s="10" t="s">
        <v>43</v>
      </c>
      <c r="C21" s="18">
        <v>0.25</v>
      </c>
      <c r="D21" s="18">
        <v>0.75</v>
      </c>
      <c r="E21" s="3">
        <v>0.54166666666666663</v>
      </c>
      <c r="F21" s="3">
        <v>0.58333333333333337</v>
      </c>
      <c r="G21" s="19"/>
      <c r="H21" s="19"/>
      <c r="I21" s="52">
        <f>0.1*(Horaires[[#This Row],[Heures de nuit]]+Horaires[[#This Row],[heures jour dimanche]]+Horaires[[#This Row],[heures jour fériés]])</f>
        <v>0</v>
      </c>
      <c r="J21" s="53">
        <f>(MOD(Horaires[[#This Row],[Fin]]-Horaires[[#This Row],[début]],1)-MOD(Horaires[[#This Row],[PNP Fin]]-Horaires[[#This Row],[PNP Début]],1))*24</f>
        <v>12</v>
      </c>
      <c r="K21" s="54">
        <f>IF(Horaires[[#This Row],[PNP Début]]=0,0,IF(Horaires[[#This Row],[PNP Début]]&lt;Horaires[[#This Row],[début]],1,0)+Horaires[[#This Row],[PNP Début]])</f>
        <v>0</v>
      </c>
      <c r="L21" s="55">
        <f>IF(Horaires[[#This Row],[PNP Fin]]=0,0,IF(Horaires[[#This Row],[PNP Fin]]&lt;Horaires[[#This Row],[début]],1,0)+Horaires[[#This Row],[PNP Fin]])</f>
        <v>0</v>
      </c>
      <c r="M21" s="55">
        <f>IF(Horaires[[#This Row],[Fin]]&lt;Horaires[[#This Row],[début]],1,0)+Horaires[[#This Row],[Fin]]</f>
        <v>0.75</v>
      </c>
      <c r="N21" s="41">
        <f>MAX(0,MIN(Horaires[[#This Row],[Fin corrigée si nuit]],fin_nuit)-MAX(Horaires[[#This Row],[début]],deb_nuit))*24</f>
        <v>0</v>
      </c>
      <c r="O21" s="56">
        <f>(MAX(0,MIN(Horaires[[#This Row],[Fin corrigée si nuit]],fin_nuit)-MAX(Horaires[[#This Row],[début]],deb_nuit))-IF(Horaires[[#This Row],[PNP Début]]=0,0,MIN(Horaires[[#This Row],[PNP Fin corrigée]],fin_nuit)-MAX(Horaires[[#This Row],[PNP Début corrigé]],deb_nuit)))*24</f>
        <v>0</v>
      </c>
      <c r="P21" s="56">
        <f>(IF(WEEKDAY(Horaires[[#This Row],[Date]],2)=7,MAX(0,MIN(fin_dimJF,Horaires[[#This Row],[Fin corrigée si nuit]])-MAX(deb_dimJF,Horaires[[#This Row],[début]])),0)+IF(WEEKDAY(Horaires[[#This Row],[Date]],2)=6,MAX(0,Horaires[[#This Row],[Fin corrigée si nuit]]-(1+deb_dimJF)),0))*24</f>
        <v>0</v>
      </c>
      <c r="Q21" s="56">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1" s="56">
        <f>(IF(COUNTIF(JF,Horaires[[#This Row],[Date]]),MAX(0,MIN(fin_dimJF,Horaires[[#This Row],[Fin corrigée si nuit]])-MAX(deb_dimJF,Horaires[[#This Row],[début]])),0)+IF(COUNTIF(JF,Horaires[[#This Row],[Date]]+1),MAX(0,Horaires[[#This Row],[Fin corrigée si nuit]]-(1+deb_dimJF)),0))*24</f>
        <v>0</v>
      </c>
      <c r="S21" s="56">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2" spans="1:19" x14ac:dyDescent="0.35">
      <c r="A22" s="9">
        <v>42992</v>
      </c>
      <c r="B22" s="1" t="s">
        <v>1</v>
      </c>
      <c r="C22" s="18">
        <v>0.25</v>
      </c>
      <c r="D22" s="18">
        <v>0.75</v>
      </c>
      <c r="E22" s="3">
        <v>0.54166666666666663</v>
      </c>
      <c r="F22" s="3">
        <v>0.58333333333333337</v>
      </c>
      <c r="G22" s="3"/>
      <c r="H22" s="3"/>
      <c r="I22" s="57">
        <f>0.1*(Horaires[[#This Row],[Heures de nuit]]+Horaires[[#This Row],[heures jour dimanche]]+Horaires[[#This Row],[heures jour fériés]])</f>
        <v>0</v>
      </c>
      <c r="J22" s="58">
        <f>(MOD(Horaires[[#This Row],[Fin]]-Horaires[[#This Row],[début]],1)-MOD(Horaires[[#This Row],[PNP Fin]]-Horaires[[#This Row],[PNP Début]],1))*24</f>
        <v>12</v>
      </c>
      <c r="K22" s="59">
        <f>IF(Horaires[[#This Row],[PNP Début]]=0,0,IF(Horaires[[#This Row],[PNP Début]]&lt;Horaires[[#This Row],[début]],1,0)+Horaires[[#This Row],[PNP Début]])</f>
        <v>0</v>
      </c>
      <c r="L22" s="60">
        <f>IF(Horaires[[#This Row],[PNP Fin]]=0,0,IF(Horaires[[#This Row],[PNP Fin]]&lt;Horaires[[#This Row],[début]],1,0)+Horaires[[#This Row],[PNP Fin]])</f>
        <v>0</v>
      </c>
      <c r="M22" s="60">
        <f>IF(Horaires[[#This Row],[Fin]]&lt;Horaires[[#This Row],[début]],1,0)+Horaires[[#This Row],[Fin]]</f>
        <v>0.75</v>
      </c>
      <c r="N22" s="61">
        <f>MAX(0,MIN(Horaires[[#This Row],[Fin corrigée si nuit]],fin_nuit)-MAX(Horaires[[#This Row],[début]],deb_nuit))*24</f>
        <v>0</v>
      </c>
      <c r="O22" s="62">
        <f>(MAX(0,MIN(Horaires[[#This Row],[Fin corrigée si nuit]],fin_nuit)-MAX(Horaires[[#This Row],[début]],deb_nuit))-IF(Horaires[[#This Row],[PNP Début]]=0,0,MIN(Horaires[[#This Row],[PNP Fin corrigée]],fin_nuit)-MAX(Horaires[[#This Row],[PNP Début corrigé]],deb_nuit)))*24</f>
        <v>0</v>
      </c>
      <c r="P22" s="62">
        <f>(IF(WEEKDAY(Horaires[[#This Row],[Date]],2)=7,MAX(0,MIN(fin_dimJF,Horaires[[#This Row],[Fin corrigée si nuit]])-MAX(deb_dimJF,Horaires[[#This Row],[début]])),0)+IF(WEEKDAY(Horaires[[#This Row],[Date]],2)=6,MAX(0,Horaires[[#This Row],[Fin corrigée si nuit]]-(1+deb_dimJF)),0))*24</f>
        <v>0</v>
      </c>
      <c r="Q22"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2" s="62">
        <f>(IF(COUNTIF(JF,Horaires[[#This Row],[Date]]),MAX(0,MIN(fin_dimJF,Horaires[[#This Row],[Fin corrigée si nuit]])-MAX(deb_dimJF,Horaires[[#This Row],[début]])),0)+IF(COUNTIF(JF,Horaires[[#This Row],[Date]]+1),MAX(0,Horaires[[#This Row],[Fin corrigée si nuit]]-(1+deb_dimJF)),0))*24</f>
        <v>0</v>
      </c>
      <c r="S22"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3" spans="1:19" x14ac:dyDescent="0.35">
      <c r="A23" s="9">
        <v>42993</v>
      </c>
      <c r="B23" s="1" t="s">
        <v>1</v>
      </c>
      <c r="C23" s="18">
        <v>0.25</v>
      </c>
      <c r="D23" s="18">
        <v>0.75</v>
      </c>
      <c r="E23" s="3">
        <v>0.54166666666666663</v>
      </c>
      <c r="F23" s="3">
        <v>0.58333333333333337</v>
      </c>
      <c r="G23" s="3"/>
      <c r="H23" s="3"/>
      <c r="I23" s="57">
        <f>0.1*(Horaires[[#This Row],[Heures de nuit]]+Horaires[[#This Row],[heures jour dimanche]]+Horaires[[#This Row],[heures jour fériés]])</f>
        <v>0</v>
      </c>
      <c r="J23" s="58">
        <f>(MOD(Horaires[[#This Row],[Fin]]-Horaires[[#This Row],[début]],1)-MOD(Horaires[[#This Row],[PNP Fin]]-Horaires[[#This Row],[PNP Début]],1))*24</f>
        <v>12</v>
      </c>
      <c r="K23" s="59">
        <f>IF(Horaires[[#This Row],[PNP Début]]=0,0,IF(Horaires[[#This Row],[PNP Début]]&lt;Horaires[[#This Row],[début]],1,0)+Horaires[[#This Row],[PNP Début]])</f>
        <v>0</v>
      </c>
      <c r="L23" s="60">
        <f>IF(Horaires[[#This Row],[PNP Fin]]=0,0,IF(Horaires[[#This Row],[PNP Fin]]&lt;Horaires[[#This Row],[début]],1,0)+Horaires[[#This Row],[PNP Fin]])</f>
        <v>0</v>
      </c>
      <c r="M23" s="60">
        <f>IF(Horaires[[#This Row],[Fin]]&lt;Horaires[[#This Row],[début]],1,0)+Horaires[[#This Row],[Fin]]</f>
        <v>0.75</v>
      </c>
      <c r="N23" s="61">
        <f>MAX(0,MIN(Horaires[[#This Row],[Fin corrigée si nuit]],fin_nuit)-MAX(Horaires[[#This Row],[début]],deb_nuit))*24</f>
        <v>0</v>
      </c>
      <c r="O23" s="62">
        <f>(MAX(0,MIN(Horaires[[#This Row],[Fin corrigée si nuit]],fin_nuit)-MAX(Horaires[[#This Row],[début]],deb_nuit))-IF(Horaires[[#This Row],[PNP Début]]=0,0,MIN(Horaires[[#This Row],[PNP Fin corrigée]],fin_nuit)-MAX(Horaires[[#This Row],[PNP Début corrigé]],deb_nuit)))*24</f>
        <v>0</v>
      </c>
      <c r="P23" s="62">
        <f>(IF(WEEKDAY(Horaires[[#This Row],[Date]],2)=7,MAX(0,MIN(fin_dimJF,Horaires[[#This Row],[Fin corrigée si nuit]])-MAX(deb_dimJF,Horaires[[#This Row],[début]])),0)+IF(WEEKDAY(Horaires[[#This Row],[Date]],2)=6,MAX(0,Horaires[[#This Row],[Fin corrigée si nuit]]-(1+deb_dimJF)),0))*24</f>
        <v>0</v>
      </c>
      <c r="Q23"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3" s="62">
        <f>(IF(COUNTIF(JF,Horaires[[#This Row],[Date]]),MAX(0,MIN(fin_dimJF,Horaires[[#This Row],[Fin corrigée si nuit]])-MAX(deb_dimJF,Horaires[[#This Row],[début]])),0)+IF(COUNTIF(JF,Horaires[[#This Row],[Date]]+1),MAX(0,Horaires[[#This Row],[Fin corrigée si nuit]]-(1+deb_dimJF)),0))*24</f>
        <v>0</v>
      </c>
      <c r="S23"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4" spans="1:19" x14ac:dyDescent="0.35">
      <c r="A24" s="9">
        <v>42994</v>
      </c>
      <c r="B24" s="1" t="s">
        <v>0</v>
      </c>
      <c r="C24" s="2">
        <v>0.75</v>
      </c>
      <c r="D24" s="2">
        <v>0.25</v>
      </c>
      <c r="E24" s="3">
        <v>4.1666666666666664E-2</v>
      </c>
      <c r="F24" s="3">
        <v>8.3333333333333329E-2</v>
      </c>
      <c r="G24" s="3">
        <v>0.125</v>
      </c>
      <c r="H24" s="3">
        <v>0.16666666666666666</v>
      </c>
      <c r="I24" s="57">
        <f>0.1*(Horaires[[#This Row],[Heures de nuit]]+Horaires[[#This Row],[heures jour dimanche]]+Horaires[[#This Row],[heures jour fériés]])</f>
        <v>0.7</v>
      </c>
      <c r="J24" s="58">
        <f>(MOD(Horaires[[#This Row],[Fin]]-Horaires[[#This Row],[début]],1)-MOD(Horaires[[#This Row],[PNP Fin]]-Horaires[[#This Row],[PNP Début]],1))*24</f>
        <v>11</v>
      </c>
      <c r="K24" s="59">
        <f>IF(Horaires[[#This Row],[PNP Début]]=0,0,IF(Horaires[[#This Row],[PNP Début]]&lt;Horaires[[#This Row],[début]],1,0)+Horaires[[#This Row],[PNP Début]])</f>
        <v>1.125</v>
      </c>
      <c r="L24" s="60">
        <f>IF(Horaires[[#This Row],[PNP Fin]]=0,0,IF(Horaires[[#This Row],[PNP Fin]]&lt;Horaires[[#This Row],[début]],1,0)+Horaires[[#This Row],[PNP Fin]])</f>
        <v>1.1666666666666667</v>
      </c>
      <c r="M24" s="60">
        <f>IF(Horaires[[#This Row],[Fin]]&lt;Horaires[[#This Row],[début]],1,0)+Horaires[[#This Row],[Fin]]</f>
        <v>1.25</v>
      </c>
      <c r="N24" s="61">
        <f>MAX(0,MIN(Horaires[[#This Row],[Fin corrigée si nuit]],fin_nuit)-MAX(Horaires[[#This Row],[début]],deb_nuit))*24</f>
        <v>6.9999999999999991</v>
      </c>
      <c r="O24" s="62">
        <f>(MAX(0,MIN(Horaires[[#This Row],[Fin corrigée si nuit]],fin_nuit)-MAX(Horaires[[#This Row],[début]],deb_nuit))-IF(Horaires[[#This Row],[PNP Début]]=0,0,MIN(Horaires[[#This Row],[PNP Fin corrigée]],fin_nuit)-MAX(Horaires[[#This Row],[PNP Début corrigé]],deb_nuit)))*24</f>
        <v>5.9999999999999973</v>
      </c>
      <c r="P24" s="62">
        <f>(IF(WEEKDAY(Horaires[[#This Row],[Date]],2)=7,MAX(0,MIN(fin_dimJF,Horaires[[#This Row],[Fin corrigée si nuit]])-MAX(deb_dimJF,Horaires[[#This Row],[début]])),0)+IF(WEEKDAY(Horaires[[#This Row],[Date]],2)=6,MAX(0,Horaires[[#This Row],[Fin corrigée si nuit]]-(1+deb_dimJF)),0))*24</f>
        <v>0</v>
      </c>
      <c r="Q24"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4" s="62">
        <f>(IF(COUNTIF(JF,Horaires[[#This Row],[Date]]),MAX(0,MIN(fin_dimJF,Horaires[[#This Row],[Fin corrigée si nuit]])-MAX(deb_dimJF,Horaires[[#This Row],[début]])),0)+IF(COUNTIF(JF,Horaires[[#This Row],[Date]]+1),MAX(0,Horaires[[#This Row],[Fin corrigée si nuit]]-(1+deb_dimJF)),0))*24</f>
        <v>0</v>
      </c>
      <c r="S24"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5" spans="1:19" x14ac:dyDescent="0.35">
      <c r="A25" s="9">
        <v>42998</v>
      </c>
      <c r="B25" s="1" t="s">
        <v>49</v>
      </c>
      <c r="C25" s="2">
        <v>0.66666666666666663</v>
      </c>
      <c r="D25" s="2">
        <v>0.83333333333333337</v>
      </c>
      <c r="E25" s="3"/>
      <c r="F25" s="3"/>
      <c r="G25" s="3"/>
      <c r="H25" s="3"/>
      <c r="I25" s="57">
        <f>0.1*(Horaires[[#This Row],[Heures de nuit]]+Horaires[[#This Row],[heures jour dimanche]]+Horaires[[#This Row],[heures jour fériés]])</f>
        <v>0</v>
      </c>
      <c r="J25" s="58">
        <f>(MOD(Horaires[[#This Row],[Fin]]-Horaires[[#This Row],[début]],1)-MOD(Horaires[[#This Row],[PNP Fin]]-Horaires[[#This Row],[PNP Début]],1))*24</f>
        <v>4.0000000000000018</v>
      </c>
      <c r="K25" s="59">
        <f>IF(Horaires[[#This Row],[PNP Début]]=0,0,IF(Horaires[[#This Row],[PNP Début]]&lt;Horaires[[#This Row],[début]],1,0)+Horaires[[#This Row],[PNP Début]])</f>
        <v>0</v>
      </c>
      <c r="L25" s="60">
        <f>IF(Horaires[[#This Row],[PNP Fin]]=0,0,IF(Horaires[[#This Row],[PNP Fin]]&lt;Horaires[[#This Row],[début]],1,0)+Horaires[[#This Row],[PNP Fin]])</f>
        <v>0</v>
      </c>
      <c r="M25" s="60">
        <f>IF(Horaires[[#This Row],[Fin]]&lt;Horaires[[#This Row],[début]],1,0)+Horaires[[#This Row],[Fin]]</f>
        <v>0.83333333333333337</v>
      </c>
      <c r="N25" s="61">
        <f>MAX(0,MIN(Horaires[[#This Row],[Fin corrigée si nuit]],fin_nuit)-MAX(Horaires[[#This Row],[début]],deb_nuit))*24</f>
        <v>0</v>
      </c>
      <c r="O25" s="62">
        <f>(MAX(0,MIN(Horaires[[#This Row],[Fin corrigée si nuit]],fin_nuit)-MAX(Horaires[[#This Row],[début]],deb_nuit))-IF(Horaires[[#This Row],[PNP Début]]=0,0,MIN(Horaires[[#This Row],[PNP Fin corrigée]],fin_nuit)-MAX(Horaires[[#This Row],[PNP Début corrigé]],deb_nuit)))*24</f>
        <v>0</v>
      </c>
      <c r="P25" s="62">
        <f>(IF(WEEKDAY(Horaires[[#This Row],[Date]],2)=7,MAX(0,MIN(fin_dimJF,Horaires[[#This Row],[Fin corrigée si nuit]])-MAX(deb_dimJF,Horaires[[#This Row],[début]])),0)+IF(WEEKDAY(Horaires[[#This Row],[Date]],2)=6,MAX(0,Horaires[[#This Row],[Fin corrigée si nuit]]-(1+deb_dimJF)),0))*24</f>
        <v>0</v>
      </c>
      <c r="Q25"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5" s="62">
        <f>(IF(COUNTIF(JF,Horaires[[#This Row],[Date]]),MAX(0,MIN(fin_dimJF,Horaires[[#This Row],[Fin corrigée si nuit]])-MAX(deb_dimJF,Horaires[[#This Row],[début]])),0)+IF(COUNTIF(JF,Horaires[[#This Row],[Date]]+1),MAX(0,Horaires[[#This Row],[Fin corrigée si nuit]]-(1+deb_dimJF)),0))*24</f>
        <v>0</v>
      </c>
      <c r="S25"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6" spans="1:19" ht="21" customHeight="1" x14ac:dyDescent="0.35">
      <c r="A26" s="9">
        <v>42999</v>
      </c>
      <c r="B26" s="1" t="s">
        <v>43</v>
      </c>
      <c r="C26" s="2">
        <v>0.25</v>
      </c>
      <c r="D26" s="2">
        <v>0.75</v>
      </c>
      <c r="E26" s="3">
        <v>0.54166666666666663</v>
      </c>
      <c r="F26" s="3">
        <v>0.58333333333333337</v>
      </c>
      <c r="G26" s="3"/>
      <c r="H26" s="3"/>
      <c r="I26" s="57">
        <f>0.1*(Horaires[[#This Row],[Heures de nuit]]+Horaires[[#This Row],[heures jour dimanche]]+Horaires[[#This Row],[heures jour fériés]])</f>
        <v>0</v>
      </c>
      <c r="J26" s="58">
        <f>(MOD(Horaires[[#This Row],[Fin]]-Horaires[[#This Row],[début]],1)-MOD(Horaires[[#This Row],[PNP Fin]]-Horaires[[#This Row],[PNP Début]],1))*24</f>
        <v>12</v>
      </c>
      <c r="K26" s="59">
        <f>IF(Horaires[[#This Row],[PNP Début]]=0,0,IF(Horaires[[#This Row],[PNP Début]]&lt;Horaires[[#This Row],[début]],1,0)+Horaires[[#This Row],[PNP Début]])</f>
        <v>0</v>
      </c>
      <c r="L26" s="60">
        <f>IF(Horaires[[#This Row],[PNP Fin]]=0,0,IF(Horaires[[#This Row],[PNP Fin]]&lt;Horaires[[#This Row],[début]],1,0)+Horaires[[#This Row],[PNP Fin]])</f>
        <v>0</v>
      </c>
      <c r="M26" s="60">
        <f>IF(Horaires[[#This Row],[Fin]]&lt;Horaires[[#This Row],[début]],1,0)+Horaires[[#This Row],[Fin]]</f>
        <v>0.75</v>
      </c>
      <c r="N26" s="61">
        <f>MAX(0,MIN(Horaires[[#This Row],[Fin corrigée si nuit]],fin_nuit)-MAX(Horaires[[#This Row],[début]],deb_nuit))*24</f>
        <v>0</v>
      </c>
      <c r="O26" s="62">
        <f>(MAX(0,MIN(Horaires[[#This Row],[Fin corrigée si nuit]],fin_nuit)-MAX(Horaires[[#This Row],[début]],deb_nuit))-IF(Horaires[[#This Row],[PNP Début]]=0,0,MIN(Horaires[[#This Row],[PNP Fin corrigée]],fin_nuit)-MAX(Horaires[[#This Row],[PNP Début corrigé]],deb_nuit)))*24</f>
        <v>0</v>
      </c>
      <c r="P26" s="62">
        <f>(IF(WEEKDAY(Horaires[[#This Row],[Date]],2)=7,MAX(0,MIN(fin_dimJF,Horaires[[#This Row],[Fin corrigée si nuit]])-MAX(deb_dimJF,Horaires[[#This Row],[début]])),0)+IF(WEEKDAY(Horaires[[#This Row],[Date]],2)=6,MAX(0,Horaires[[#This Row],[Fin corrigée si nuit]]-(1+deb_dimJF)),0))*24</f>
        <v>0</v>
      </c>
      <c r="Q26"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6" s="62">
        <f>(IF(COUNTIF(JF,Horaires[[#This Row],[Date]]),MAX(0,MIN(fin_dimJF,Horaires[[#This Row],[Fin corrigée si nuit]])-MAX(deb_dimJF,Horaires[[#This Row],[début]])),0)+IF(COUNTIF(JF,Horaires[[#This Row],[Date]]+1),MAX(0,Horaires[[#This Row],[Fin corrigée si nuit]]-(1+deb_dimJF)),0))*24</f>
        <v>0</v>
      </c>
      <c r="S26"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7" spans="1:19" x14ac:dyDescent="0.35">
      <c r="A27" s="9">
        <v>43000</v>
      </c>
      <c r="B27" s="1" t="s">
        <v>43</v>
      </c>
      <c r="C27" s="2">
        <v>0.22916666666666666</v>
      </c>
      <c r="D27" s="2">
        <v>0.75</v>
      </c>
      <c r="E27" s="3">
        <v>0.54166666666666663</v>
      </c>
      <c r="F27" s="3">
        <v>0.58333333333333337</v>
      </c>
      <c r="G27" s="3"/>
      <c r="H27" s="3"/>
      <c r="I27" s="57">
        <f>0.1*(Horaires[[#This Row],[Heures de nuit]]+Horaires[[#This Row],[heures jour dimanche]]+Horaires[[#This Row],[heures jour fériés]])</f>
        <v>0</v>
      </c>
      <c r="J27" s="58">
        <f>(MOD(Horaires[[#This Row],[Fin]]-Horaires[[#This Row],[début]],1)-MOD(Horaires[[#This Row],[PNP Fin]]-Horaires[[#This Row],[PNP Début]],1))*24</f>
        <v>12.5</v>
      </c>
      <c r="K27" s="59">
        <f>IF(Horaires[[#This Row],[PNP Début]]=0,0,IF(Horaires[[#This Row],[PNP Début]]&lt;Horaires[[#This Row],[début]],1,0)+Horaires[[#This Row],[PNP Début]])</f>
        <v>0</v>
      </c>
      <c r="L27" s="60">
        <f>IF(Horaires[[#This Row],[PNP Fin]]=0,0,IF(Horaires[[#This Row],[PNP Fin]]&lt;Horaires[[#This Row],[début]],1,0)+Horaires[[#This Row],[PNP Fin]])</f>
        <v>0</v>
      </c>
      <c r="M27" s="60">
        <f>IF(Horaires[[#This Row],[Fin]]&lt;Horaires[[#This Row],[début]],1,0)+Horaires[[#This Row],[Fin]]</f>
        <v>0.75</v>
      </c>
      <c r="N27" s="61">
        <f>MAX(0,MIN(Horaires[[#This Row],[Fin corrigée si nuit]],fin_nuit)-MAX(Horaires[[#This Row],[début]],deb_nuit))*24</f>
        <v>0</v>
      </c>
      <c r="O27" s="62">
        <f>(MAX(0,MIN(Horaires[[#This Row],[Fin corrigée si nuit]],fin_nuit)-MAX(Horaires[[#This Row],[début]],deb_nuit))-IF(Horaires[[#This Row],[PNP Début]]=0,0,MIN(Horaires[[#This Row],[PNP Fin corrigée]],fin_nuit)-MAX(Horaires[[#This Row],[PNP Début corrigé]],deb_nuit)))*24</f>
        <v>0</v>
      </c>
      <c r="P27" s="62">
        <f>(IF(WEEKDAY(Horaires[[#This Row],[Date]],2)=7,MAX(0,MIN(fin_dimJF,Horaires[[#This Row],[Fin corrigée si nuit]])-MAX(deb_dimJF,Horaires[[#This Row],[début]])),0)+IF(WEEKDAY(Horaires[[#This Row],[Date]],2)=6,MAX(0,Horaires[[#This Row],[Fin corrigée si nuit]]-(1+deb_dimJF)),0))*24</f>
        <v>0</v>
      </c>
      <c r="Q27"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7" s="62">
        <f>(IF(COUNTIF(JF,Horaires[[#This Row],[Date]]),MAX(0,MIN(fin_dimJF,Horaires[[#This Row],[Fin corrigée si nuit]])-MAX(deb_dimJF,Horaires[[#This Row],[début]])),0)+IF(COUNTIF(JF,Horaires[[#This Row],[Date]]+1),MAX(0,Horaires[[#This Row],[Fin corrigée si nuit]]-(1+deb_dimJF)),0))*24</f>
        <v>0</v>
      </c>
      <c r="S27"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8" spans="1:19" x14ac:dyDescent="0.35">
      <c r="A28" s="9">
        <v>43002</v>
      </c>
      <c r="B28" s="1" t="s">
        <v>52</v>
      </c>
      <c r="C28" s="2">
        <v>0.75</v>
      </c>
      <c r="D28" s="2">
        <v>0.25</v>
      </c>
      <c r="E28" s="3">
        <v>4.1666666666666664E-2</v>
      </c>
      <c r="F28" s="3">
        <v>8.3333333333333329E-2</v>
      </c>
      <c r="G28" s="3">
        <v>0.125</v>
      </c>
      <c r="H28" s="3">
        <v>0.16666666666666666</v>
      </c>
      <c r="I28" s="57">
        <f>0.1*(Horaires[[#This Row],[Heures de nuit]]+Horaires[[#This Row],[heures jour dimanche]]+Horaires[[#This Row],[heures jour fériés]])</f>
        <v>1.2000000000000002</v>
      </c>
      <c r="J28" s="58">
        <f>(MOD(Horaires[[#This Row],[Fin]]-Horaires[[#This Row],[début]],1)-MOD(Horaires[[#This Row],[PNP Fin]]-Horaires[[#This Row],[PNP Début]],1))*24</f>
        <v>11</v>
      </c>
      <c r="K28" s="59">
        <f>IF(Horaires[[#This Row],[PNP Début]]=0,0,IF(Horaires[[#This Row],[PNP Début]]&lt;Horaires[[#This Row],[début]],1,0)+Horaires[[#This Row],[PNP Début]])</f>
        <v>1.125</v>
      </c>
      <c r="L28" s="60">
        <f>IF(Horaires[[#This Row],[PNP Fin]]=0,0,IF(Horaires[[#This Row],[PNP Fin]]&lt;Horaires[[#This Row],[début]],1,0)+Horaires[[#This Row],[PNP Fin]])</f>
        <v>1.1666666666666667</v>
      </c>
      <c r="M28" s="60">
        <f>IF(Horaires[[#This Row],[Fin]]&lt;Horaires[[#This Row],[début]],1,0)+Horaires[[#This Row],[Fin]]</f>
        <v>1.25</v>
      </c>
      <c r="N28" s="61">
        <f>MAX(0,MIN(Horaires[[#This Row],[Fin corrigée si nuit]],fin_nuit)-MAX(Horaires[[#This Row],[début]],deb_nuit))*24</f>
        <v>6.9999999999999991</v>
      </c>
      <c r="O28" s="62">
        <f>(MAX(0,MIN(Horaires[[#This Row],[Fin corrigée si nuit]],fin_nuit)-MAX(Horaires[[#This Row],[début]],deb_nuit))-IF(Horaires[[#This Row],[PNP Début]]=0,0,MIN(Horaires[[#This Row],[PNP Fin corrigée]],fin_nuit)-MAX(Horaires[[#This Row],[PNP Début corrigé]],deb_nuit)))*24</f>
        <v>5.9999999999999973</v>
      </c>
      <c r="P28" s="62">
        <f>(IF(WEEKDAY(Horaires[[#This Row],[Date]],2)=7,MAX(0,MIN(fin_dimJF,Horaires[[#This Row],[Fin corrigée si nuit]])-MAX(deb_dimJF,Horaires[[#This Row],[début]])),0)+IF(WEEKDAY(Horaires[[#This Row],[Date]],2)=6,MAX(0,Horaires[[#This Row],[Fin corrigée si nuit]]-(1+deb_dimJF)),0))*24</f>
        <v>5.0000000000000009</v>
      </c>
      <c r="Q28"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5.0000000000000009</v>
      </c>
      <c r="R28" s="62">
        <f>(IF(COUNTIF(JF,Horaires[[#This Row],[Date]]),MAX(0,MIN(fin_dimJF,Horaires[[#This Row],[Fin corrigée si nuit]])-MAX(deb_dimJF,Horaires[[#This Row],[début]])),0)+IF(COUNTIF(JF,Horaires[[#This Row],[Date]]+1),MAX(0,Horaires[[#This Row],[Fin corrigée si nuit]]-(1+deb_dimJF)),0))*24</f>
        <v>0</v>
      </c>
      <c r="S28"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29" spans="1:19" x14ac:dyDescent="0.35">
      <c r="A29" s="9">
        <v>43007</v>
      </c>
      <c r="B29" s="1" t="s">
        <v>43</v>
      </c>
      <c r="C29" s="2">
        <v>0.25</v>
      </c>
      <c r="D29" s="2">
        <v>0.75</v>
      </c>
      <c r="E29" s="3">
        <v>0.54166666666666663</v>
      </c>
      <c r="F29" s="3">
        <v>0.58333333333333337</v>
      </c>
      <c r="G29" s="3"/>
      <c r="H29" s="3"/>
      <c r="I29" s="57">
        <f>0.1*(Horaires[[#This Row],[Heures de nuit]]+Horaires[[#This Row],[heures jour dimanche]]+Horaires[[#This Row],[heures jour fériés]])</f>
        <v>0</v>
      </c>
      <c r="J29" s="58">
        <f>(MOD(Horaires[[#This Row],[Fin]]-Horaires[[#This Row],[début]],1)-MOD(Horaires[[#This Row],[PNP Fin]]-Horaires[[#This Row],[PNP Début]],1))*24</f>
        <v>12</v>
      </c>
      <c r="K29" s="59">
        <f>IF(Horaires[[#This Row],[PNP Début]]=0,0,IF(Horaires[[#This Row],[PNP Début]]&lt;Horaires[[#This Row],[début]],1,0)+Horaires[[#This Row],[PNP Début]])</f>
        <v>0</v>
      </c>
      <c r="L29" s="60">
        <f>IF(Horaires[[#This Row],[PNP Fin]]=0,0,IF(Horaires[[#This Row],[PNP Fin]]&lt;Horaires[[#This Row],[début]],1,0)+Horaires[[#This Row],[PNP Fin]])</f>
        <v>0</v>
      </c>
      <c r="M29" s="60">
        <f>IF(Horaires[[#This Row],[Fin]]&lt;Horaires[[#This Row],[début]],1,0)+Horaires[[#This Row],[Fin]]</f>
        <v>0.75</v>
      </c>
      <c r="N29" s="61">
        <f>MAX(0,MIN(Horaires[[#This Row],[Fin corrigée si nuit]],fin_nuit)-MAX(Horaires[[#This Row],[début]],deb_nuit))*24</f>
        <v>0</v>
      </c>
      <c r="O29" s="62">
        <f>(MAX(0,MIN(Horaires[[#This Row],[Fin corrigée si nuit]],fin_nuit)-MAX(Horaires[[#This Row],[début]],deb_nuit))-IF(Horaires[[#This Row],[PNP Début]]=0,0,MIN(Horaires[[#This Row],[PNP Fin corrigée]],fin_nuit)-MAX(Horaires[[#This Row],[PNP Début corrigé]],deb_nuit)))*24</f>
        <v>0</v>
      </c>
      <c r="P29" s="62">
        <f>(IF(WEEKDAY(Horaires[[#This Row],[Date]],2)=7,MAX(0,MIN(fin_dimJF,Horaires[[#This Row],[Fin corrigée si nuit]])-MAX(deb_dimJF,Horaires[[#This Row],[début]])),0)+IF(WEEKDAY(Horaires[[#This Row],[Date]],2)=6,MAX(0,Horaires[[#This Row],[Fin corrigée si nuit]]-(1+deb_dimJF)),0))*24</f>
        <v>0</v>
      </c>
      <c r="Q29"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29" s="62">
        <f>(IF(COUNTIF(JF,Horaires[[#This Row],[Date]]),MAX(0,MIN(fin_dimJF,Horaires[[#This Row],[Fin corrigée si nuit]])-MAX(deb_dimJF,Horaires[[#This Row],[début]])),0)+IF(COUNTIF(JF,Horaires[[#This Row],[Date]]+1),MAX(0,Horaires[[#This Row],[Fin corrigée si nuit]]-(1+deb_dimJF)),0))*24</f>
        <v>0</v>
      </c>
      <c r="S29"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0" spans="1:19" x14ac:dyDescent="0.35">
      <c r="A30" s="9">
        <v>43008</v>
      </c>
      <c r="B30" s="1" t="s">
        <v>1</v>
      </c>
      <c r="C30" s="2">
        <v>0.25</v>
      </c>
      <c r="D30" s="2">
        <v>0.75</v>
      </c>
      <c r="E30" s="3">
        <v>0.54166666666666663</v>
      </c>
      <c r="F30" s="3">
        <v>0.58333333333333337</v>
      </c>
      <c r="G30" s="3"/>
      <c r="H30" s="3"/>
      <c r="I30" s="57">
        <f>0.1*(Horaires[[#This Row],[Heures de nuit]]+Horaires[[#This Row],[heures jour dimanche]]+Horaires[[#This Row],[heures jour fériés]])</f>
        <v>0</v>
      </c>
      <c r="J30" s="58">
        <f>(MOD(Horaires[[#This Row],[Fin]]-Horaires[[#This Row],[début]],1)-MOD(Horaires[[#This Row],[PNP Fin]]-Horaires[[#This Row],[PNP Début]],1))*24</f>
        <v>12</v>
      </c>
      <c r="K30" s="59">
        <f>IF(Horaires[[#This Row],[PNP Début]]=0,0,IF(Horaires[[#This Row],[PNP Début]]&lt;Horaires[[#This Row],[début]],1,0)+Horaires[[#This Row],[PNP Début]])</f>
        <v>0</v>
      </c>
      <c r="L30" s="60">
        <f>IF(Horaires[[#This Row],[PNP Fin]]=0,0,IF(Horaires[[#This Row],[PNP Fin]]&lt;Horaires[[#This Row],[début]],1,0)+Horaires[[#This Row],[PNP Fin]])</f>
        <v>0</v>
      </c>
      <c r="M30" s="60">
        <f>IF(Horaires[[#This Row],[Fin]]&lt;Horaires[[#This Row],[début]],1,0)+Horaires[[#This Row],[Fin]]</f>
        <v>0.75</v>
      </c>
      <c r="N30" s="61">
        <f>MAX(0,MIN(Horaires[[#This Row],[Fin corrigée si nuit]],fin_nuit)-MAX(Horaires[[#This Row],[début]],deb_nuit))*24</f>
        <v>0</v>
      </c>
      <c r="O30" s="62">
        <f>(MAX(0,MIN(Horaires[[#This Row],[Fin corrigée si nuit]],fin_nuit)-MAX(Horaires[[#This Row],[début]],deb_nuit))-IF(Horaires[[#This Row],[PNP Début]]=0,0,MIN(Horaires[[#This Row],[PNP Fin corrigée]],fin_nuit)-MAX(Horaires[[#This Row],[PNP Début corrigé]],deb_nuit)))*24</f>
        <v>0</v>
      </c>
      <c r="P30" s="62">
        <f>(IF(WEEKDAY(Horaires[[#This Row],[Date]],2)=7,MAX(0,MIN(fin_dimJF,Horaires[[#This Row],[Fin corrigée si nuit]])-MAX(deb_dimJF,Horaires[[#This Row],[début]])),0)+IF(WEEKDAY(Horaires[[#This Row],[Date]],2)=6,MAX(0,Horaires[[#This Row],[Fin corrigée si nuit]]-(1+deb_dimJF)),0))*24</f>
        <v>0</v>
      </c>
      <c r="Q30"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0" s="62">
        <f>(IF(COUNTIF(JF,Horaires[[#This Row],[Date]]),MAX(0,MIN(fin_dimJF,Horaires[[#This Row],[Fin corrigée si nuit]])-MAX(deb_dimJF,Horaires[[#This Row],[début]])),0)+IF(COUNTIF(JF,Horaires[[#This Row],[Date]]+1),MAX(0,Horaires[[#This Row],[Fin corrigée si nuit]]-(1+deb_dimJF)),0))*24</f>
        <v>0</v>
      </c>
      <c r="S30"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1" spans="1:19" x14ac:dyDescent="0.35">
      <c r="A31" s="9">
        <v>43006</v>
      </c>
      <c r="B31" s="1" t="s">
        <v>53</v>
      </c>
      <c r="C31" s="2">
        <v>0.45833333333333331</v>
      </c>
      <c r="D31" s="2">
        <v>0.5</v>
      </c>
      <c r="E31" s="3"/>
      <c r="F31" s="3"/>
      <c r="G31" s="3"/>
      <c r="H31" s="3"/>
      <c r="I31" s="57">
        <f>0.1*(Horaires[[#This Row],[Heures de nuit]]+Horaires[[#This Row],[heures jour dimanche]]+Horaires[[#This Row],[heures jour fériés]])</f>
        <v>0</v>
      </c>
      <c r="J31" s="58">
        <f>(MOD(Horaires[[#This Row],[Fin]]-Horaires[[#This Row],[début]],1)-MOD(Horaires[[#This Row],[PNP Fin]]-Horaires[[#This Row],[PNP Début]],1))*24</f>
        <v>1.0000000000000004</v>
      </c>
      <c r="K31" s="59">
        <f>IF(Horaires[[#This Row],[PNP Début]]=0,0,IF(Horaires[[#This Row],[PNP Début]]&lt;Horaires[[#This Row],[début]],1,0)+Horaires[[#This Row],[PNP Début]])</f>
        <v>0</v>
      </c>
      <c r="L31" s="60">
        <f>IF(Horaires[[#This Row],[PNP Fin]]=0,0,IF(Horaires[[#This Row],[PNP Fin]]&lt;Horaires[[#This Row],[début]],1,0)+Horaires[[#This Row],[PNP Fin]])</f>
        <v>0</v>
      </c>
      <c r="M31" s="60">
        <f>IF(Horaires[[#This Row],[Fin]]&lt;Horaires[[#This Row],[début]],1,0)+Horaires[[#This Row],[Fin]]</f>
        <v>0.5</v>
      </c>
      <c r="N31" s="61">
        <f>MAX(0,MIN(Horaires[[#This Row],[Fin corrigée si nuit]],fin_nuit)-MAX(Horaires[[#This Row],[début]],deb_nuit))*24</f>
        <v>0</v>
      </c>
      <c r="O31" s="62">
        <f>(MAX(0,MIN(Horaires[[#This Row],[Fin corrigée si nuit]],fin_nuit)-MAX(Horaires[[#This Row],[début]],deb_nuit))-IF(Horaires[[#This Row],[PNP Début]]=0,0,MIN(Horaires[[#This Row],[PNP Fin corrigée]],fin_nuit)-MAX(Horaires[[#This Row],[PNP Début corrigé]],deb_nuit)))*24</f>
        <v>0</v>
      </c>
      <c r="P31" s="62">
        <f>(IF(WEEKDAY(Horaires[[#This Row],[Date]],2)=7,MAX(0,MIN(fin_dimJF,Horaires[[#This Row],[Fin corrigée si nuit]])-MAX(deb_dimJF,Horaires[[#This Row],[début]])),0)+IF(WEEKDAY(Horaires[[#This Row],[Date]],2)=6,MAX(0,Horaires[[#This Row],[Fin corrigée si nuit]]-(1+deb_dimJF)),0))*24</f>
        <v>0</v>
      </c>
      <c r="Q31"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1" s="62">
        <f>(IF(COUNTIF(JF,Horaires[[#This Row],[Date]]),MAX(0,MIN(fin_dimJF,Horaires[[#This Row],[Fin corrigée si nuit]])-MAX(deb_dimJF,Horaires[[#This Row],[début]])),0)+IF(COUNTIF(JF,Horaires[[#This Row],[Date]]+1),MAX(0,Horaires[[#This Row],[Fin corrigée si nuit]]-(1+deb_dimJF)),0))*24</f>
        <v>0</v>
      </c>
      <c r="S31"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2" spans="1:19" ht="14.5" customHeight="1" x14ac:dyDescent="0.35">
      <c r="A32" s="9"/>
      <c r="B32" s="1"/>
      <c r="C32" s="2"/>
      <c r="D32" s="2"/>
      <c r="E32" s="3"/>
      <c r="F32" s="3"/>
      <c r="G32" s="3"/>
      <c r="H32" s="3"/>
      <c r="I32" s="57">
        <f>0.1*(Horaires[[#This Row],[Heures de nuit]]+Horaires[[#This Row],[heures jour dimanche]]+Horaires[[#This Row],[heures jour fériés]])</f>
        <v>0</v>
      </c>
      <c r="J32" s="58">
        <f>(MOD(Horaires[[#This Row],[Fin]]-Horaires[[#This Row],[début]],1)-MOD(Horaires[[#This Row],[PNP Fin]]-Horaires[[#This Row],[PNP Début]],1))*24</f>
        <v>0</v>
      </c>
      <c r="K32" s="59">
        <f>IF(Horaires[[#This Row],[PNP Début]]=0,0,IF(Horaires[[#This Row],[PNP Début]]&lt;Horaires[[#This Row],[début]],1,0)+Horaires[[#This Row],[PNP Début]])</f>
        <v>0</v>
      </c>
      <c r="L32" s="60">
        <f>IF(Horaires[[#This Row],[PNP Fin]]=0,0,IF(Horaires[[#This Row],[PNP Fin]]&lt;Horaires[[#This Row],[début]],1,0)+Horaires[[#This Row],[PNP Fin]])</f>
        <v>0</v>
      </c>
      <c r="M32" s="60">
        <f>IF(Horaires[[#This Row],[Fin]]&lt;Horaires[[#This Row],[début]],1,0)+Horaires[[#This Row],[Fin]]</f>
        <v>0</v>
      </c>
      <c r="N32" s="61">
        <f>MAX(0,MIN(Horaires[[#This Row],[Fin corrigée si nuit]],fin_nuit)-MAX(Horaires[[#This Row],[début]],deb_nuit))*24</f>
        <v>0</v>
      </c>
      <c r="O32" s="62">
        <f>(MAX(0,MIN(Horaires[[#This Row],[Fin corrigée si nuit]],fin_nuit)-MAX(Horaires[[#This Row],[début]],deb_nuit))-IF(Horaires[[#This Row],[PNP Début]]=0,0,MIN(Horaires[[#This Row],[PNP Fin corrigée]],fin_nuit)-MAX(Horaires[[#This Row],[PNP Début corrigé]],deb_nuit)))*24</f>
        <v>0</v>
      </c>
      <c r="P32" s="62">
        <f>(IF(WEEKDAY(Horaires[[#This Row],[Date]],2)=7,MAX(0,MIN(fin_dimJF,Horaires[[#This Row],[Fin corrigée si nuit]])-MAX(deb_dimJF,Horaires[[#This Row],[début]])),0)+IF(WEEKDAY(Horaires[[#This Row],[Date]],2)=6,MAX(0,Horaires[[#This Row],[Fin corrigée si nuit]]-(1+deb_dimJF)),0))*24</f>
        <v>0</v>
      </c>
      <c r="Q32"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2" s="62">
        <f>(IF(COUNTIF(JF,Horaires[[#This Row],[Date]]),MAX(0,MIN(fin_dimJF,Horaires[[#This Row],[Fin corrigée si nuit]])-MAX(deb_dimJF,Horaires[[#This Row],[début]])),0)+IF(COUNTIF(JF,Horaires[[#This Row],[Date]]+1),MAX(0,Horaires[[#This Row],[Fin corrigée si nuit]]-(1+deb_dimJF)),0))*24</f>
        <v>0</v>
      </c>
      <c r="S32"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3" spans="1:19" x14ac:dyDescent="0.35">
      <c r="A33" s="9"/>
      <c r="B33" s="1"/>
      <c r="C33" s="2"/>
      <c r="D33" s="2"/>
      <c r="E33" s="3"/>
      <c r="F33" s="3"/>
      <c r="G33" s="3"/>
      <c r="H33" s="3"/>
      <c r="I33" s="57">
        <f>0.1*(Horaires[[#This Row],[Heures de nuit]]+Horaires[[#This Row],[heures jour dimanche]]+Horaires[[#This Row],[heures jour fériés]])</f>
        <v>0</v>
      </c>
      <c r="J33" s="58">
        <f>(MOD(Horaires[[#This Row],[Fin]]-Horaires[[#This Row],[début]],1)-MOD(Horaires[[#This Row],[PNP Fin]]-Horaires[[#This Row],[PNP Début]],1))*24</f>
        <v>0</v>
      </c>
      <c r="K33" s="59">
        <f>IF(Horaires[[#This Row],[PNP Début]]=0,0,IF(Horaires[[#This Row],[PNP Début]]&lt;Horaires[[#This Row],[début]],1,0)+Horaires[[#This Row],[PNP Début]])</f>
        <v>0</v>
      </c>
      <c r="L33" s="60">
        <f>IF(Horaires[[#This Row],[PNP Fin]]=0,0,IF(Horaires[[#This Row],[PNP Fin]]&lt;Horaires[[#This Row],[début]],1,0)+Horaires[[#This Row],[PNP Fin]])</f>
        <v>0</v>
      </c>
      <c r="M33" s="60">
        <f>IF(Horaires[[#This Row],[Fin]]&lt;Horaires[[#This Row],[début]],1,0)+Horaires[[#This Row],[Fin]]</f>
        <v>0</v>
      </c>
      <c r="N33" s="61">
        <f>MAX(0,MIN(Horaires[[#This Row],[Fin corrigée si nuit]],fin_nuit)-MAX(Horaires[[#This Row],[début]],deb_nuit))*24</f>
        <v>0</v>
      </c>
      <c r="O33" s="62">
        <f>(MAX(0,MIN(Horaires[[#This Row],[Fin corrigée si nuit]],fin_nuit)-MAX(Horaires[[#This Row],[début]],deb_nuit))-IF(Horaires[[#This Row],[PNP Début]]=0,0,MIN(Horaires[[#This Row],[PNP Fin corrigée]],fin_nuit)-MAX(Horaires[[#This Row],[PNP Début corrigé]],deb_nuit)))*24</f>
        <v>0</v>
      </c>
      <c r="P33" s="62">
        <f>(IF(WEEKDAY(Horaires[[#This Row],[Date]],2)=7,MAX(0,MIN(fin_dimJF,Horaires[[#This Row],[Fin corrigée si nuit]])-MAX(deb_dimJF,Horaires[[#This Row],[début]])),0)+IF(WEEKDAY(Horaires[[#This Row],[Date]],2)=6,MAX(0,Horaires[[#This Row],[Fin corrigée si nuit]]-(1+deb_dimJF)),0))*24</f>
        <v>0</v>
      </c>
      <c r="Q33"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3" s="62">
        <f>(IF(COUNTIF(JF,Horaires[[#This Row],[Date]]),MAX(0,MIN(fin_dimJF,Horaires[[#This Row],[Fin corrigée si nuit]])-MAX(deb_dimJF,Horaires[[#This Row],[début]])),0)+IF(COUNTIF(JF,Horaires[[#This Row],[Date]]+1),MAX(0,Horaires[[#This Row],[Fin corrigée si nuit]]-(1+deb_dimJF)),0))*24</f>
        <v>0</v>
      </c>
      <c r="S33"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4" spans="1:19" x14ac:dyDescent="0.35">
      <c r="A34" s="9"/>
      <c r="B34" s="1"/>
      <c r="C34" s="2"/>
      <c r="D34" s="2"/>
      <c r="E34" s="3"/>
      <c r="F34" s="3"/>
      <c r="G34" s="3"/>
      <c r="H34" s="3"/>
      <c r="I34" s="57">
        <f>0.1*(Horaires[[#This Row],[Heures de nuit]]+Horaires[[#This Row],[heures jour dimanche]]+Horaires[[#This Row],[heures jour fériés]])</f>
        <v>0</v>
      </c>
      <c r="J34" s="58">
        <f>(MOD(Horaires[[#This Row],[Fin]]-Horaires[[#This Row],[début]],1)-MOD(Horaires[[#This Row],[PNP Fin]]-Horaires[[#This Row],[PNP Début]],1))*24</f>
        <v>0</v>
      </c>
      <c r="K34" s="59">
        <f>IF(Horaires[[#This Row],[PNP Début]]=0,0,IF(Horaires[[#This Row],[PNP Début]]&lt;Horaires[[#This Row],[début]],1,0)+Horaires[[#This Row],[PNP Début]])</f>
        <v>0</v>
      </c>
      <c r="L34" s="60">
        <f>IF(Horaires[[#This Row],[PNP Fin]]=0,0,IF(Horaires[[#This Row],[PNP Fin]]&lt;Horaires[[#This Row],[début]],1,0)+Horaires[[#This Row],[PNP Fin]])</f>
        <v>0</v>
      </c>
      <c r="M34" s="60">
        <f>IF(Horaires[[#This Row],[Fin]]&lt;Horaires[[#This Row],[début]],1,0)+Horaires[[#This Row],[Fin]]</f>
        <v>0</v>
      </c>
      <c r="N34" s="61">
        <f>MAX(0,MIN(Horaires[[#This Row],[Fin corrigée si nuit]],fin_nuit)-MAX(Horaires[[#This Row],[début]],deb_nuit))*24</f>
        <v>0</v>
      </c>
      <c r="O34" s="62">
        <f>(MAX(0,MIN(Horaires[[#This Row],[Fin corrigée si nuit]],fin_nuit)-MAX(Horaires[[#This Row],[début]],deb_nuit))-IF(Horaires[[#This Row],[PNP Début]]=0,0,MIN(Horaires[[#This Row],[PNP Fin corrigée]],fin_nuit)-MAX(Horaires[[#This Row],[PNP Début corrigé]],deb_nuit)))*24</f>
        <v>0</v>
      </c>
      <c r="P34" s="62">
        <f>(IF(WEEKDAY(Horaires[[#This Row],[Date]],2)=7,MAX(0,MIN(fin_dimJF,Horaires[[#This Row],[Fin corrigée si nuit]])-MAX(deb_dimJF,Horaires[[#This Row],[début]])),0)+IF(WEEKDAY(Horaires[[#This Row],[Date]],2)=6,MAX(0,Horaires[[#This Row],[Fin corrigée si nuit]]-(1+deb_dimJF)),0))*24</f>
        <v>0</v>
      </c>
      <c r="Q34"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4" s="62">
        <f>(IF(COUNTIF(JF,Horaires[[#This Row],[Date]]),MAX(0,MIN(fin_dimJF,Horaires[[#This Row],[Fin corrigée si nuit]])-MAX(deb_dimJF,Horaires[[#This Row],[début]])),0)+IF(COUNTIF(JF,Horaires[[#This Row],[Date]]+1),MAX(0,Horaires[[#This Row],[Fin corrigée si nuit]]-(1+deb_dimJF)),0))*24</f>
        <v>0</v>
      </c>
      <c r="S34"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5" spans="1:19" x14ac:dyDescent="0.35">
      <c r="A35" s="9"/>
      <c r="B35" s="1"/>
      <c r="C35" s="2"/>
      <c r="D35" s="2"/>
      <c r="E35" s="3"/>
      <c r="F35" s="3"/>
      <c r="G35" s="3"/>
      <c r="H35" s="3"/>
      <c r="I35" s="57">
        <f>0.1*(Horaires[[#This Row],[Heures de nuit]]+Horaires[[#This Row],[heures jour dimanche]]+Horaires[[#This Row],[heures jour fériés]])</f>
        <v>0</v>
      </c>
      <c r="J35" s="58">
        <f>(MOD(Horaires[[#This Row],[Fin]]-Horaires[[#This Row],[début]],1)-MOD(Horaires[[#This Row],[PNP Fin]]-Horaires[[#This Row],[PNP Début]],1))*24</f>
        <v>0</v>
      </c>
      <c r="K35" s="59">
        <f>IF(Horaires[[#This Row],[PNP Début]]=0,0,IF(Horaires[[#This Row],[PNP Début]]&lt;Horaires[[#This Row],[début]],1,0)+Horaires[[#This Row],[PNP Début]])</f>
        <v>0</v>
      </c>
      <c r="L35" s="60">
        <f>IF(Horaires[[#This Row],[PNP Fin]]=0,0,IF(Horaires[[#This Row],[PNP Fin]]&lt;Horaires[[#This Row],[début]],1,0)+Horaires[[#This Row],[PNP Fin]])</f>
        <v>0</v>
      </c>
      <c r="M35" s="60">
        <f>IF(Horaires[[#This Row],[Fin]]&lt;Horaires[[#This Row],[début]],1,0)+Horaires[[#This Row],[Fin]]</f>
        <v>0</v>
      </c>
      <c r="N35" s="61">
        <f>MAX(0,MIN(Horaires[[#This Row],[Fin corrigée si nuit]],fin_nuit)-MAX(Horaires[[#This Row],[début]],deb_nuit))*24</f>
        <v>0</v>
      </c>
      <c r="O35" s="62">
        <f>(MAX(0,MIN(Horaires[[#This Row],[Fin corrigée si nuit]],fin_nuit)-MAX(Horaires[[#This Row],[début]],deb_nuit))-IF(Horaires[[#This Row],[PNP Début]]=0,0,MIN(Horaires[[#This Row],[PNP Fin corrigée]],fin_nuit)-MAX(Horaires[[#This Row],[PNP Début corrigé]],deb_nuit)))*24</f>
        <v>0</v>
      </c>
      <c r="P35" s="62">
        <f>(IF(WEEKDAY(Horaires[[#This Row],[Date]],2)=7,MAX(0,MIN(fin_dimJF,Horaires[[#This Row],[Fin corrigée si nuit]])-MAX(deb_dimJF,Horaires[[#This Row],[début]])),0)+IF(WEEKDAY(Horaires[[#This Row],[Date]],2)=6,MAX(0,Horaires[[#This Row],[Fin corrigée si nuit]]-(1+deb_dimJF)),0))*24</f>
        <v>0</v>
      </c>
      <c r="Q35"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5" s="62">
        <f>(IF(COUNTIF(JF,Horaires[[#This Row],[Date]]),MAX(0,MIN(fin_dimJF,Horaires[[#This Row],[Fin corrigée si nuit]])-MAX(deb_dimJF,Horaires[[#This Row],[début]])),0)+IF(COUNTIF(JF,Horaires[[#This Row],[Date]]+1),MAX(0,Horaires[[#This Row],[Fin corrigée si nuit]]-(1+deb_dimJF)),0))*24</f>
        <v>0</v>
      </c>
      <c r="S35"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6" spans="1:19" x14ac:dyDescent="0.35">
      <c r="A36" s="9"/>
      <c r="B36" s="1"/>
      <c r="C36" s="2"/>
      <c r="D36" s="2"/>
      <c r="E36" s="3"/>
      <c r="F36" s="3"/>
      <c r="G36" s="3"/>
      <c r="H36" s="3"/>
      <c r="I36" s="57">
        <f>0.1*(Horaires[[#This Row],[Heures de nuit]]+Horaires[[#This Row],[heures jour dimanche]]+Horaires[[#This Row],[heures jour fériés]])</f>
        <v>0</v>
      </c>
      <c r="J36" s="58">
        <f>(MOD(Horaires[[#This Row],[Fin]]-Horaires[[#This Row],[début]],1)-MOD(Horaires[[#This Row],[PNP Fin]]-Horaires[[#This Row],[PNP Début]],1))*24</f>
        <v>0</v>
      </c>
      <c r="K36" s="59">
        <f>IF(Horaires[[#This Row],[PNP Début]]=0,0,IF(Horaires[[#This Row],[PNP Début]]&lt;Horaires[[#This Row],[début]],1,0)+Horaires[[#This Row],[PNP Début]])</f>
        <v>0</v>
      </c>
      <c r="L36" s="60">
        <f>IF(Horaires[[#This Row],[PNP Fin]]=0,0,IF(Horaires[[#This Row],[PNP Fin]]&lt;Horaires[[#This Row],[début]],1,0)+Horaires[[#This Row],[PNP Fin]])</f>
        <v>0</v>
      </c>
      <c r="M36" s="60">
        <f>IF(Horaires[[#This Row],[Fin]]&lt;Horaires[[#This Row],[début]],1,0)+Horaires[[#This Row],[Fin]]</f>
        <v>0</v>
      </c>
      <c r="N36" s="61">
        <f>MAX(0,MIN(Horaires[[#This Row],[Fin corrigée si nuit]],fin_nuit)-MAX(Horaires[[#This Row],[début]],deb_nuit))*24</f>
        <v>0</v>
      </c>
      <c r="O36" s="62">
        <f>(MAX(0,MIN(Horaires[[#This Row],[Fin corrigée si nuit]],fin_nuit)-MAX(Horaires[[#This Row],[début]],deb_nuit))-IF(Horaires[[#This Row],[PNP Début]]=0,0,MIN(Horaires[[#This Row],[PNP Fin corrigée]],fin_nuit)-MAX(Horaires[[#This Row],[PNP Début corrigé]],deb_nuit)))*24</f>
        <v>0</v>
      </c>
      <c r="P36" s="62">
        <f>(IF(WEEKDAY(Horaires[[#This Row],[Date]],2)=7,MAX(0,MIN(fin_dimJF,Horaires[[#This Row],[Fin corrigée si nuit]])-MAX(deb_dimJF,Horaires[[#This Row],[début]])),0)+IF(WEEKDAY(Horaires[[#This Row],[Date]],2)=6,MAX(0,Horaires[[#This Row],[Fin corrigée si nuit]]-(1+deb_dimJF)),0))*24</f>
        <v>0</v>
      </c>
      <c r="Q36"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6" s="62">
        <f>(IF(COUNTIF(JF,Horaires[[#This Row],[Date]]),MAX(0,MIN(fin_dimJF,Horaires[[#This Row],[Fin corrigée si nuit]])-MAX(deb_dimJF,Horaires[[#This Row],[début]])),0)+IF(COUNTIF(JF,Horaires[[#This Row],[Date]]+1),MAX(0,Horaires[[#This Row],[Fin corrigée si nuit]]-(1+deb_dimJF)),0))*24</f>
        <v>0</v>
      </c>
      <c r="S36"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7" spans="1:19" x14ac:dyDescent="0.35">
      <c r="A37" s="9"/>
      <c r="B37" s="1"/>
      <c r="C37" s="2"/>
      <c r="D37" s="2"/>
      <c r="E37" s="3"/>
      <c r="F37" s="3"/>
      <c r="G37" s="3"/>
      <c r="H37" s="3"/>
      <c r="I37" s="57">
        <f>0.1*(Horaires[[#This Row],[Heures de nuit]]+Horaires[[#This Row],[heures jour dimanche]]+Horaires[[#This Row],[heures jour fériés]])</f>
        <v>0</v>
      </c>
      <c r="J37" s="58">
        <f>(MOD(Horaires[[#This Row],[Fin]]-Horaires[[#This Row],[début]],1)-MOD(Horaires[[#This Row],[PNP Fin]]-Horaires[[#This Row],[PNP Début]],1))*24</f>
        <v>0</v>
      </c>
      <c r="K37" s="59">
        <f>IF(Horaires[[#This Row],[PNP Début]]=0,0,IF(Horaires[[#This Row],[PNP Début]]&lt;Horaires[[#This Row],[début]],1,0)+Horaires[[#This Row],[PNP Début]])</f>
        <v>0</v>
      </c>
      <c r="L37" s="60">
        <f>IF(Horaires[[#This Row],[PNP Fin]]=0,0,IF(Horaires[[#This Row],[PNP Fin]]&lt;Horaires[[#This Row],[début]],1,0)+Horaires[[#This Row],[PNP Fin]])</f>
        <v>0</v>
      </c>
      <c r="M37" s="60">
        <f>IF(Horaires[[#This Row],[Fin]]&lt;Horaires[[#This Row],[début]],1,0)+Horaires[[#This Row],[Fin]]</f>
        <v>0</v>
      </c>
      <c r="N37" s="61">
        <f>MAX(0,MIN(Horaires[[#This Row],[Fin corrigée si nuit]],fin_nuit)-MAX(Horaires[[#This Row],[début]],deb_nuit))*24</f>
        <v>0</v>
      </c>
      <c r="O37" s="62">
        <f>(MAX(0,MIN(Horaires[[#This Row],[Fin corrigée si nuit]],fin_nuit)-MAX(Horaires[[#This Row],[début]],deb_nuit))-IF(Horaires[[#This Row],[PNP Début]]=0,0,MIN(Horaires[[#This Row],[PNP Fin corrigée]],fin_nuit)-MAX(Horaires[[#This Row],[PNP Début corrigé]],deb_nuit)))*24</f>
        <v>0</v>
      </c>
      <c r="P37" s="62">
        <f>(IF(WEEKDAY(Horaires[[#This Row],[Date]],2)=7,MAX(0,MIN(fin_dimJF,Horaires[[#This Row],[Fin corrigée si nuit]])-MAX(deb_dimJF,Horaires[[#This Row],[début]])),0)+IF(WEEKDAY(Horaires[[#This Row],[Date]],2)=6,MAX(0,Horaires[[#This Row],[Fin corrigée si nuit]]-(1+deb_dimJF)),0))*24</f>
        <v>0</v>
      </c>
      <c r="Q37"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7" s="62">
        <f>(IF(COUNTIF(JF,Horaires[[#This Row],[Date]]),MAX(0,MIN(fin_dimJF,Horaires[[#This Row],[Fin corrigée si nuit]])-MAX(deb_dimJF,Horaires[[#This Row],[début]])),0)+IF(COUNTIF(JF,Horaires[[#This Row],[Date]]+1),MAX(0,Horaires[[#This Row],[Fin corrigée si nuit]]-(1+deb_dimJF)),0))*24</f>
        <v>0</v>
      </c>
      <c r="S37"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8" spans="1:19" x14ac:dyDescent="0.35">
      <c r="A38" s="9"/>
      <c r="B38" s="1"/>
      <c r="C38" s="2"/>
      <c r="D38" s="2"/>
      <c r="E38" s="3"/>
      <c r="F38" s="3"/>
      <c r="G38" s="3"/>
      <c r="H38" s="3"/>
      <c r="I38" s="57">
        <f>0.1*(Horaires[[#This Row],[Heures de nuit]]+Horaires[[#This Row],[heures jour dimanche]]+Horaires[[#This Row],[heures jour fériés]])</f>
        <v>0</v>
      </c>
      <c r="J38" s="58">
        <f>(MOD(Horaires[[#This Row],[Fin]]-Horaires[[#This Row],[début]],1)-MOD(Horaires[[#This Row],[PNP Fin]]-Horaires[[#This Row],[PNP Début]],1))*24</f>
        <v>0</v>
      </c>
      <c r="K38" s="59">
        <f>IF(Horaires[[#This Row],[PNP Début]]=0,0,IF(Horaires[[#This Row],[PNP Début]]&lt;Horaires[[#This Row],[début]],1,0)+Horaires[[#This Row],[PNP Début]])</f>
        <v>0</v>
      </c>
      <c r="L38" s="60">
        <f>IF(Horaires[[#This Row],[PNP Fin]]=0,0,IF(Horaires[[#This Row],[PNP Fin]]&lt;Horaires[[#This Row],[début]],1,0)+Horaires[[#This Row],[PNP Fin]])</f>
        <v>0</v>
      </c>
      <c r="M38" s="60">
        <f>IF(Horaires[[#This Row],[Fin]]&lt;Horaires[[#This Row],[début]],1,0)+Horaires[[#This Row],[Fin]]</f>
        <v>0</v>
      </c>
      <c r="N38" s="61">
        <f>MAX(0,MIN(Horaires[[#This Row],[Fin corrigée si nuit]],fin_nuit)-MAX(Horaires[[#This Row],[début]],deb_nuit))*24</f>
        <v>0</v>
      </c>
      <c r="O38" s="62">
        <f>(MAX(0,MIN(Horaires[[#This Row],[Fin corrigée si nuit]],fin_nuit)-MAX(Horaires[[#This Row],[début]],deb_nuit))-IF(Horaires[[#This Row],[PNP Début]]=0,0,MIN(Horaires[[#This Row],[PNP Fin corrigée]],fin_nuit)-MAX(Horaires[[#This Row],[PNP Début corrigé]],deb_nuit)))*24</f>
        <v>0</v>
      </c>
      <c r="P38" s="62">
        <f>(IF(WEEKDAY(Horaires[[#This Row],[Date]],2)=7,MAX(0,MIN(fin_dimJF,Horaires[[#This Row],[Fin corrigée si nuit]])-MAX(deb_dimJF,Horaires[[#This Row],[début]])),0)+IF(WEEKDAY(Horaires[[#This Row],[Date]],2)=6,MAX(0,Horaires[[#This Row],[Fin corrigée si nuit]]-(1+deb_dimJF)),0))*24</f>
        <v>0</v>
      </c>
      <c r="Q38"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8" s="62">
        <f>(IF(COUNTIF(JF,Horaires[[#This Row],[Date]]),MAX(0,MIN(fin_dimJF,Horaires[[#This Row],[Fin corrigée si nuit]])-MAX(deb_dimJF,Horaires[[#This Row],[début]])),0)+IF(COUNTIF(JF,Horaires[[#This Row],[Date]]+1),MAX(0,Horaires[[#This Row],[Fin corrigée si nuit]]-(1+deb_dimJF)),0))*24</f>
        <v>0</v>
      </c>
      <c r="S38"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39" spans="1:19" x14ac:dyDescent="0.35">
      <c r="A39" s="9"/>
      <c r="B39" s="1"/>
      <c r="C39" s="2"/>
      <c r="D39" s="2"/>
      <c r="E39" s="3"/>
      <c r="F39" s="3"/>
      <c r="G39" s="3"/>
      <c r="H39" s="3"/>
      <c r="I39" s="57">
        <f>0.1*(Horaires[[#This Row],[Heures de nuit]]+Horaires[[#This Row],[heures jour dimanche]]+Horaires[[#This Row],[heures jour fériés]])</f>
        <v>0</v>
      </c>
      <c r="J39" s="58">
        <f>(MOD(Horaires[[#This Row],[Fin]]-Horaires[[#This Row],[début]],1)-MOD(Horaires[[#This Row],[PNP Fin]]-Horaires[[#This Row],[PNP Début]],1))*24</f>
        <v>0</v>
      </c>
      <c r="K39" s="59">
        <f>IF(Horaires[[#This Row],[PNP Début]]=0,0,IF(Horaires[[#This Row],[PNP Début]]&lt;Horaires[[#This Row],[début]],1,0)+Horaires[[#This Row],[PNP Début]])</f>
        <v>0</v>
      </c>
      <c r="L39" s="60">
        <f>IF(Horaires[[#This Row],[PNP Fin]]=0,0,IF(Horaires[[#This Row],[PNP Fin]]&lt;Horaires[[#This Row],[début]],1,0)+Horaires[[#This Row],[PNP Fin]])</f>
        <v>0</v>
      </c>
      <c r="M39" s="60">
        <f>IF(Horaires[[#This Row],[Fin]]&lt;Horaires[[#This Row],[début]],1,0)+Horaires[[#This Row],[Fin]]</f>
        <v>0</v>
      </c>
      <c r="N39" s="61">
        <f>MAX(0,MIN(Horaires[[#This Row],[Fin corrigée si nuit]],fin_nuit)-MAX(Horaires[[#This Row],[début]],deb_nuit))*24</f>
        <v>0</v>
      </c>
      <c r="O39" s="62">
        <f>(MAX(0,MIN(Horaires[[#This Row],[Fin corrigée si nuit]],fin_nuit)-MAX(Horaires[[#This Row],[début]],deb_nuit))-IF(Horaires[[#This Row],[PNP Début]]=0,0,MIN(Horaires[[#This Row],[PNP Fin corrigée]],fin_nuit)-MAX(Horaires[[#This Row],[PNP Début corrigé]],deb_nuit)))*24</f>
        <v>0</v>
      </c>
      <c r="P39" s="62">
        <f>(IF(WEEKDAY(Horaires[[#This Row],[Date]],2)=7,MAX(0,MIN(fin_dimJF,Horaires[[#This Row],[Fin corrigée si nuit]])-MAX(deb_dimJF,Horaires[[#This Row],[début]])),0)+IF(WEEKDAY(Horaires[[#This Row],[Date]],2)=6,MAX(0,Horaires[[#This Row],[Fin corrigée si nuit]]-(1+deb_dimJF)),0))*24</f>
        <v>0</v>
      </c>
      <c r="Q39"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39" s="62">
        <f>(IF(COUNTIF(JF,Horaires[[#This Row],[Date]]),MAX(0,MIN(fin_dimJF,Horaires[[#This Row],[Fin corrigée si nuit]])-MAX(deb_dimJF,Horaires[[#This Row],[début]])),0)+IF(COUNTIF(JF,Horaires[[#This Row],[Date]]+1),MAX(0,Horaires[[#This Row],[Fin corrigée si nuit]]-(1+deb_dimJF)),0))*24</f>
        <v>0</v>
      </c>
      <c r="S39"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0" spans="1:19" x14ac:dyDescent="0.35">
      <c r="A40" s="9"/>
      <c r="B40" s="1"/>
      <c r="C40" s="2"/>
      <c r="D40" s="2"/>
      <c r="E40" s="3"/>
      <c r="F40" s="3"/>
      <c r="G40" s="3"/>
      <c r="H40" s="3"/>
      <c r="I40" s="57">
        <f>0.1*(Horaires[[#This Row],[Heures de nuit]]+Horaires[[#This Row],[heures jour dimanche]]+Horaires[[#This Row],[heures jour fériés]])</f>
        <v>0</v>
      </c>
      <c r="J40" s="58">
        <f>(MOD(Horaires[[#This Row],[Fin]]-Horaires[[#This Row],[début]],1)-MOD(Horaires[[#This Row],[PNP Fin]]-Horaires[[#This Row],[PNP Début]],1))*24</f>
        <v>0</v>
      </c>
      <c r="K40" s="59">
        <f>IF(Horaires[[#This Row],[PNP Début]]=0,0,IF(Horaires[[#This Row],[PNP Début]]&lt;Horaires[[#This Row],[début]],1,0)+Horaires[[#This Row],[PNP Début]])</f>
        <v>0</v>
      </c>
      <c r="L40" s="60">
        <f>IF(Horaires[[#This Row],[PNP Fin]]=0,0,IF(Horaires[[#This Row],[PNP Fin]]&lt;Horaires[[#This Row],[début]],1,0)+Horaires[[#This Row],[PNP Fin]])</f>
        <v>0</v>
      </c>
      <c r="M40" s="60">
        <f>IF(Horaires[[#This Row],[Fin]]&lt;Horaires[[#This Row],[début]],1,0)+Horaires[[#This Row],[Fin]]</f>
        <v>0</v>
      </c>
      <c r="N40" s="61">
        <f>MAX(0,MIN(Horaires[[#This Row],[Fin corrigée si nuit]],fin_nuit)-MAX(Horaires[[#This Row],[début]],deb_nuit))*24</f>
        <v>0</v>
      </c>
      <c r="O40" s="62">
        <f>(MAX(0,MIN(Horaires[[#This Row],[Fin corrigée si nuit]],fin_nuit)-MAX(Horaires[[#This Row],[début]],deb_nuit))-IF(Horaires[[#This Row],[PNP Début]]=0,0,MIN(Horaires[[#This Row],[PNP Fin corrigée]],fin_nuit)-MAX(Horaires[[#This Row],[PNP Début corrigé]],deb_nuit)))*24</f>
        <v>0</v>
      </c>
      <c r="P40" s="62">
        <f>(IF(WEEKDAY(Horaires[[#This Row],[Date]],2)=7,MAX(0,MIN(fin_dimJF,Horaires[[#This Row],[Fin corrigée si nuit]])-MAX(deb_dimJF,Horaires[[#This Row],[début]])),0)+IF(WEEKDAY(Horaires[[#This Row],[Date]],2)=6,MAX(0,Horaires[[#This Row],[Fin corrigée si nuit]]-(1+deb_dimJF)),0))*24</f>
        <v>0</v>
      </c>
      <c r="Q40"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0" s="62">
        <f>(IF(COUNTIF(JF,Horaires[[#This Row],[Date]]),MAX(0,MIN(fin_dimJF,Horaires[[#This Row],[Fin corrigée si nuit]])-MAX(deb_dimJF,Horaires[[#This Row],[début]])),0)+IF(COUNTIF(JF,Horaires[[#This Row],[Date]]+1),MAX(0,Horaires[[#This Row],[Fin corrigée si nuit]]-(1+deb_dimJF)),0))*24</f>
        <v>0</v>
      </c>
      <c r="S40"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1" spans="1:19" x14ac:dyDescent="0.35">
      <c r="A41" s="9"/>
      <c r="B41" s="1"/>
      <c r="C41" s="2"/>
      <c r="D41" s="2"/>
      <c r="E41" s="3"/>
      <c r="F41" s="3"/>
      <c r="G41" s="3"/>
      <c r="H41" s="3"/>
      <c r="I41" s="57">
        <f>0.1*(Horaires[[#This Row],[Heures de nuit]]+Horaires[[#This Row],[heures jour dimanche]]+Horaires[[#This Row],[heures jour fériés]])</f>
        <v>0</v>
      </c>
      <c r="J41" s="58">
        <f>(MOD(Horaires[[#This Row],[Fin]]-Horaires[[#This Row],[début]],1)-MOD(Horaires[[#This Row],[PNP Fin]]-Horaires[[#This Row],[PNP Début]],1))*24</f>
        <v>0</v>
      </c>
      <c r="K41" s="59">
        <f>IF(Horaires[[#This Row],[PNP Début]]=0,0,IF(Horaires[[#This Row],[PNP Début]]&lt;Horaires[[#This Row],[début]],1,0)+Horaires[[#This Row],[PNP Début]])</f>
        <v>0</v>
      </c>
      <c r="L41" s="60">
        <f>IF(Horaires[[#This Row],[PNP Fin]]=0,0,IF(Horaires[[#This Row],[PNP Fin]]&lt;Horaires[[#This Row],[début]],1,0)+Horaires[[#This Row],[PNP Fin]])</f>
        <v>0</v>
      </c>
      <c r="M41" s="60">
        <f>IF(Horaires[[#This Row],[Fin]]&lt;Horaires[[#This Row],[début]],1,0)+Horaires[[#This Row],[Fin]]</f>
        <v>0</v>
      </c>
      <c r="N41" s="61">
        <f>MAX(0,MIN(Horaires[[#This Row],[Fin corrigée si nuit]],fin_nuit)-MAX(Horaires[[#This Row],[début]],deb_nuit))*24</f>
        <v>0</v>
      </c>
      <c r="O41" s="62">
        <f>(MAX(0,MIN(Horaires[[#This Row],[Fin corrigée si nuit]],fin_nuit)-MAX(Horaires[[#This Row],[début]],deb_nuit))-IF(Horaires[[#This Row],[PNP Début]]=0,0,MIN(Horaires[[#This Row],[PNP Fin corrigée]],fin_nuit)-MAX(Horaires[[#This Row],[PNP Début corrigé]],deb_nuit)))*24</f>
        <v>0</v>
      </c>
      <c r="P41" s="62">
        <f>(IF(WEEKDAY(Horaires[[#This Row],[Date]],2)=7,MAX(0,MIN(fin_dimJF,Horaires[[#This Row],[Fin corrigée si nuit]])-MAX(deb_dimJF,Horaires[[#This Row],[début]])),0)+IF(WEEKDAY(Horaires[[#This Row],[Date]],2)=6,MAX(0,Horaires[[#This Row],[Fin corrigée si nuit]]-(1+deb_dimJF)),0))*24</f>
        <v>0</v>
      </c>
      <c r="Q41"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1" s="62">
        <f>(IF(COUNTIF(JF,Horaires[[#This Row],[Date]]),MAX(0,MIN(fin_dimJF,Horaires[[#This Row],[Fin corrigée si nuit]])-MAX(deb_dimJF,Horaires[[#This Row],[début]])),0)+IF(COUNTIF(JF,Horaires[[#This Row],[Date]]+1),MAX(0,Horaires[[#This Row],[Fin corrigée si nuit]]-(1+deb_dimJF)),0))*24</f>
        <v>0</v>
      </c>
      <c r="S41"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2" spans="1:19" x14ac:dyDescent="0.35">
      <c r="A42" s="9"/>
      <c r="B42" s="1"/>
      <c r="C42" s="2"/>
      <c r="D42" s="2"/>
      <c r="E42" s="3"/>
      <c r="F42" s="3"/>
      <c r="G42" s="3"/>
      <c r="H42" s="3"/>
      <c r="I42" s="57">
        <f>0.1*(Horaires[[#This Row],[Heures de nuit]]+Horaires[[#This Row],[heures jour dimanche]]+Horaires[[#This Row],[heures jour fériés]])</f>
        <v>0</v>
      </c>
      <c r="J42" s="58">
        <f>(MOD(Horaires[[#This Row],[Fin]]-Horaires[[#This Row],[début]],1)-MOD(Horaires[[#This Row],[PNP Fin]]-Horaires[[#This Row],[PNP Début]],1))*24</f>
        <v>0</v>
      </c>
      <c r="K42" s="59">
        <f>IF(Horaires[[#This Row],[PNP Début]]=0,0,IF(Horaires[[#This Row],[PNP Début]]&lt;Horaires[[#This Row],[début]],1,0)+Horaires[[#This Row],[PNP Début]])</f>
        <v>0</v>
      </c>
      <c r="L42" s="60">
        <f>IF(Horaires[[#This Row],[PNP Fin]]=0,0,IF(Horaires[[#This Row],[PNP Fin]]&lt;Horaires[[#This Row],[début]],1,0)+Horaires[[#This Row],[PNP Fin]])</f>
        <v>0</v>
      </c>
      <c r="M42" s="60">
        <f>IF(Horaires[[#This Row],[Fin]]&lt;Horaires[[#This Row],[début]],1,0)+Horaires[[#This Row],[Fin]]</f>
        <v>0</v>
      </c>
      <c r="N42" s="61">
        <f>MAX(0,MIN(Horaires[[#This Row],[Fin corrigée si nuit]],fin_nuit)-MAX(Horaires[[#This Row],[début]],deb_nuit))*24</f>
        <v>0</v>
      </c>
      <c r="O42" s="62">
        <f>(MAX(0,MIN(Horaires[[#This Row],[Fin corrigée si nuit]],fin_nuit)-MAX(Horaires[[#This Row],[début]],deb_nuit))-IF(Horaires[[#This Row],[PNP Début]]=0,0,MIN(Horaires[[#This Row],[PNP Fin corrigée]],fin_nuit)-MAX(Horaires[[#This Row],[PNP Début corrigé]],deb_nuit)))*24</f>
        <v>0</v>
      </c>
      <c r="P42" s="62">
        <f>(IF(WEEKDAY(Horaires[[#This Row],[Date]],2)=7,MAX(0,MIN(fin_dimJF,Horaires[[#This Row],[Fin corrigée si nuit]])-MAX(deb_dimJF,Horaires[[#This Row],[début]])),0)+IF(WEEKDAY(Horaires[[#This Row],[Date]],2)=6,MAX(0,Horaires[[#This Row],[Fin corrigée si nuit]]-(1+deb_dimJF)),0))*24</f>
        <v>0</v>
      </c>
      <c r="Q42"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2" s="62">
        <f>(IF(COUNTIF(JF,Horaires[[#This Row],[Date]]),MAX(0,MIN(fin_dimJF,Horaires[[#This Row],[Fin corrigée si nuit]])-MAX(deb_dimJF,Horaires[[#This Row],[début]])),0)+IF(COUNTIF(JF,Horaires[[#This Row],[Date]]+1),MAX(0,Horaires[[#This Row],[Fin corrigée si nuit]]-(1+deb_dimJF)),0))*24</f>
        <v>0</v>
      </c>
      <c r="S42"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3" spans="1:19" x14ac:dyDescent="0.35">
      <c r="A43" s="9"/>
      <c r="B43" s="1"/>
      <c r="C43" s="2"/>
      <c r="D43" s="2"/>
      <c r="E43" s="3"/>
      <c r="F43" s="3"/>
      <c r="G43" s="3"/>
      <c r="H43" s="3"/>
      <c r="I43" s="57">
        <f>0.1*(Horaires[[#This Row],[Heures de nuit]]+Horaires[[#This Row],[heures jour dimanche]]+Horaires[[#This Row],[heures jour fériés]])</f>
        <v>0</v>
      </c>
      <c r="J43" s="58">
        <f>(MOD(Horaires[[#This Row],[Fin]]-Horaires[[#This Row],[début]],1)-MOD(Horaires[[#This Row],[PNP Fin]]-Horaires[[#This Row],[PNP Début]],1))*24</f>
        <v>0</v>
      </c>
      <c r="K43" s="59">
        <f>IF(Horaires[[#This Row],[PNP Début]]=0,0,IF(Horaires[[#This Row],[PNP Début]]&lt;Horaires[[#This Row],[début]],1,0)+Horaires[[#This Row],[PNP Début]])</f>
        <v>0</v>
      </c>
      <c r="L43" s="60">
        <f>IF(Horaires[[#This Row],[PNP Fin]]=0,0,IF(Horaires[[#This Row],[PNP Fin]]&lt;Horaires[[#This Row],[début]],1,0)+Horaires[[#This Row],[PNP Fin]])</f>
        <v>0</v>
      </c>
      <c r="M43" s="60">
        <f>IF(Horaires[[#This Row],[Fin]]&lt;Horaires[[#This Row],[début]],1,0)+Horaires[[#This Row],[Fin]]</f>
        <v>0</v>
      </c>
      <c r="N43" s="61">
        <f>MAX(0,MIN(Horaires[[#This Row],[Fin corrigée si nuit]],fin_nuit)-MAX(Horaires[[#This Row],[début]],deb_nuit))*24</f>
        <v>0</v>
      </c>
      <c r="O43" s="62">
        <f>(MAX(0,MIN(Horaires[[#This Row],[Fin corrigée si nuit]],fin_nuit)-MAX(Horaires[[#This Row],[début]],deb_nuit))-IF(Horaires[[#This Row],[PNP Début]]=0,0,MIN(Horaires[[#This Row],[PNP Fin corrigée]],fin_nuit)-MAX(Horaires[[#This Row],[PNP Début corrigé]],deb_nuit)))*24</f>
        <v>0</v>
      </c>
      <c r="P43" s="62">
        <f>(IF(WEEKDAY(Horaires[[#This Row],[Date]],2)=7,MAX(0,MIN(fin_dimJF,Horaires[[#This Row],[Fin corrigée si nuit]])-MAX(deb_dimJF,Horaires[[#This Row],[début]])),0)+IF(WEEKDAY(Horaires[[#This Row],[Date]],2)=6,MAX(0,Horaires[[#This Row],[Fin corrigée si nuit]]-(1+deb_dimJF)),0))*24</f>
        <v>0</v>
      </c>
      <c r="Q43"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3" s="62">
        <f>(IF(COUNTIF(JF,Horaires[[#This Row],[Date]]),MAX(0,MIN(fin_dimJF,Horaires[[#This Row],[Fin corrigée si nuit]])-MAX(deb_dimJF,Horaires[[#This Row],[début]])),0)+IF(COUNTIF(JF,Horaires[[#This Row],[Date]]+1),MAX(0,Horaires[[#This Row],[Fin corrigée si nuit]]-(1+deb_dimJF)),0))*24</f>
        <v>0</v>
      </c>
      <c r="S43"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4" spans="1:19" x14ac:dyDescent="0.35">
      <c r="A44" s="9"/>
      <c r="B44" s="1"/>
      <c r="C44" s="2"/>
      <c r="D44" s="2"/>
      <c r="E44" s="3"/>
      <c r="F44" s="3"/>
      <c r="G44" s="3"/>
      <c r="H44" s="3"/>
      <c r="I44" s="57">
        <f>0.1*(Horaires[[#This Row],[Heures de nuit]]+Horaires[[#This Row],[heures jour dimanche]]+Horaires[[#This Row],[heures jour fériés]])</f>
        <v>0</v>
      </c>
      <c r="J44" s="58">
        <f>(MOD(Horaires[[#This Row],[Fin]]-Horaires[[#This Row],[début]],1)-MOD(Horaires[[#This Row],[PNP Fin]]-Horaires[[#This Row],[PNP Début]],1))*24</f>
        <v>0</v>
      </c>
      <c r="K44" s="59">
        <f>IF(Horaires[[#This Row],[PNP Début]]=0,0,IF(Horaires[[#This Row],[PNP Début]]&lt;Horaires[[#This Row],[début]],1,0)+Horaires[[#This Row],[PNP Début]])</f>
        <v>0</v>
      </c>
      <c r="L44" s="60">
        <f>IF(Horaires[[#This Row],[PNP Fin]]=0,0,IF(Horaires[[#This Row],[PNP Fin]]&lt;Horaires[[#This Row],[début]],1,0)+Horaires[[#This Row],[PNP Fin]])</f>
        <v>0</v>
      </c>
      <c r="M44" s="60">
        <f>IF(Horaires[[#This Row],[Fin]]&lt;Horaires[[#This Row],[début]],1,0)+Horaires[[#This Row],[Fin]]</f>
        <v>0</v>
      </c>
      <c r="N44" s="61">
        <f>MAX(0,MIN(Horaires[[#This Row],[Fin corrigée si nuit]],fin_nuit)-MAX(Horaires[[#This Row],[début]],deb_nuit))*24</f>
        <v>0</v>
      </c>
      <c r="O44" s="62">
        <f>(MAX(0,MIN(Horaires[[#This Row],[Fin corrigée si nuit]],fin_nuit)-MAX(Horaires[[#This Row],[début]],deb_nuit))-IF(Horaires[[#This Row],[PNP Début]]=0,0,MIN(Horaires[[#This Row],[PNP Fin corrigée]],fin_nuit)-MAX(Horaires[[#This Row],[PNP Début corrigé]],deb_nuit)))*24</f>
        <v>0</v>
      </c>
      <c r="P44" s="62">
        <f>(IF(WEEKDAY(Horaires[[#This Row],[Date]],2)=7,MAX(0,MIN(fin_dimJF,Horaires[[#This Row],[Fin corrigée si nuit]])-MAX(deb_dimJF,Horaires[[#This Row],[début]])),0)+IF(WEEKDAY(Horaires[[#This Row],[Date]],2)=6,MAX(0,Horaires[[#This Row],[Fin corrigée si nuit]]-(1+deb_dimJF)),0))*24</f>
        <v>0</v>
      </c>
      <c r="Q44"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4" s="62">
        <f>(IF(COUNTIF(JF,Horaires[[#This Row],[Date]]),MAX(0,MIN(fin_dimJF,Horaires[[#This Row],[Fin corrigée si nuit]])-MAX(deb_dimJF,Horaires[[#This Row],[début]])),0)+IF(COUNTIF(JF,Horaires[[#This Row],[Date]]+1),MAX(0,Horaires[[#This Row],[Fin corrigée si nuit]]-(1+deb_dimJF)),0))*24</f>
        <v>0</v>
      </c>
      <c r="S44"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5" spans="1:19" x14ac:dyDescent="0.35">
      <c r="A45" s="9"/>
      <c r="B45" s="1"/>
      <c r="C45" s="2"/>
      <c r="D45" s="2"/>
      <c r="E45" s="3"/>
      <c r="F45" s="3"/>
      <c r="G45" s="3"/>
      <c r="H45" s="3"/>
      <c r="I45" s="57">
        <f>0.1*(Horaires[[#This Row],[Heures de nuit]]+Horaires[[#This Row],[heures jour dimanche]]+Horaires[[#This Row],[heures jour fériés]])</f>
        <v>0</v>
      </c>
      <c r="J45" s="58">
        <f>(MOD(Horaires[[#This Row],[Fin]]-Horaires[[#This Row],[début]],1)-MOD(Horaires[[#This Row],[PNP Fin]]-Horaires[[#This Row],[PNP Début]],1))*24</f>
        <v>0</v>
      </c>
      <c r="K45" s="59">
        <f>IF(Horaires[[#This Row],[PNP Début]]=0,0,IF(Horaires[[#This Row],[PNP Début]]&lt;Horaires[[#This Row],[début]],1,0)+Horaires[[#This Row],[PNP Début]])</f>
        <v>0</v>
      </c>
      <c r="L45" s="60">
        <f>IF(Horaires[[#This Row],[PNP Fin]]=0,0,IF(Horaires[[#This Row],[PNP Fin]]&lt;Horaires[[#This Row],[début]],1,0)+Horaires[[#This Row],[PNP Fin]])</f>
        <v>0</v>
      </c>
      <c r="M45" s="60">
        <f>IF(Horaires[[#This Row],[Fin]]&lt;Horaires[[#This Row],[début]],1,0)+Horaires[[#This Row],[Fin]]</f>
        <v>0</v>
      </c>
      <c r="N45" s="61">
        <f>MAX(0,MIN(Horaires[[#This Row],[Fin corrigée si nuit]],fin_nuit)-MAX(Horaires[[#This Row],[début]],deb_nuit))*24</f>
        <v>0</v>
      </c>
      <c r="O45" s="62">
        <f>(MAX(0,MIN(Horaires[[#This Row],[Fin corrigée si nuit]],fin_nuit)-MAX(Horaires[[#This Row],[début]],deb_nuit))-IF(Horaires[[#This Row],[PNP Début]]=0,0,MIN(Horaires[[#This Row],[PNP Fin corrigée]],fin_nuit)-MAX(Horaires[[#This Row],[PNP Début corrigé]],deb_nuit)))*24</f>
        <v>0</v>
      </c>
      <c r="P45" s="62">
        <f>(IF(WEEKDAY(Horaires[[#This Row],[Date]],2)=7,MAX(0,MIN(fin_dimJF,Horaires[[#This Row],[Fin corrigée si nuit]])-MAX(deb_dimJF,Horaires[[#This Row],[début]])),0)+IF(WEEKDAY(Horaires[[#This Row],[Date]],2)=6,MAX(0,Horaires[[#This Row],[Fin corrigée si nuit]]-(1+deb_dimJF)),0))*24</f>
        <v>0</v>
      </c>
      <c r="Q45"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5" s="62">
        <f>(IF(COUNTIF(JF,Horaires[[#This Row],[Date]]),MAX(0,MIN(fin_dimJF,Horaires[[#This Row],[Fin corrigée si nuit]])-MAX(deb_dimJF,Horaires[[#This Row],[début]])),0)+IF(COUNTIF(JF,Horaires[[#This Row],[Date]]+1),MAX(0,Horaires[[#This Row],[Fin corrigée si nuit]]-(1+deb_dimJF)),0))*24</f>
        <v>0</v>
      </c>
      <c r="S45"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6" spans="1:19" x14ac:dyDescent="0.35">
      <c r="A46" s="9"/>
      <c r="B46" s="1"/>
      <c r="C46" s="2"/>
      <c r="D46" s="2"/>
      <c r="E46" s="3"/>
      <c r="F46" s="3"/>
      <c r="G46" s="3"/>
      <c r="H46" s="3"/>
      <c r="I46" s="57">
        <f>0.1*(Horaires[[#This Row],[Heures de nuit]]+Horaires[[#This Row],[heures jour dimanche]]+Horaires[[#This Row],[heures jour fériés]])</f>
        <v>0</v>
      </c>
      <c r="J46" s="58">
        <f>(MOD(Horaires[[#This Row],[Fin]]-Horaires[[#This Row],[début]],1)-MOD(Horaires[[#This Row],[PNP Fin]]-Horaires[[#This Row],[PNP Début]],1))*24</f>
        <v>0</v>
      </c>
      <c r="K46" s="59">
        <f>IF(Horaires[[#This Row],[PNP Début]]=0,0,IF(Horaires[[#This Row],[PNP Début]]&lt;Horaires[[#This Row],[début]],1,0)+Horaires[[#This Row],[PNP Début]])</f>
        <v>0</v>
      </c>
      <c r="L46" s="60">
        <f>IF(Horaires[[#This Row],[PNP Fin]]=0,0,IF(Horaires[[#This Row],[PNP Fin]]&lt;Horaires[[#This Row],[début]],1,0)+Horaires[[#This Row],[PNP Fin]])</f>
        <v>0</v>
      </c>
      <c r="M46" s="60">
        <f>IF(Horaires[[#This Row],[Fin]]&lt;Horaires[[#This Row],[début]],1,0)+Horaires[[#This Row],[Fin]]</f>
        <v>0</v>
      </c>
      <c r="N46" s="61">
        <f>MAX(0,MIN(Horaires[[#This Row],[Fin corrigée si nuit]],fin_nuit)-MAX(Horaires[[#This Row],[début]],deb_nuit))*24</f>
        <v>0</v>
      </c>
      <c r="O46" s="62">
        <f>(MAX(0,MIN(Horaires[[#This Row],[Fin corrigée si nuit]],fin_nuit)-MAX(Horaires[[#This Row],[début]],deb_nuit))-IF(Horaires[[#This Row],[PNP Début]]=0,0,MIN(Horaires[[#This Row],[PNP Fin corrigée]],fin_nuit)-MAX(Horaires[[#This Row],[PNP Début corrigé]],deb_nuit)))*24</f>
        <v>0</v>
      </c>
      <c r="P46" s="62">
        <f>(IF(WEEKDAY(Horaires[[#This Row],[Date]],2)=7,MAX(0,MIN(fin_dimJF,Horaires[[#This Row],[Fin corrigée si nuit]])-MAX(deb_dimJF,Horaires[[#This Row],[début]])),0)+IF(WEEKDAY(Horaires[[#This Row],[Date]],2)=6,MAX(0,Horaires[[#This Row],[Fin corrigée si nuit]]-(1+deb_dimJF)),0))*24</f>
        <v>0</v>
      </c>
      <c r="Q46"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6" s="62">
        <f>(IF(COUNTIF(JF,Horaires[[#This Row],[Date]]),MAX(0,MIN(fin_dimJF,Horaires[[#This Row],[Fin corrigée si nuit]])-MAX(deb_dimJF,Horaires[[#This Row],[début]])),0)+IF(COUNTIF(JF,Horaires[[#This Row],[Date]]+1),MAX(0,Horaires[[#This Row],[Fin corrigée si nuit]]-(1+deb_dimJF)),0))*24</f>
        <v>0</v>
      </c>
      <c r="S46"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7" spans="1:19" x14ac:dyDescent="0.35">
      <c r="A47" s="9"/>
      <c r="B47" s="1"/>
      <c r="C47" s="2"/>
      <c r="D47" s="2"/>
      <c r="E47" s="3"/>
      <c r="F47" s="3"/>
      <c r="G47" s="3"/>
      <c r="H47" s="3"/>
      <c r="I47" s="57">
        <f>0.1*(Horaires[[#This Row],[Heures de nuit]]+Horaires[[#This Row],[heures jour dimanche]]+Horaires[[#This Row],[heures jour fériés]])</f>
        <v>0</v>
      </c>
      <c r="J47" s="58">
        <f>(MOD(Horaires[[#This Row],[Fin]]-Horaires[[#This Row],[début]],1)-MOD(Horaires[[#This Row],[PNP Fin]]-Horaires[[#This Row],[PNP Début]],1))*24</f>
        <v>0</v>
      </c>
      <c r="K47" s="59">
        <f>IF(Horaires[[#This Row],[PNP Début]]=0,0,IF(Horaires[[#This Row],[PNP Début]]&lt;Horaires[[#This Row],[début]],1,0)+Horaires[[#This Row],[PNP Début]])</f>
        <v>0</v>
      </c>
      <c r="L47" s="60">
        <f>IF(Horaires[[#This Row],[PNP Fin]]=0,0,IF(Horaires[[#This Row],[PNP Fin]]&lt;Horaires[[#This Row],[début]],1,0)+Horaires[[#This Row],[PNP Fin]])</f>
        <v>0</v>
      </c>
      <c r="M47" s="60">
        <f>IF(Horaires[[#This Row],[Fin]]&lt;Horaires[[#This Row],[début]],1,0)+Horaires[[#This Row],[Fin]]</f>
        <v>0</v>
      </c>
      <c r="N47" s="61">
        <f>MAX(0,MIN(Horaires[[#This Row],[Fin corrigée si nuit]],fin_nuit)-MAX(Horaires[[#This Row],[début]],deb_nuit))*24</f>
        <v>0</v>
      </c>
      <c r="O47" s="62">
        <f>(MAX(0,MIN(Horaires[[#This Row],[Fin corrigée si nuit]],fin_nuit)-MAX(Horaires[[#This Row],[début]],deb_nuit))-IF(Horaires[[#This Row],[PNP Début]]=0,0,MIN(Horaires[[#This Row],[PNP Fin corrigée]],fin_nuit)-MAX(Horaires[[#This Row],[PNP Début corrigé]],deb_nuit)))*24</f>
        <v>0</v>
      </c>
      <c r="P47" s="62">
        <f>(IF(WEEKDAY(Horaires[[#This Row],[Date]],2)=7,MAX(0,MIN(fin_dimJF,Horaires[[#This Row],[Fin corrigée si nuit]])-MAX(deb_dimJF,Horaires[[#This Row],[début]])),0)+IF(WEEKDAY(Horaires[[#This Row],[Date]],2)=6,MAX(0,Horaires[[#This Row],[Fin corrigée si nuit]]-(1+deb_dimJF)),0))*24</f>
        <v>0</v>
      </c>
      <c r="Q47"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7" s="62">
        <f>(IF(COUNTIF(JF,Horaires[[#This Row],[Date]]),MAX(0,MIN(fin_dimJF,Horaires[[#This Row],[Fin corrigée si nuit]])-MAX(deb_dimJF,Horaires[[#This Row],[début]])),0)+IF(COUNTIF(JF,Horaires[[#This Row],[Date]]+1),MAX(0,Horaires[[#This Row],[Fin corrigée si nuit]]-(1+deb_dimJF)),0))*24</f>
        <v>0</v>
      </c>
      <c r="S47"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8" spans="1:19" x14ac:dyDescent="0.35">
      <c r="A48" s="9"/>
      <c r="B48" s="1"/>
      <c r="C48" s="2"/>
      <c r="D48" s="2"/>
      <c r="E48" s="3"/>
      <c r="F48" s="3"/>
      <c r="G48" s="3"/>
      <c r="H48" s="3"/>
      <c r="I48" s="57">
        <f>0.1*(Horaires[[#This Row],[Heures de nuit]]+Horaires[[#This Row],[heures jour dimanche]]+Horaires[[#This Row],[heures jour fériés]])</f>
        <v>0</v>
      </c>
      <c r="J48" s="58">
        <f>(MOD(Horaires[[#This Row],[Fin]]-Horaires[[#This Row],[début]],1)-MOD(Horaires[[#This Row],[PNP Fin]]-Horaires[[#This Row],[PNP Début]],1))*24</f>
        <v>0</v>
      </c>
      <c r="K48" s="59">
        <f>IF(Horaires[[#This Row],[PNP Début]]=0,0,IF(Horaires[[#This Row],[PNP Début]]&lt;Horaires[[#This Row],[début]],1,0)+Horaires[[#This Row],[PNP Début]])</f>
        <v>0</v>
      </c>
      <c r="L48" s="60">
        <f>IF(Horaires[[#This Row],[PNP Fin]]=0,0,IF(Horaires[[#This Row],[PNP Fin]]&lt;Horaires[[#This Row],[début]],1,0)+Horaires[[#This Row],[PNP Fin]])</f>
        <v>0</v>
      </c>
      <c r="M48" s="60">
        <f>IF(Horaires[[#This Row],[Fin]]&lt;Horaires[[#This Row],[début]],1,0)+Horaires[[#This Row],[Fin]]</f>
        <v>0</v>
      </c>
      <c r="N48" s="61">
        <f>MAX(0,MIN(Horaires[[#This Row],[Fin corrigée si nuit]],fin_nuit)-MAX(Horaires[[#This Row],[début]],deb_nuit))*24</f>
        <v>0</v>
      </c>
      <c r="O48" s="62">
        <f>(MAX(0,MIN(Horaires[[#This Row],[Fin corrigée si nuit]],fin_nuit)-MAX(Horaires[[#This Row],[début]],deb_nuit))-IF(Horaires[[#This Row],[PNP Début]]=0,0,MIN(Horaires[[#This Row],[PNP Fin corrigée]],fin_nuit)-MAX(Horaires[[#This Row],[PNP Début corrigé]],deb_nuit)))*24</f>
        <v>0</v>
      </c>
      <c r="P48" s="62">
        <f>(IF(WEEKDAY(Horaires[[#This Row],[Date]],2)=7,MAX(0,MIN(fin_dimJF,Horaires[[#This Row],[Fin corrigée si nuit]])-MAX(deb_dimJF,Horaires[[#This Row],[début]])),0)+IF(WEEKDAY(Horaires[[#This Row],[Date]],2)=6,MAX(0,Horaires[[#This Row],[Fin corrigée si nuit]]-(1+deb_dimJF)),0))*24</f>
        <v>0</v>
      </c>
      <c r="Q48"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8" s="62">
        <f>(IF(COUNTIF(JF,Horaires[[#This Row],[Date]]),MAX(0,MIN(fin_dimJF,Horaires[[#This Row],[Fin corrigée si nuit]])-MAX(deb_dimJF,Horaires[[#This Row],[début]])),0)+IF(COUNTIF(JF,Horaires[[#This Row],[Date]]+1),MAX(0,Horaires[[#This Row],[Fin corrigée si nuit]]-(1+deb_dimJF)),0))*24</f>
        <v>0</v>
      </c>
      <c r="S48"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49" spans="1:19" ht="15" thickBot="1" x14ac:dyDescent="0.4">
      <c r="A49" s="9"/>
      <c r="B49" s="1"/>
      <c r="C49" s="2"/>
      <c r="D49" s="2"/>
      <c r="E49" s="3"/>
      <c r="F49" s="3"/>
      <c r="G49" s="3"/>
      <c r="H49" s="3"/>
      <c r="I49" s="57">
        <f>0.1*(Horaires[[#This Row],[Heures de nuit]]+Horaires[[#This Row],[heures jour dimanche]]+Horaires[[#This Row],[heures jour fériés]])</f>
        <v>0</v>
      </c>
      <c r="J49" s="58">
        <f>(MOD(Horaires[[#This Row],[Fin]]-Horaires[[#This Row],[début]],1)-MOD(Horaires[[#This Row],[PNP Fin]]-Horaires[[#This Row],[PNP Début]],1))*24</f>
        <v>0</v>
      </c>
      <c r="K49" s="59">
        <f>IF(Horaires[[#This Row],[PNP Début]]=0,0,IF(Horaires[[#This Row],[PNP Début]]&lt;Horaires[[#This Row],[début]],1,0)+Horaires[[#This Row],[PNP Début]])</f>
        <v>0</v>
      </c>
      <c r="L49" s="60">
        <f>IF(Horaires[[#This Row],[PNP Fin]]=0,0,IF(Horaires[[#This Row],[PNP Fin]]&lt;Horaires[[#This Row],[début]],1,0)+Horaires[[#This Row],[PNP Fin]])</f>
        <v>0</v>
      </c>
      <c r="M49" s="60">
        <f>IF(Horaires[[#This Row],[Fin]]&lt;Horaires[[#This Row],[début]],1,0)+Horaires[[#This Row],[Fin]]</f>
        <v>0</v>
      </c>
      <c r="N49" s="61">
        <f>MAX(0,MIN(Horaires[[#This Row],[Fin corrigée si nuit]],fin_nuit)-MAX(Horaires[[#This Row],[début]],deb_nuit))*24</f>
        <v>0</v>
      </c>
      <c r="O49" s="62">
        <f>(MAX(0,MIN(Horaires[[#This Row],[Fin corrigée si nuit]],fin_nuit)-MAX(Horaires[[#This Row],[début]],deb_nuit))-IF(Horaires[[#This Row],[PNP Début]]=0,0,MIN(Horaires[[#This Row],[PNP Fin corrigée]],fin_nuit)-MAX(Horaires[[#This Row],[PNP Début corrigé]],deb_nuit)))*24</f>
        <v>0</v>
      </c>
      <c r="P49" s="62">
        <f>(IF(WEEKDAY(Horaires[[#This Row],[Date]],2)=7,MAX(0,MIN(fin_dimJF,Horaires[[#This Row],[Fin corrigée si nuit]])-MAX(deb_dimJF,Horaires[[#This Row],[début]])),0)+IF(WEEKDAY(Horaires[[#This Row],[Date]],2)=6,MAX(0,Horaires[[#This Row],[Fin corrigée si nuit]]-(1+deb_dimJF)),0))*24</f>
        <v>0</v>
      </c>
      <c r="Q49" s="62">
        <f>(IF(WEEKDAY(Horaires[[#This Row],[Date]],2)=7,MAX(0,MIN(fin_dimJF,Horaires[[#This Row],[Fin corrigée si nuit]])-MAX(deb_dimJF,Horaires[[#This Row],[début]])),0)+IF(WEEKDAY(Horaires[[#This Row],[Date]],2)=6,MAX(0,Horaires[[#This Row],[Fin corrigée si nuit]]-(1+deb_dimJF)),0))*24-
(IF(WEEKDAY(Horaires[[#This Row],[Date]],2)=7,MAX(0,MIN(fin_dimJF,Horaires[[#This Row],[PNP Fin corrigée]])-MAX(deb_dimJF,Horaires[[#This Row],[PNP Début corrigé]])),0)+IF(WEEKDAY(Horaires[[#This Row],[Date]],2)=6,MAX(0,Horaires[[#This Row],[PNP Fin corrigée]]-(1+deb_dimJF)),0))*24</f>
        <v>0</v>
      </c>
      <c r="R49" s="62">
        <f>(IF(COUNTIF(JF,Horaires[[#This Row],[Date]]),MAX(0,MIN(fin_dimJF,Horaires[[#This Row],[Fin corrigée si nuit]])-MAX(deb_dimJF,Horaires[[#This Row],[début]])),0)+IF(COUNTIF(JF,Horaires[[#This Row],[Date]]+1),MAX(0,Horaires[[#This Row],[Fin corrigée si nuit]]-(1+deb_dimJF)),0))*24</f>
        <v>0</v>
      </c>
      <c r="S49" s="62">
        <f>(IF(COUNTIF(JF,Horaires[[#This Row],[Date]]),MAX(0,MIN(fin_dimJF,Horaires[[#This Row],[Fin corrigée si nuit]])-MAX(deb_dimJF,Horaires[[#This Row],[début]])),0)+IF(COUNTIF(JF,Horaires[[#This Row],[Date]]+1),MAX(0,Horaires[[#This Row],[Fin corrigée si nuit]]-(1+deb_dimJF)),0))*24-
(IF(COUNTIF(JF,Horaires[[#This Row],[Date]]),MAX(0,MIN(fin_dimJF,Horaires[[#This Row],[PNP Fin corrigée]])-MAX(deb_dimJF,Horaires[[#This Row],[PNP Début corrigé]])),0)+IF(COUNTIF(JF,Horaires[[#This Row],[Date]]+1),MAX(0,Horaires[[#This Row],[PNP Fin corrigée]]-(1+deb_dimJF)),0))*24</f>
        <v>0</v>
      </c>
    </row>
    <row r="50" spans="1:19" ht="16" thickBot="1" x14ac:dyDescent="0.4">
      <c r="A50" s="63"/>
      <c r="B50" s="25"/>
      <c r="C50" s="25"/>
      <c r="D50" s="25"/>
      <c r="E50" s="106" t="s">
        <v>32</v>
      </c>
      <c r="F50" s="107"/>
      <c r="G50" s="107"/>
      <c r="H50" s="108"/>
      <c r="I50" s="64">
        <f>SUM(Horaires[Majoration])</f>
        <v>2.6</v>
      </c>
      <c r="J50" s="65">
        <f>SUM(Horaires[Heures totales payées])</f>
        <v>187.5</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66"/>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algorithmName="SHA-512" hashValue="L+arOjfZEMMDSPa3z6T7uwKx1n2hv0xP4Q5HVnKlz9wXD0C+o6jlFd9ypTUH+MLhagcXQt3TJoL8fBqAaCk2wg==" saltValue="kkJXKP4Q8AlCOK4zCgy+ug==" spinCount="100000" sheet="1" objects="1" scenarios="1" selectLockedCells="1"/>
  <mergeCells count="21">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 ref="A1:B2"/>
    <mergeCell ref="D5:F5"/>
    <mergeCell ref="G5:H5"/>
    <mergeCell ref="I5:J5"/>
    <mergeCell ref="A5:B5"/>
    <mergeCell ref="A3:J4"/>
  </mergeCells>
  <dataValidations count="3">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K12:N49"/>
  </dataValidations>
  <printOptions horizontalCentered="1"/>
  <pageMargins left="0" right="0" top="0" bottom="0" header="0" footer="0"/>
  <pageSetup paperSize="9" orientation="portrait" r:id="rId1"/>
  <ignoredErrors>
    <ignoredError sqref="I13" unlockedFormula="1"/>
  </ignoredErrors>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60"/>
  <sheetViews>
    <sheetView topLeftCell="A4" workbookViewId="0">
      <selection activeCell="N23" sqref="N23"/>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customWidth="1"/>
    <col min="12" max="19" width="10.90625"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t="s">
        <v>65</v>
      </c>
      <c r="B5" s="103"/>
      <c r="C5" s="27" t="s">
        <v>40</v>
      </c>
      <c r="D5" s="97" t="s">
        <v>50</v>
      </c>
      <c r="E5" s="98"/>
      <c r="F5" s="98"/>
      <c r="G5" s="99" t="s">
        <v>24</v>
      </c>
      <c r="H5" s="99"/>
      <c r="I5" s="100">
        <v>43101</v>
      </c>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1" t="s">
        <v>31</v>
      </c>
      <c r="F11" s="71" t="s">
        <v>6</v>
      </c>
      <c r="G11" s="71" t="s">
        <v>31</v>
      </c>
      <c r="H11" s="71" t="s">
        <v>6</v>
      </c>
      <c r="I11" s="122"/>
      <c r="J11" s="123"/>
      <c r="K11" s="33"/>
      <c r="L11" s="25"/>
      <c r="M11" s="25"/>
      <c r="N11" s="25"/>
      <c r="O11" s="25"/>
      <c r="P11" s="25"/>
      <c r="Q11" s="25"/>
      <c r="R11" s="25"/>
      <c r="S11" s="25"/>
    </row>
    <row r="12" spans="1:19" s="12" customFormat="1" ht="43.5" x14ac:dyDescent="0.35">
      <c r="A12" s="34" t="s">
        <v>2</v>
      </c>
      <c r="B12" s="35" t="s">
        <v>3</v>
      </c>
      <c r="C12" s="35" t="s">
        <v>5</v>
      </c>
      <c r="D12" s="35" t="s">
        <v>6</v>
      </c>
      <c r="E12" s="35" t="s">
        <v>10</v>
      </c>
      <c r="F12" s="35" t="s">
        <v>11</v>
      </c>
      <c r="G12" s="35" t="s">
        <v>12</v>
      </c>
      <c r="H12" s="35" t="s">
        <v>13</v>
      </c>
      <c r="I12" s="35" t="s">
        <v>23</v>
      </c>
      <c r="J12" s="35" t="s">
        <v>14</v>
      </c>
      <c r="K12" s="35" t="s">
        <v>20</v>
      </c>
      <c r="L12" s="35" t="s">
        <v>21</v>
      </c>
      <c r="M12" s="35" t="s">
        <v>19</v>
      </c>
      <c r="N12" s="35" t="s">
        <v>35</v>
      </c>
      <c r="O12" s="35" t="s">
        <v>22</v>
      </c>
      <c r="P12" s="35" t="s">
        <v>7</v>
      </c>
      <c r="Q12" s="35" t="s">
        <v>36</v>
      </c>
      <c r="R12" s="37" t="s">
        <v>8</v>
      </c>
      <c r="S12" s="37" t="s">
        <v>37</v>
      </c>
    </row>
    <row r="13" spans="1:19" x14ac:dyDescent="0.35">
      <c r="A13" s="74">
        <v>43101</v>
      </c>
      <c r="B13" s="75" t="s">
        <v>52</v>
      </c>
      <c r="C13" s="76">
        <v>0.75</v>
      </c>
      <c r="D13" s="76">
        <v>0.25</v>
      </c>
      <c r="E13" s="76">
        <v>4.1666666666666664E-2</v>
      </c>
      <c r="F13" s="76">
        <v>8.3333333333333329E-2</v>
      </c>
      <c r="G13" s="76">
        <v>8.3333333333333329E-2</v>
      </c>
      <c r="H13" s="76">
        <v>0.125</v>
      </c>
      <c r="I13" s="77">
        <f>0.1*(Horaires356[[#This Row],[Heures de nuit]]+Horaires356[[#This Row],[heures jour dimanche]]+Horaires356[[#This Row],[heures jour fériés]])</f>
        <v>1.2000000000000002</v>
      </c>
      <c r="J13" s="77">
        <f>(MOD(Horaires356[[#This Row],[Fin]]-Horaires356[[#This Row],[début]],1)-MOD(Horaires356[[#This Row],[PNP Fin]]-Horaires356[[#This Row],[PNP Début]],1))*24</f>
        <v>11</v>
      </c>
      <c r="K13" s="40">
        <f>IF(Horaires356[[#This Row],[PNP Début]]=0,0,IF(Horaires356[[#This Row],[PNP Début]]&lt;Horaires356[[#This Row],[début]],1,0)+Horaires356[[#This Row],[PNP Début]])</f>
        <v>1.0833333333333333</v>
      </c>
      <c r="L13" s="40">
        <f>IF(Horaires356[[#This Row],[PNP Fin]]=0,0,IF(Horaires356[[#This Row],[PNP Fin]]&lt;Horaires356[[#This Row],[début]],1,0)+Horaires356[[#This Row],[PNP Fin]])</f>
        <v>1.125</v>
      </c>
      <c r="M13" s="40">
        <f>IF(Horaires356[[#This Row],[Fin]]&lt;Horaires356[[#This Row],[début]],1,0)+Horaires356[[#This Row],[Fin]]</f>
        <v>1.25</v>
      </c>
      <c r="N13" s="41">
        <f>MAX(0,MIN(Horaires356[[#This Row],[Fin corrigée si nuit]],fin_nuit)-MAX(Horaires356[[#This Row],[début]],deb_nuit))*24</f>
        <v>6.9999999999999991</v>
      </c>
      <c r="O13" s="41">
        <f>(MAX(0,MIN(Horaires356[[#This Row],[Fin corrigée si nuit]],fin_nuit)-MAX(Horaires356[[#This Row],[début]],deb_nuit))-IF(Horaires356[[#This Row],[PNP Début]]=0,0,MIN(Horaires356[[#This Row],[PNP Fin corrigée]],fin_nuit)-MAX(Horaires356[[#This Row],[PNP Début corrigé]],deb_nuit)))*24</f>
        <v>5.9999999999999973</v>
      </c>
      <c r="P13" s="41">
        <f>(IF(WEEKDAY(Horaires356[[#This Row],[Date]],2)=7,MAX(0,MIN(fin_dimJF,Horaires356[[#This Row],[Fin corrigée si nuit]])-MAX(deb_dimJF,Horaires356[[#This Row],[début]])),0)+IF(WEEKDAY(Horaires356[[#This Row],[Date]],2)=6,MAX(0,Horaires356[[#This Row],[Fin corrigée si nuit]]-(1+deb_dimJF)),0))*24</f>
        <v>0</v>
      </c>
      <c r="Q13" s="4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13" s="42">
        <f>(IF(COUNTIF(JF,Horaires356[[#This Row],[Date]]),MAX(0,MIN(fin_dimJF,Horaires356[[#This Row],[Fin corrigée si nuit]])-MAX(deb_dimJF,Horaires356[[#This Row],[début]])),0)+IF(COUNTIF(JF,Horaires356[[#This Row],[Date]]+1),MAX(0,Horaires356[[#This Row],[Fin corrigée si nuit]]-(1+deb_dimJF)),0))*24</f>
        <v>5.0000000000000009</v>
      </c>
      <c r="S13" s="4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5.0000000000000009</v>
      </c>
    </row>
    <row r="14" spans="1:19" x14ac:dyDescent="0.35">
      <c r="A14" s="74">
        <v>43102</v>
      </c>
      <c r="B14" s="75" t="s">
        <v>52</v>
      </c>
      <c r="C14" s="76">
        <v>0.75</v>
      </c>
      <c r="D14" s="76">
        <v>0.25</v>
      </c>
      <c r="E14" s="76">
        <v>4.1666666666666664E-2</v>
      </c>
      <c r="F14" s="76">
        <v>8.3333333333333329E-2</v>
      </c>
      <c r="G14" s="76">
        <v>8.3333333333333329E-2</v>
      </c>
      <c r="H14" s="76">
        <v>0.125</v>
      </c>
      <c r="I14" s="77">
        <f>0.1*(Horaires356[[#This Row],[Heures de nuit]]+Horaires356[[#This Row],[heures jour dimanche]]+Horaires356[[#This Row],[heures jour fériés]])</f>
        <v>0.7</v>
      </c>
      <c r="J14" s="77">
        <f>(MOD(Horaires356[[#This Row],[Fin]]-Horaires356[[#This Row],[début]],1)-MOD(Horaires356[[#This Row],[PNP Fin]]-Horaires356[[#This Row],[PNP Début]],1))*24</f>
        <v>11</v>
      </c>
      <c r="K14" s="40">
        <f>IF(Horaires356[[#This Row],[PNP Début]]=0,0,IF(Horaires356[[#This Row],[PNP Début]]&lt;Horaires356[[#This Row],[début]],1,0)+Horaires356[[#This Row],[PNP Début]])</f>
        <v>1.0833333333333333</v>
      </c>
      <c r="L14" s="40">
        <f>IF(Horaires356[[#This Row],[PNP Fin]]=0,0,IF(Horaires356[[#This Row],[PNP Fin]]&lt;Horaires356[[#This Row],[début]],1,0)+Horaires356[[#This Row],[PNP Fin]])</f>
        <v>1.125</v>
      </c>
      <c r="M14" s="40">
        <f>IF(Horaires356[[#This Row],[Fin]]&lt;Horaires356[[#This Row],[début]],1,0)+Horaires356[[#This Row],[Fin]]</f>
        <v>1.25</v>
      </c>
      <c r="N14" s="41">
        <f>MAX(0,MIN(Horaires356[[#This Row],[Fin corrigée si nuit]],fin_nuit)-MAX(Horaires356[[#This Row],[début]],deb_nuit))*24</f>
        <v>6.9999999999999991</v>
      </c>
      <c r="O14" s="41">
        <f>(MAX(0,MIN(Horaires356[[#This Row],[Fin corrigée si nuit]],fin_nuit)-MAX(Horaires356[[#This Row],[début]],deb_nuit))-IF(Horaires356[[#This Row],[PNP Début]]=0,0,MIN(Horaires356[[#This Row],[PNP Fin corrigée]],fin_nuit)-MAX(Horaires356[[#This Row],[PNP Début corrigé]],deb_nuit)))*24</f>
        <v>5.9999999999999973</v>
      </c>
      <c r="P14" s="41">
        <f>(IF(WEEKDAY(Horaires356[[#This Row],[Date]],2)=7,MAX(0,MIN(fin_dimJF,Horaires356[[#This Row],[Fin corrigée si nuit]])-MAX(deb_dimJF,Horaires356[[#This Row],[début]])),0)+IF(WEEKDAY(Horaires356[[#This Row],[Date]],2)=6,MAX(0,Horaires356[[#This Row],[Fin corrigée si nuit]]-(1+deb_dimJF)),0))*24</f>
        <v>0</v>
      </c>
      <c r="Q14" s="4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14" s="42">
        <f>(IF(COUNTIF(JF,Horaires356[[#This Row],[Date]]),MAX(0,MIN(fin_dimJF,Horaires356[[#This Row],[Fin corrigée si nuit]])-MAX(deb_dimJF,Horaires356[[#This Row],[début]])),0)+IF(COUNTIF(JF,Horaires356[[#This Row],[Date]]+1),MAX(0,Horaires356[[#This Row],[Fin corrigée si nuit]]-(1+deb_dimJF)),0))*24</f>
        <v>0</v>
      </c>
      <c r="S14" s="4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15" spans="1:19" x14ac:dyDescent="0.35">
      <c r="A15" s="74">
        <v>43107</v>
      </c>
      <c r="B15" s="75"/>
      <c r="C15" s="76">
        <v>0.75</v>
      </c>
      <c r="D15" s="76">
        <v>0.25</v>
      </c>
      <c r="E15" s="76">
        <v>4.1666666666666664E-2</v>
      </c>
      <c r="F15" s="76">
        <v>8.3333333333333329E-2</v>
      </c>
      <c r="G15" s="76">
        <v>8.3333333333333329E-2</v>
      </c>
      <c r="H15" s="76">
        <v>0.125</v>
      </c>
      <c r="I15" s="77">
        <f>0.1*(Horaires356[[#This Row],[Heures de nuit]]+Horaires356[[#This Row],[heures jour dimanche]]+Horaires356[[#This Row],[heures jour fériés]])</f>
        <v>1.2000000000000002</v>
      </c>
      <c r="J15" s="77">
        <f>(MOD(Horaires356[[#This Row],[Fin]]-Horaires356[[#This Row],[début]],1)-MOD(Horaires356[[#This Row],[PNP Fin]]-Horaires356[[#This Row],[PNP Début]],1))*24</f>
        <v>11</v>
      </c>
      <c r="K15" s="40">
        <f>IF(Horaires356[[#This Row],[PNP Début]]=0,0,IF(Horaires356[[#This Row],[PNP Début]]&lt;Horaires356[[#This Row],[début]],1,0)+Horaires356[[#This Row],[PNP Début]])</f>
        <v>1.0833333333333333</v>
      </c>
      <c r="L15" s="40">
        <f>IF(Horaires356[[#This Row],[PNP Fin]]=0,0,IF(Horaires356[[#This Row],[PNP Fin]]&lt;Horaires356[[#This Row],[début]],1,0)+Horaires356[[#This Row],[PNP Fin]])</f>
        <v>1.125</v>
      </c>
      <c r="M15" s="40">
        <f>IF(Horaires356[[#This Row],[Fin]]&lt;Horaires356[[#This Row],[début]],1,0)+Horaires356[[#This Row],[Fin]]</f>
        <v>1.25</v>
      </c>
      <c r="N15" s="41">
        <f>MAX(0,MIN(Horaires356[[#This Row],[Fin corrigée si nuit]],fin_nuit)-MAX(Horaires356[[#This Row],[début]],deb_nuit))*24</f>
        <v>6.9999999999999991</v>
      </c>
      <c r="O15" s="41">
        <f>(MAX(0,MIN(Horaires356[[#This Row],[Fin corrigée si nuit]],fin_nuit)-MAX(Horaires356[[#This Row],[début]],deb_nuit))-IF(Horaires356[[#This Row],[PNP Début]]=0,0,MIN(Horaires356[[#This Row],[PNP Fin corrigée]],fin_nuit)-MAX(Horaires356[[#This Row],[PNP Début corrigé]],deb_nuit)))*24</f>
        <v>5.9999999999999973</v>
      </c>
      <c r="P15" s="41">
        <f>(IF(WEEKDAY(Horaires356[[#This Row],[Date]],2)=7,MAX(0,MIN(fin_dimJF,Horaires356[[#This Row],[Fin corrigée si nuit]])-MAX(deb_dimJF,Horaires356[[#This Row],[début]])),0)+IF(WEEKDAY(Horaires356[[#This Row],[Date]],2)=6,MAX(0,Horaires356[[#This Row],[Fin corrigée si nuit]]-(1+deb_dimJF)),0))*24</f>
        <v>5.0000000000000009</v>
      </c>
      <c r="Q15" s="4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5.0000000000000009</v>
      </c>
      <c r="R15" s="42">
        <f>(IF(COUNTIF(JF,Horaires356[[#This Row],[Date]]),MAX(0,MIN(fin_dimJF,Horaires356[[#This Row],[Fin corrigée si nuit]])-MAX(deb_dimJF,Horaires356[[#This Row],[début]])),0)+IF(COUNTIF(JF,Horaires356[[#This Row],[Date]]+1),MAX(0,Horaires356[[#This Row],[Fin corrigée si nuit]]-(1+deb_dimJF)),0))*24</f>
        <v>0</v>
      </c>
      <c r="S15" s="4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16" spans="1:19" x14ac:dyDescent="0.35">
      <c r="A16" s="74">
        <v>43107</v>
      </c>
      <c r="B16" s="78"/>
      <c r="C16" s="76">
        <v>0.25</v>
      </c>
      <c r="D16" s="76">
        <v>0.75</v>
      </c>
      <c r="E16" s="76">
        <v>0.5</v>
      </c>
      <c r="F16" s="76">
        <v>0.54166666666666663</v>
      </c>
      <c r="G16" s="79"/>
      <c r="H16" s="79"/>
      <c r="I16" s="77">
        <f>0.1*(Horaires356[[#This Row],[Heures de nuit]]+Horaires356[[#This Row],[heures jour dimanche]]+Horaires356[[#This Row],[heures jour fériés]])</f>
        <v>1.2000000000000002</v>
      </c>
      <c r="J16" s="80">
        <f>(MOD(Horaires356[[#This Row],[Fin]]-Horaires356[[#This Row],[début]],1)-MOD(Horaires356[[#This Row],[PNP Fin]]-Horaires356[[#This Row],[PNP Début]],1))*24</f>
        <v>12</v>
      </c>
      <c r="K16" s="40">
        <f>IF(Horaires356[[#This Row],[PNP Début]]=0,0,IF(Horaires356[[#This Row],[PNP Début]]&lt;Horaires356[[#This Row],[début]],1,0)+Horaires356[[#This Row],[PNP Début]])</f>
        <v>0</v>
      </c>
      <c r="L16" s="40">
        <f>IF(Horaires356[[#This Row],[PNP Fin]]=0,0,IF(Horaires356[[#This Row],[PNP Fin]]&lt;Horaires356[[#This Row],[début]],1,0)+Horaires356[[#This Row],[PNP Fin]])</f>
        <v>0</v>
      </c>
      <c r="M16" s="44">
        <f>IF(Horaires356[[#This Row],[Fin]]&lt;Horaires356[[#This Row],[début]],1,0)+Horaires356[[#This Row],[Fin]]</f>
        <v>0.75</v>
      </c>
      <c r="N16" s="41">
        <f>MAX(0,MIN(Horaires356[[#This Row],[Fin corrigée si nuit]],fin_nuit)-MAX(Horaires356[[#This Row],[début]],deb_nuit))*24</f>
        <v>0</v>
      </c>
      <c r="O16" s="45">
        <f>(MAX(0,MIN(Horaires356[[#This Row],[Fin corrigée si nuit]],fin_nuit)-MAX(Horaires356[[#This Row],[début]],deb_nuit))-IF(Horaires356[[#This Row],[PNP Début]]=0,0,MIN(Horaires356[[#This Row],[PNP Fin corrigée]],fin_nuit)-MAX(Horaires356[[#This Row],[PNP Début corrigé]],deb_nuit)))*24</f>
        <v>0</v>
      </c>
      <c r="P16" s="45">
        <f>(IF(WEEKDAY(Horaires356[[#This Row],[Date]],2)=7,MAX(0,MIN(fin_dimJF,Horaires356[[#This Row],[Fin corrigée si nuit]])-MAX(deb_dimJF,Horaires356[[#This Row],[début]])),0)+IF(WEEKDAY(Horaires356[[#This Row],[Date]],2)=6,MAX(0,Horaires356[[#This Row],[Fin corrigée si nuit]]-(1+deb_dimJF)),0))*24</f>
        <v>12</v>
      </c>
      <c r="Q16" s="4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12</v>
      </c>
      <c r="R16" s="46">
        <f>(IF(COUNTIF(JF,Horaires356[[#This Row],[Date]]),MAX(0,MIN(fin_dimJF,Horaires356[[#This Row],[Fin corrigée si nuit]])-MAX(deb_dimJF,Horaires356[[#This Row],[début]])),0)+IF(COUNTIF(JF,Horaires356[[#This Row],[Date]]+1),MAX(0,Horaires356[[#This Row],[Fin corrigée si nuit]]-(1+deb_dimJF)),0))*24</f>
        <v>0</v>
      </c>
      <c r="S16" s="46">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17" spans="1:19" x14ac:dyDescent="0.35">
      <c r="A17" s="9"/>
      <c r="B17" s="1"/>
      <c r="C17" s="2"/>
      <c r="D17" s="2"/>
      <c r="E17" s="3"/>
      <c r="F17" s="3"/>
      <c r="G17" s="17"/>
      <c r="H17" s="17"/>
      <c r="I17" s="47">
        <f>0.1*(Horaires356[[#This Row],[Heures de nuit]]+Horaires356[[#This Row],[heures jour dimanche]]+Horaires356[[#This Row],[heures jour fériés]])</f>
        <v>0</v>
      </c>
      <c r="J17" s="48">
        <f>(MOD(Horaires356[[#This Row],[Fin]]-Horaires356[[#This Row],[début]],1)-MOD(Horaires356[[#This Row],[PNP Fin]]-Horaires356[[#This Row],[PNP Début]],1))*24</f>
        <v>0</v>
      </c>
      <c r="K17" s="49">
        <f>IF(Horaires356[[#This Row],[PNP Début]]=0,0,IF(Horaires356[[#This Row],[PNP Début]]&lt;Horaires356[[#This Row],[début]],1,0)+Horaires356[[#This Row],[PNP Début]])</f>
        <v>0</v>
      </c>
      <c r="L17" s="50">
        <f>IF(Horaires356[[#This Row],[PNP Fin]]=0,0,IF(Horaires356[[#This Row],[PNP Fin]]&lt;Horaires356[[#This Row],[début]],1,0)+Horaires356[[#This Row],[PNP Fin]])</f>
        <v>0</v>
      </c>
      <c r="M17" s="50">
        <f>IF(Horaires356[[#This Row],[Fin]]&lt;Horaires356[[#This Row],[début]],1,0)+Horaires356[[#This Row],[Fin]]</f>
        <v>0</v>
      </c>
      <c r="N17" s="41">
        <f>MAX(0,MIN(Horaires356[[#This Row],[Fin corrigée si nuit]],fin_nuit)-MAX(Horaires356[[#This Row],[début]],deb_nuit))*24</f>
        <v>0</v>
      </c>
      <c r="O17" s="51">
        <f>(MAX(0,MIN(Horaires356[[#This Row],[Fin corrigée si nuit]],fin_nuit)-MAX(Horaires356[[#This Row],[début]],deb_nuit))-IF(Horaires356[[#This Row],[PNP Début]]=0,0,MIN(Horaires356[[#This Row],[PNP Fin corrigée]],fin_nuit)-MAX(Horaires356[[#This Row],[PNP Début corrigé]],deb_nuit)))*24</f>
        <v>0</v>
      </c>
      <c r="P17" s="51">
        <f>(IF(WEEKDAY(Horaires356[[#This Row],[Date]],2)=7,MAX(0,MIN(fin_dimJF,Horaires356[[#This Row],[Fin corrigée si nuit]])-MAX(deb_dimJF,Horaires356[[#This Row],[début]])),0)+IF(WEEKDAY(Horaires356[[#This Row],[Date]],2)=6,MAX(0,Horaires356[[#This Row],[Fin corrigée si nuit]]-(1+deb_dimJF)),0))*24</f>
        <v>0</v>
      </c>
      <c r="Q17" s="5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17" s="51">
        <f>(IF(COUNTIF(JF,Horaires356[[#This Row],[Date]]),MAX(0,MIN(fin_dimJF,Horaires356[[#This Row],[Fin corrigée si nuit]])-MAX(deb_dimJF,Horaires356[[#This Row],[début]])),0)+IF(COUNTIF(JF,Horaires356[[#This Row],[Date]]+1),MAX(0,Horaires356[[#This Row],[Fin corrigée si nuit]]-(1+deb_dimJF)),0))*24</f>
        <v>0</v>
      </c>
      <c r="S17" s="51">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18" spans="1:19" x14ac:dyDescent="0.35">
      <c r="A18" s="9"/>
      <c r="B18" s="69"/>
      <c r="C18" s="16"/>
      <c r="D18" s="16"/>
      <c r="E18" s="17"/>
      <c r="F18" s="17"/>
      <c r="G18" s="17"/>
      <c r="H18" s="17"/>
      <c r="I18" s="47">
        <f>0.1*(Horaires356[[#This Row],[Heures de nuit]]+Horaires356[[#This Row],[heures jour dimanche]]+Horaires356[[#This Row],[heures jour fériés]])</f>
        <v>0</v>
      </c>
      <c r="J18" s="48">
        <f>(MOD(Horaires356[[#This Row],[Fin]]-Horaires356[[#This Row],[début]],1)-MOD(Horaires356[[#This Row],[PNP Fin]]-Horaires356[[#This Row],[PNP Début]],1))*24</f>
        <v>0</v>
      </c>
      <c r="K18" s="49">
        <f>IF(Horaires356[[#This Row],[PNP Début]]=0,0,IF(Horaires356[[#This Row],[PNP Début]]&lt;Horaires356[[#This Row],[début]],1,0)+Horaires356[[#This Row],[PNP Début]])</f>
        <v>0</v>
      </c>
      <c r="L18" s="50">
        <f>IF(Horaires356[[#This Row],[PNP Fin]]=0,0,IF(Horaires356[[#This Row],[PNP Fin]]&lt;Horaires356[[#This Row],[début]],1,0)+Horaires356[[#This Row],[PNP Fin]])</f>
        <v>0</v>
      </c>
      <c r="M18" s="50">
        <f>IF(Horaires356[[#This Row],[Fin]]&lt;Horaires356[[#This Row],[début]],1,0)+Horaires356[[#This Row],[Fin]]</f>
        <v>0</v>
      </c>
      <c r="N18" s="41">
        <f>MAX(0,MIN(Horaires356[[#This Row],[Fin corrigée si nuit]],fin_nuit)-MAX(Horaires356[[#This Row],[début]],deb_nuit))*24</f>
        <v>0</v>
      </c>
      <c r="O18" s="51">
        <f>(MAX(0,MIN(Horaires356[[#This Row],[Fin corrigée si nuit]],fin_nuit)-MAX(Horaires356[[#This Row],[début]],deb_nuit))-IF(Horaires356[[#This Row],[PNP Début]]=0,0,MIN(Horaires356[[#This Row],[PNP Fin corrigée]],fin_nuit)-MAX(Horaires356[[#This Row],[PNP Début corrigé]],deb_nuit)))*24</f>
        <v>0</v>
      </c>
      <c r="P18" s="51">
        <f>(IF(WEEKDAY(Horaires356[[#This Row],[Date]],2)=7,MAX(0,MIN(fin_dimJF,Horaires356[[#This Row],[Fin corrigée si nuit]])-MAX(deb_dimJF,Horaires356[[#This Row],[début]])),0)+IF(WEEKDAY(Horaires356[[#This Row],[Date]],2)=6,MAX(0,Horaires356[[#This Row],[Fin corrigée si nuit]]-(1+deb_dimJF)),0))*24</f>
        <v>0</v>
      </c>
      <c r="Q18" s="5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18" s="51">
        <f>(IF(COUNTIF(JF,Horaires356[[#This Row],[Date]]),MAX(0,MIN(fin_dimJF,Horaires356[[#This Row],[Fin corrigée si nuit]])-MAX(deb_dimJF,Horaires356[[#This Row],[début]])),0)+IF(COUNTIF(JF,Horaires356[[#This Row],[Date]]+1),MAX(0,Horaires356[[#This Row],[Fin corrigée si nuit]]-(1+deb_dimJF)),0))*24</f>
        <v>0</v>
      </c>
      <c r="S18" s="51">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19" spans="1:19" x14ac:dyDescent="0.35">
      <c r="A19" s="74">
        <v>43108</v>
      </c>
      <c r="B19" s="75"/>
      <c r="C19" s="81">
        <v>0.95833333333333337</v>
      </c>
      <c r="D19" s="81">
        <v>8.3333333333333329E-2</v>
      </c>
      <c r="E19" s="76">
        <v>0</v>
      </c>
      <c r="F19" s="76">
        <v>1.0416666666666666E-2</v>
      </c>
      <c r="G19" s="81"/>
      <c r="H19" s="81"/>
      <c r="I19" s="82">
        <f>0.1*(Horaires356[[#This Row],[Heures de nuit]]+Horaires356[[#This Row],[heures jour dimanche]]+Horaires356[[#This Row],[heures jour fériés]])</f>
        <v>0.29999999999999977</v>
      </c>
      <c r="J19" s="82">
        <f>(MOD(Horaires356[[#This Row],[Fin]]-Horaires356[[#This Row],[début]],1)-MOD(Horaires356[[#This Row],[PNP Fin]]-Horaires356[[#This Row],[PNP Début]],1))*24</f>
        <v>3</v>
      </c>
      <c r="K19" s="49">
        <f>IF(Horaires356[[#This Row],[PNP Début]]=0,0,IF(Horaires356[[#This Row],[PNP Début]]&lt;Horaires356[[#This Row],[début]],1,0)+Horaires356[[#This Row],[PNP Début]])</f>
        <v>0</v>
      </c>
      <c r="L19" s="50">
        <f>IF(Horaires356[[#This Row],[PNP Fin]]=0,0,IF(Horaires356[[#This Row],[PNP Fin]]&lt;Horaires356[[#This Row],[début]],1,0)+Horaires356[[#This Row],[PNP Fin]])</f>
        <v>0</v>
      </c>
      <c r="M19" s="50">
        <f>IF(Horaires356[[#This Row],[Fin]]&lt;Horaires356[[#This Row],[début]],1,0)+Horaires356[[#This Row],[Fin]]</f>
        <v>1.0833333333333333</v>
      </c>
      <c r="N19" s="41">
        <f>MAX(0,MIN(Horaires356[[#This Row],[Fin corrigée si nuit]],fin_nuit)-MAX(Horaires356[[#This Row],[début]],deb_nuit))*24</f>
        <v>2.9999999999999973</v>
      </c>
      <c r="O19" s="51">
        <f>(MAX(0,MIN(Horaires356[[#This Row],[Fin corrigée si nuit]],fin_nuit)-MAX(Horaires356[[#This Row],[début]],deb_nuit))-IF(Horaires356[[#This Row],[PNP Début]]=0,0,MIN(Horaires356[[#This Row],[PNP Fin corrigée]],fin_nuit)-MAX(Horaires356[[#This Row],[PNP Début corrigé]],deb_nuit)))*24</f>
        <v>2.9999999999999973</v>
      </c>
      <c r="P19" s="51">
        <f>(IF(WEEKDAY(Horaires356[[#This Row],[Date]],2)=7,MAX(0,MIN(fin_dimJF,Horaires356[[#This Row],[Fin corrigée si nuit]])-MAX(deb_dimJF,Horaires356[[#This Row],[début]])),0)+IF(WEEKDAY(Horaires356[[#This Row],[Date]],2)=6,MAX(0,Horaires356[[#This Row],[Fin corrigée si nuit]]-(1+deb_dimJF)),0))*24</f>
        <v>0</v>
      </c>
      <c r="Q19" s="5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19" s="51">
        <f>(IF(COUNTIF(JF,Horaires356[[#This Row],[Date]]),MAX(0,MIN(fin_dimJF,Horaires356[[#This Row],[Fin corrigée si nuit]])-MAX(deb_dimJF,Horaires356[[#This Row],[début]])),0)+IF(COUNTIF(JF,Horaires356[[#This Row],[Date]]+1),MAX(0,Horaires356[[#This Row],[Fin corrigée si nuit]]-(1+deb_dimJF)),0))*24</f>
        <v>0</v>
      </c>
      <c r="S19" s="51">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0" spans="1:19" x14ac:dyDescent="0.35">
      <c r="A20" s="74">
        <v>43109</v>
      </c>
      <c r="B20" s="75"/>
      <c r="C20" s="81">
        <v>0.99930555555555556</v>
      </c>
      <c r="D20" s="81">
        <v>0.125</v>
      </c>
      <c r="E20" s="81">
        <v>4.1666666666666664E-2</v>
      </c>
      <c r="F20" s="81">
        <v>5.2083333333333336E-2</v>
      </c>
      <c r="G20" s="81"/>
      <c r="H20" s="81"/>
      <c r="I20" s="82">
        <f>0.1*(Horaires356[[#This Row],[Heures de nuit]]+Horaires356[[#This Row],[heures jour dimanche]]+Horaires356[[#This Row],[heures jour fériés]])</f>
        <v>0.30166666666666669</v>
      </c>
      <c r="J20" s="82">
        <f>(MOD(Horaires356[[#This Row],[Fin]]-Horaires356[[#This Row],[début]],1)-MOD(Horaires356[[#This Row],[PNP Fin]]-Horaires356[[#This Row],[PNP Début]],1))*24</f>
        <v>3.0166666666666666</v>
      </c>
      <c r="K20" s="49">
        <f>IF(Horaires356[[#This Row],[PNP Début]]=0,0,IF(Horaires356[[#This Row],[PNP Début]]&lt;Horaires356[[#This Row],[début]],1,0)+Horaires356[[#This Row],[PNP Début]])</f>
        <v>0</v>
      </c>
      <c r="L20" s="50">
        <f>IF(Horaires356[[#This Row],[PNP Fin]]=0,0,IF(Horaires356[[#This Row],[PNP Fin]]&lt;Horaires356[[#This Row],[début]],1,0)+Horaires356[[#This Row],[PNP Fin]])</f>
        <v>0</v>
      </c>
      <c r="M20" s="50">
        <f>IF(Horaires356[[#This Row],[Fin]]&lt;Horaires356[[#This Row],[début]],1,0)+Horaires356[[#This Row],[Fin]]</f>
        <v>1.125</v>
      </c>
      <c r="N20" s="41">
        <f>MAX(0,MIN(Horaires356[[#This Row],[Fin corrigée si nuit]],fin_nuit)-MAX(Horaires356[[#This Row],[début]],deb_nuit))*24</f>
        <v>3.0166666666666666</v>
      </c>
      <c r="O20" s="51">
        <f>(MAX(0,MIN(Horaires356[[#This Row],[Fin corrigée si nuit]],fin_nuit)-MAX(Horaires356[[#This Row],[début]],deb_nuit))-IF(Horaires356[[#This Row],[PNP Début]]=0,0,MIN(Horaires356[[#This Row],[PNP Fin corrigée]],fin_nuit)-MAX(Horaires356[[#This Row],[PNP Début corrigé]],deb_nuit)))*24</f>
        <v>3.0166666666666666</v>
      </c>
      <c r="P20" s="51">
        <f>(IF(WEEKDAY(Horaires356[[#This Row],[Date]],2)=7,MAX(0,MIN(fin_dimJF,Horaires356[[#This Row],[Fin corrigée si nuit]])-MAX(deb_dimJF,Horaires356[[#This Row],[début]])),0)+IF(WEEKDAY(Horaires356[[#This Row],[Date]],2)=6,MAX(0,Horaires356[[#This Row],[Fin corrigée si nuit]]-(1+deb_dimJF)),0))*24</f>
        <v>0</v>
      </c>
      <c r="Q20" s="51">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0" s="51">
        <f>(IF(COUNTIF(JF,Horaires356[[#This Row],[Date]]),MAX(0,MIN(fin_dimJF,Horaires356[[#This Row],[Fin corrigée si nuit]])-MAX(deb_dimJF,Horaires356[[#This Row],[début]])),0)+IF(COUNTIF(JF,Horaires356[[#This Row],[Date]]+1),MAX(0,Horaires356[[#This Row],[Fin corrigée si nuit]]-(1+deb_dimJF)),0))*24</f>
        <v>0</v>
      </c>
      <c r="S20" s="51">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1" spans="1:19" x14ac:dyDescent="0.35">
      <c r="A21" s="9"/>
      <c r="B21" s="10"/>
      <c r="C21" s="18"/>
      <c r="D21" s="18"/>
      <c r="E21" s="3"/>
      <c r="F21" s="3"/>
      <c r="G21" s="19"/>
      <c r="H21" s="19"/>
      <c r="I21" s="52">
        <f>0.1*(Horaires356[[#This Row],[Heures de nuit]]+Horaires356[[#This Row],[heures jour dimanche]]+Horaires356[[#This Row],[heures jour fériés]])</f>
        <v>0</v>
      </c>
      <c r="J21" s="53">
        <f>(MOD(Horaires356[[#This Row],[Fin]]-Horaires356[[#This Row],[début]],1)-MOD(Horaires356[[#This Row],[PNP Fin]]-Horaires356[[#This Row],[PNP Début]],1))*24</f>
        <v>0</v>
      </c>
      <c r="K21" s="54">
        <f>IF(Horaires356[[#This Row],[PNP Début]]=0,0,IF(Horaires356[[#This Row],[PNP Début]]&lt;Horaires356[[#This Row],[début]],1,0)+Horaires356[[#This Row],[PNP Début]])</f>
        <v>0</v>
      </c>
      <c r="L21" s="55">
        <f>IF(Horaires356[[#This Row],[PNP Fin]]=0,0,IF(Horaires356[[#This Row],[PNP Fin]]&lt;Horaires356[[#This Row],[début]],1,0)+Horaires356[[#This Row],[PNP Fin]])</f>
        <v>0</v>
      </c>
      <c r="M21" s="55">
        <f>IF(Horaires356[[#This Row],[Fin]]&lt;Horaires356[[#This Row],[début]],1,0)+Horaires356[[#This Row],[Fin]]</f>
        <v>0</v>
      </c>
      <c r="N21" s="41">
        <f>MAX(0,MIN(Horaires356[[#This Row],[Fin corrigée si nuit]],fin_nuit)-MAX(Horaires356[[#This Row],[début]],deb_nuit))*24</f>
        <v>0</v>
      </c>
      <c r="O21" s="56">
        <f>(MAX(0,MIN(Horaires356[[#This Row],[Fin corrigée si nuit]],fin_nuit)-MAX(Horaires356[[#This Row],[début]],deb_nuit))-IF(Horaires356[[#This Row],[PNP Début]]=0,0,MIN(Horaires356[[#This Row],[PNP Fin corrigée]],fin_nuit)-MAX(Horaires356[[#This Row],[PNP Début corrigé]],deb_nuit)))*24</f>
        <v>0</v>
      </c>
      <c r="P21" s="56">
        <f>(IF(WEEKDAY(Horaires356[[#This Row],[Date]],2)=7,MAX(0,MIN(fin_dimJF,Horaires356[[#This Row],[Fin corrigée si nuit]])-MAX(deb_dimJF,Horaires356[[#This Row],[début]])),0)+IF(WEEKDAY(Horaires356[[#This Row],[Date]],2)=6,MAX(0,Horaires356[[#This Row],[Fin corrigée si nuit]]-(1+deb_dimJF)),0))*24</f>
        <v>0</v>
      </c>
      <c r="Q21" s="56">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1" s="56">
        <f>(IF(COUNTIF(JF,Horaires356[[#This Row],[Date]]),MAX(0,MIN(fin_dimJF,Horaires356[[#This Row],[Fin corrigée si nuit]])-MAX(deb_dimJF,Horaires356[[#This Row],[début]])),0)+IF(COUNTIF(JF,Horaires356[[#This Row],[Date]]+1),MAX(0,Horaires356[[#This Row],[Fin corrigée si nuit]]-(1+deb_dimJF)),0))*24</f>
        <v>0</v>
      </c>
      <c r="S21" s="56">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2" spans="1:19" x14ac:dyDescent="0.35">
      <c r="A22" s="9"/>
      <c r="B22" s="1"/>
      <c r="C22" s="18"/>
      <c r="D22" s="18"/>
      <c r="E22" s="3"/>
      <c r="F22" s="3"/>
      <c r="G22" s="3"/>
      <c r="H22" s="3"/>
      <c r="I22" s="57">
        <f>0.1*(Horaires356[[#This Row],[Heures de nuit]]+Horaires356[[#This Row],[heures jour dimanche]]+Horaires356[[#This Row],[heures jour fériés]])</f>
        <v>0</v>
      </c>
      <c r="J22" s="58">
        <f>(MOD(Horaires356[[#This Row],[Fin]]-Horaires356[[#This Row],[début]],1)-MOD(Horaires356[[#This Row],[PNP Fin]]-Horaires356[[#This Row],[PNP Début]],1))*24</f>
        <v>0</v>
      </c>
      <c r="K22" s="59">
        <f>IF(Horaires356[[#This Row],[PNP Début]]=0,0,IF(Horaires356[[#This Row],[PNP Début]]&lt;Horaires356[[#This Row],[début]],1,0)+Horaires356[[#This Row],[PNP Début]])</f>
        <v>0</v>
      </c>
      <c r="L22" s="60">
        <f>IF(Horaires356[[#This Row],[PNP Fin]]=0,0,IF(Horaires356[[#This Row],[PNP Fin]]&lt;Horaires356[[#This Row],[début]],1,0)+Horaires356[[#This Row],[PNP Fin]])</f>
        <v>0</v>
      </c>
      <c r="M22" s="60">
        <f>IF(Horaires356[[#This Row],[Fin]]&lt;Horaires356[[#This Row],[début]],1,0)+Horaires356[[#This Row],[Fin]]</f>
        <v>0</v>
      </c>
      <c r="N22" s="61">
        <f>MAX(0,MIN(Horaires356[[#This Row],[Fin corrigée si nuit]],fin_nuit)-MAX(Horaires356[[#This Row],[début]],deb_nuit))*24</f>
        <v>0</v>
      </c>
      <c r="O22" s="62">
        <f>(MAX(0,MIN(Horaires356[[#This Row],[Fin corrigée si nuit]],fin_nuit)-MAX(Horaires356[[#This Row],[début]],deb_nuit))-IF(Horaires356[[#This Row],[PNP Début]]=0,0,MIN(Horaires356[[#This Row],[PNP Fin corrigée]],fin_nuit)-MAX(Horaires356[[#This Row],[PNP Début corrigé]],deb_nuit)))*24</f>
        <v>0</v>
      </c>
      <c r="P22" s="62">
        <f>(IF(WEEKDAY(Horaires356[[#This Row],[Date]],2)=7,MAX(0,MIN(fin_dimJF,Horaires356[[#This Row],[Fin corrigée si nuit]])-MAX(deb_dimJF,Horaires356[[#This Row],[début]])),0)+IF(WEEKDAY(Horaires356[[#This Row],[Date]],2)=6,MAX(0,Horaires356[[#This Row],[Fin corrigée si nuit]]-(1+deb_dimJF)),0))*24</f>
        <v>0</v>
      </c>
      <c r="Q22"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2" s="62">
        <f>(IF(COUNTIF(JF,Horaires356[[#This Row],[Date]]),MAX(0,MIN(fin_dimJF,Horaires356[[#This Row],[Fin corrigée si nuit]])-MAX(deb_dimJF,Horaires356[[#This Row],[début]])),0)+IF(COUNTIF(JF,Horaires356[[#This Row],[Date]]+1),MAX(0,Horaires356[[#This Row],[Fin corrigée si nuit]]-(1+deb_dimJF)),0))*24</f>
        <v>0</v>
      </c>
      <c r="S22"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3" spans="1:19" x14ac:dyDescent="0.35">
      <c r="A23" s="9">
        <v>43110</v>
      </c>
      <c r="B23" s="1"/>
      <c r="C23" s="18">
        <v>0</v>
      </c>
      <c r="D23" s="18">
        <v>0.125</v>
      </c>
      <c r="E23" s="3"/>
      <c r="F23" s="3"/>
      <c r="G23" s="3"/>
      <c r="H23" s="3"/>
      <c r="I23" s="57">
        <f>0.1*(Horaires356[[#This Row],[Heures de nuit]]+Horaires356[[#This Row],[heures jour dimanche]]+Horaires356[[#This Row],[heures jour fériés]])</f>
        <v>0</v>
      </c>
      <c r="J23" s="58">
        <f>(MOD(Horaires356[[#This Row],[Fin]]-Horaires356[[#This Row],[début]],1)-MOD(Horaires356[[#This Row],[PNP Fin]]-Horaires356[[#This Row],[PNP Début]],1))*24</f>
        <v>3</v>
      </c>
      <c r="K23" s="59">
        <f>IF(Horaires356[[#This Row],[PNP Début]]=0,0,IF(Horaires356[[#This Row],[PNP Début]]&lt;Horaires356[[#This Row],[début]],1,0)+Horaires356[[#This Row],[PNP Début]])</f>
        <v>0</v>
      </c>
      <c r="L23" s="60">
        <f>IF(Horaires356[[#This Row],[PNP Fin]]=0,0,IF(Horaires356[[#This Row],[PNP Fin]]&lt;Horaires356[[#This Row],[début]],1,0)+Horaires356[[#This Row],[PNP Fin]])</f>
        <v>0</v>
      </c>
      <c r="M23" s="60">
        <f>IF(Horaires356[[#This Row],[Fin]]&lt;Horaires356[[#This Row],[début]],1,0)+Horaires356[[#This Row],[Fin]]</f>
        <v>0.125</v>
      </c>
      <c r="N23" s="61">
        <f>MAX(0,MIN(Horaires356[[#This Row],[Fin corrigée si nuit]],fin_nuit)-MAX(Horaires356[[#This Row],[début]],deb_nuit))*24</f>
        <v>0</v>
      </c>
      <c r="O23" s="62">
        <f>(MAX(0,MIN(Horaires356[[#This Row],[Fin corrigée si nuit]],fin_nuit)-MAX(Horaires356[[#This Row],[début]],deb_nuit))-IF(Horaires356[[#This Row],[PNP Début]]=0,0,MIN(Horaires356[[#This Row],[PNP Fin corrigée]],fin_nuit)-MAX(Horaires356[[#This Row],[PNP Début corrigé]],deb_nuit)))*24</f>
        <v>0</v>
      </c>
      <c r="P23" s="62">
        <f>(IF(WEEKDAY(Horaires356[[#This Row],[Date]],2)=7,MAX(0,MIN(fin_dimJF,Horaires356[[#This Row],[Fin corrigée si nuit]])-MAX(deb_dimJF,Horaires356[[#This Row],[début]])),0)+IF(WEEKDAY(Horaires356[[#This Row],[Date]],2)=6,MAX(0,Horaires356[[#This Row],[Fin corrigée si nuit]]-(1+deb_dimJF)),0))*24</f>
        <v>0</v>
      </c>
      <c r="Q23"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3" s="62">
        <f>(IF(COUNTIF(JF,Horaires356[[#This Row],[Date]]),MAX(0,MIN(fin_dimJF,Horaires356[[#This Row],[Fin corrigée si nuit]])-MAX(deb_dimJF,Horaires356[[#This Row],[début]])),0)+IF(COUNTIF(JF,Horaires356[[#This Row],[Date]]+1),MAX(0,Horaires356[[#This Row],[Fin corrigée si nuit]]-(1+deb_dimJF)),0))*24</f>
        <v>0</v>
      </c>
      <c r="S23"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4" spans="1:19" x14ac:dyDescent="0.35">
      <c r="A24" s="9">
        <v>43111</v>
      </c>
      <c r="B24" s="1"/>
      <c r="C24" s="2">
        <v>0.16666666666666666</v>
      </c>
      <c r="D24" s="2">
        <v>0.25</v>
      </c>
      <c r="E24" s="3"/>
      <c r="F24" s="3"/>
      <c r="G24" s="3"/>
      <c r="H24" s="3"/>
      <c r="I24" s="57">
        <f>0.1*(Horaires356[[#This Row],[Heures de nuit]]+Horaires356[[#This Row],[heures jour dimanche]]+Horaires356[[#This Row],[heures jour fériés]])</f>
        <v>0</v>
      </c>
      <c r="J24" s="58">
        <f>(MOD(Horaires356[[#This Row],[Fin]]-Horaires356[[#This Row],[début]],1)-MOD(Horaires356[[#This Row],[PNP Fin]]-Horaires356[[#This Row],[PNP Début]],1))*24</f>
        <v>2</v>
      </c>
      <c r="K24" s="59">
        <f>IF(Horaires356[[#This Row],[PNP Début]]=0,0,IF(Horaires356[[#This Row],[PNP Début]]&lt;Horaires356[[#This Row],[début]],1,0)+Horaires356[[#This Row],[PNP Début]])</f>
        <v>0</v>
      </c>
      <c r="L24" s="60">
        <f>IF(Horaires356[[#This Row],[PNP Fin]]=0,0,IF(Horaires356[[#This Row],[PNP Fin]]&lt;Horaires356[[#This Row],[début]],1,0)+Horaires356[[#This Row],[PNP Fin]])</f>
        <v>0</v>
      </c>
      <c r="M24" s="60">
        <f>IF(Horaires356[[#This Row],[Fin]]&lt;Horaires356[[#This Row],[début]],1,0)+Horaires356[[#This Row],[Fin]]</f>
        <v>0.25</v>
      </c>
      <c r="N24" s="61">
        <f>MAX(0,MIN(Horaires356[[#This Row],[Fin corrigée si nuit]],fin_nuit)-MAX(Horaires356[[#This Row],[début]],deb_nuit))*24</f>
        <v>0</v>
      </c>
      <c r="O24" s="62">
        <f>(MAX(0,MIN(Horaires356[[#This Row],[Fin corrigée si nuit]],fin_nuit)-MAX(Horaires356[[#This Row],[début]],deb_nuit))-IF(Horaires356[[#This Row],[PNP Début]]=0,0,MIN(Horaires356[[#This Row],[PNP Fin corrigée]],fin_nuit)-MAX(Horaires356[[#This Row],[PNP Début corrigé]],deb_nuit)))*24</f>
        <v>0</v>
      </c>
      <c r="P24" s="62">
        <f>(IF(WEEKDAY(Horaires356[[#This Row],[Date]],2)=7,MAX(0,MIN(fin_dimJF,Horaires356[[#This Row],[Fin corrigée si nuit]])-MAX(deb_dimJF,Horaires356[[#This Row],[début]])),0)+IF(WEEKDAY(Horaires356[[#This Row],[Date]],2)=6,MAX(0,Horaires356[[#This Row],[Fin corrigée si nuit]]-(1+deb_dimJF)),0))*24</f>
        <v>0</v>
      </c>
      <c r="Q24"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4" s="62">
        <f>(IF(COUNTIF(JF,Horaires356[[#This Row],[Date]]),MAX(0,MIN(fin_dimJF,Horaires356[[#This Row],[Fin corrigée si nuit]])-MAX(deb_dimJF,Horaires356[[#This Row],[début]])),0)+IF(COUNTIF(JF,Horaires356[[#This Row],[Date]]+1),MAX(0,Horaires356[[#This Row],[Fin corrigée si nuit]]-(1+deb_dimJF)),0))*24</f>
        <v>0</v>
      </c>
      <c r="S24"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5" spans="1:19" x14ac:dyDescent="0.35">
      <c r="A25" s="9"/>
      <c r="B25" s="1"/>
      <c r="C25" s="2"/>
      <c r="D25" s="2"/>
      <c r="E25" s="3"/>
      <c r="F25" s="3"/>
      <c r="G25" s="3"/>
      <c r="H25" s="3"/>
      <c r="I25" s="57">
        <f>0.1*(Horaires356[[#This Row],[Heures de nuit]]+Horaires356[[#This Row],[heures jour dimanche]]+Horaires356[[#This Row],[heures jour fériés]])</f>
        <v>0</v>
      </c>
      <c r="J25" s="58">
        <f>(MOD(Horaires356[[#This Row],[Fin]]-Horaires356[[#This Row],[début]],1)-MOD(Horaires356[[#This Row],[PNP Fin]]-Horaires356[[#This Row],[PNP Début]],1))*24</f>
        <v>0</v>
      </c>
      <c r="K25" s="59">
        <f>IF(Horaires356[[#This Row],[PNP Début]]=0,0,IF(Horaires356[[#This Row],[PNP Début]]&lt;Horaires356[[#This Row],[début]],1,0)+Horaires356[[#This Row],[PNP Début]])</f>
        <v>0</v>
      </c>
      <c r="L25" s="60">
        <f>IF(Horaires356[[#This Row],[PNP Fin]]=0,0,IF(Horaires356[[#This Row],[PNP Fin]]&lt;Horaires356[[#This Row],[début]],1,0)+Horaires356[[#This Row],[PNP Fin]])</f>
        <v>0</v>
      </c>
      <c r="M25" s="60">
        <f>IF(Horaires356[[#This Row],[Fin]]&lt;Horaires356[[#This Row],[début]],1,0)+Horaires356[[#This Row],[Fin]]</f>
        <v>0</v>
      </c>
      <c r="N25" s="61">
        <f>MAX(0,MIN(Horaires356[[#This Row],[Fin corrigée si nuit]],fin_nuit)-MAX(Horaires356[[#This Row],[début]],deb_nuit))*24</f>
        <v>0</v>
      </c>
      <c r="O25" s="62">
        <f>(MAX(0,MIN(Horaires356[[#This Row],[Fin corrigée si nuit]],fin_nuit)-MAX(Horaires356[[#This Row],[début]],deb_nuit))-IF(Horaires356[[#This Row],[PNP Début]]=0,0,MIN(Horaires356[[#This Row],[PNP Fin corrigée]],fin_nuit)-MAX(Horaires356[[#This Row],[PNP Début corrigé]],deb_nuit)))*24</f>
        <v>0</v>
      </c>
      <c r="P25" s="62">
        <f>(IF(WEEKDAY(Horaires356[[#This Row],[Date]],2)=7,MAX(0,MIN(fin_dimJF,Horaires356[[#This Row],[Fin corrigée si nuit]])-MAX(deb_dimJF,Horaires356[[#This Row],[début]])),0)+IF(WEEKDAY(Horaires356[[#This Row],[Date]],2)=6,MAX(0,Horaires356[[#This Row],[Fin corrigée si nuit]]-(1+deb_dimJF)),0))*24</f>
        <v>0</v>
      </c>
      <c r="Q25"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5" s="62">
        <f>(IF(COUNTIF(JF,Horaires356[[#This Row],[Date]]),MAX(0,MIN(fin_dimJF,Horaires356[[#This Row],[Fin corrigée si nuit]])-MAX(deb_dimJF,Horaires356[[#This Row],[début]])),0)+IF(COUNTIF(JF,Horaires356[[#This Row],[Date]]+1),MAX(0,Horaires356[[#This Row],[Fin corrigée si nuit]]-(1+deb_dimJF)),0))*24</f>
        <v>0</v>
      </c>
      <c r="S25"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6" spans="1:19" ht="21" customHeight="1" x14ac:dyDescent="0.35">
      <c r="A26" s="9"/>
      <c r="B26" s="1"/>
      <c r="C26" s="2"/>
      <c r="D26" s="2"/>
      <c r="E26" s="3"/>
      <c r="F26" s="3"/>
      <c r="G26" s="3"/>
      <c r="H26" s="3"/>
      <c r="I26" s="57">
        <f>0.1*(Horaires356[[#This Row],[Heures de nuit]]+Horaires356[[#This Row],[heures jour dimanche]]+Horaires356[[#This Row],[heures jour fériés]])</f>
        <v>0</v>
      </c>
      <c r="J26" s="58">
        <f>(MOD(Horaires356[[#This Row],[Fin]]-Horaires356[[#This Row],[début]],1)-MOD(Horaires356[[#This Row],[PNP Fin]]-Horaires356[[#This Row],[PNP Début]],1))*24</f>
        <v>0</v>
      </c>
      <c r="K26" s="59">
        <f>IF(Horaires356[[#This Row],[PNP Début]]=0,0,IF(Horaires356[[#This Row],[PNP Début]]&lt;Horaires356[[#This Row],[début]],1,0)+Horaires356[[#This Row],[PNP Début]])</f>
        <v>0</v>
      </c>
      <c r="L26" s="60">
        <f>IF(Horaires356[[#This Row],[PNP Fin]]=0,0,IF(Horaires356[[#This Row],[PNP Fin]]&lt;Horaires356[[#This Row],[début]],1,0)+Horaires356[[#This Row],[PNP Fin]])</f>
        <v>0</v>
      </c>
      <c r="M26" s="60">
        <f>IF(Horaires356[[#This Row],[Fin]]&lt;Horaires356[[#This Row],[début]],1,0)+Horaires356[[#This Row],[Fin]]</f>
        <v>0</v>
      </c>
      <c r="N26" s="61">
        <f>MAX(0,MIN(Horaires356[[#This Row],[Fin corrigée si nuit]],fin_nuit)-MAX(Horaires356[[#This Row],[début]],deb_nuit))*24</f>
        <v>0</v>
      </c>
      <c r="O26" s="62">
        <f>(MAX(0,MIN(Horaires356[[#This Row],[Fin corrigée si nuit]],fin_nuit)-MAX(Horaires356[[#This Row],[début]],deb_nuit))-IF(Horaires356[[#This Row],[PNP Début]]=0,0,MIN(Horaires356[[#This Row],[PNP Fin corrigée]],fin_nuit)-MAX(Horaires356[[#This Row],[PNP Début corrigé]],deb_nuit)))*24</f>
        <v>0</v>
      </c>
      <c r="P26" s="62">
        <f>(IF(WEEKDAY(Horaires356[[#This Row],[Date]],2)=7,MAX(0,MIN(fin_dimJF,Horaires356[[#This Row],[Fin corrigée si nuit]])-MAX(deb_dimJF,Horaires356[[#This Row],[début]])),0)+IF(WEEKDAY(Horaires356[[#This Row],[Date]],2)=6,MAX(0,Horaires356[[#This Row],[Fin corrigée si nuit]]-(1+deb_dimJF)),0))*24</f>
        <v>0</v>
      </c>
      <c r="Q26"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6" s="62">
        <f>(IF(COUNTIF(JF,Horaires356[[#This Row],[Date]]),MAX(0,MIN(fin_dimJF,Horaires356[[#This Row],[Fin corrigée si nuit]])-MAX(deb_dimJF,Horaires356[[#This Row],[début]])),0)+IF(COUNTIF(JF,Horaires356[[#This Row],[Date]]+1),MAX(0,Horaires356[[#This Row],[Fin corrigée si nuit]]-(1+deb_dimJF)),0))*24</f>
        <v>0</v>
      </c>
      <c r="S26"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7" spans="1:19" x14ac:dyDescent="0.35">
      <c r="A27" s="83">
        <v>43112</v>
      </c>
      <c r="B27" s="84" t="s">
        <v>63</v>
      </c>
      <c r="C27" s="85">
        <v>0.33333333333333331</v>
      </c>
      <c r="D27" s="85">
        <v>0.66666666666666663</v>
      </c>
      <c r="E27" s="85"/>
      <c r="F27" s="85"/>
      <c r="G27" s="85"/>
      <c r="H27" s="85"/>
      <c r="I27" s="86">
        <f>0.1*(Horaires356[[#This Row],[Heures de nuit]]+Horaires356[[#This Row],[heures jour dimanche]]+Horaires356[[#This Row],[heures jour fériés]])</f>
        <v>0</v>
      </c>
      <c r="J27" s="86">
        <f>(MOD(Horaires356[[#This Row],[Fin]]-Horaires356[[#This Row],[début]],1)-MOD(Horaires356[[#This Row],[PNP Fin]]-Horaires356[[#This Row],[PNP Début]],1))*24</f>
        <v>8</v>
      </c>
      <c r="K27" s="59">
        <f>IF(Horaires356[[#This Row],[PNP Début]]=0,0,IF(Horaires356[[#This Row],[PNP Début]]&lt;Horaires356[[#This Row],[début]],1,0)+Horaires356[[#This Row],[PNP Début]])</f>
        <v>0</v>
      </c>
      <c r="L27" s="60">
        <f>IF(Horaires356[[#This Row],[PNP Fin]]=0,0,IF(Horaires356[[#This Row],[PNP Fin]]&lt;Horaires356[[#This Row],[début]],1,0)+Horaires356[[#This Row],[PNP Fin]])</f>
        <v>0</v>
      </c>
      <c r="M27" s="60">
        <f>IF(Horaires356[[#This Row],[Fin]]&lt;Horaires356[[#This Row],[début]],1,0)+Horaires356[[#This Row],[Fin]]</f>
        <v>0.66666666666666663</v>
      </c>
      <c r="N27" s="61">
        <f>MAX(0,MIN(Horaires356[[#This Row],[Fin corrigée si nuit]],fin_nuit)-MAX(Horaires356[[#This Row],[début]],deb_nuit))*24</f>
        <v>0</v>
      </c>
      <c r="O27" s="62">
        <f>(MAX(0,MIN(Horaires356[[#This Row],[Fin corrigée si nuit]],fin_nuit)-MAX(Horaires356[[#This Row],[début]],deb_nuit))-IF(Horaires356[[#This Row],[PNP Début]]=0,0,MIN(Horaires356[[#This Row],[PNP Fin corrigée]],fin_nuit)-MAX(Horaires356[[#This Row],[PNP Début corrigé]],deb_nuit)))*24</f>
        <v>0</v>
      </c>
      <c r="P27" s="62">
        <f>(IF(WEEKDAY(Horaires356[[#This Row],[Date]],2)=7,MAX(0,MIN(fin_dimJF,Horaires356[[#This Row],[Fin corrigée si nuit]])-MAX(deb_dimJF,Horaires356[[#This Row],[début]])),0)+IF(WEEKDAY(Horaires356[[#This Row],[Date]],2)=6,MAX(0,Horaires356[[#This Row],[Fin corrigée si nuit]]-(1+deb_dimJF)),0))*24</f>
        <v>0</v>
      </c>
      <c r="Q27"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7" s="62">
        <f>(IF(COUNTIF(JF,Horaires356[[#This Row],[Date]]),MAX(0,MIN(fin_dimJF,Horaires356[[#This Row],[Fin corrigée si nuit]])-MAX(deb_dimJF,Horaires356[[#This Row],[début]])),0)+IF(COUNTIF(JF,Horaires356[[#This Row],[Date]]+1),MAX(0,Horaires356[[#This Row],[Fin corrigée si nuit]]-(1+deb_dimJF)),0))*24</f>
        <v>0</v>
      </c>
      <c r="S27"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8" spans="1:19" x14ac:dyDescent="0.35">
      <c r="A28" s="9"/>
      <c r="B28" s="1"/>
      <c r="C28" s="2"/>
      <c r="D28" s="2"/>
      <c r="E28" s="3"/>
      <c r="F28" s="3"/>
      <c r="G28" s="3"/>
      <c r="H28" s="3"/>
      <c r="I28" s="57">
        <f>0.1*(Horaires356[[#This Row],[Heures de nuit]]+Horaires356[[#This Row],[heures jour dimanche]]+Horaires356[[#This Row],[heures jour fériés]])</f>
        <v>0</v>
      </c>
      <c r="J28" s="58">
        <f>(MOD(Horaires356[[#This Row],[Fin]]-Horaires356[[#This Row],[début]],1)-MOD(Horaires356[[#This Row],[PNP Fin]]-Horaires356[[#This Row],[PNP Début]],1))*24</f>
        <v>0</v>
      </c>
      <c r="K28" s="59">
        <f>IF(Horaires356[[#This Row],[PNP Début]]=0,0,IF(Horaires356[[#This Row],[PNP Début]]&lt;Horaires356[[#This Row],[début]],1,0)+Horaires356[[#This Row],[PNP Début]])</f>
        <v>0</v>
      </c>
      <c r="L28" s="60">
        <f>IF(Horaires356[[#This Row],[PNP Fin]]=0,0,IF(Horaires356[[#This Row],[PNP Fin]]&lt;Horaires356[[#This Row],[début]],1,0)+Horaires356[[#This Row],[PNP Fin]])</f>
        <v>0</v>
      </c>
      <c r="M28" s="60">
        <f>IF(Horaires356[[#This Row],[Fin]]&lt;Horaires356[[#This Row],[début]],1,0)+Horaires356[[#This Row],[Fin]]</f>
        <v>0</v>
      </c>
      <c r="N28" s="61">
        <f>MAX(0,MIN(Horaires356[[#This Row],[Fin corrigée si nuit]],fin_nuit)-MAX(Horaires356[[#This Row],[début]],deb_nuit))*24</f>
        <v>0</v>
      </c>
      <c r="O28" s="62">
        <f>(MAX(0,MIN(Horaires356[[#This Row],[Fin corrigée si nuit]],fin_nuit)-MAX(Horaires356[[#This Row],[début]],deb_nuit))-IF(Horaires356[[#This Row],[PNP Début]]=0,0,MIN(Horaires356[[#This Row],[PNP Fin corrigée]],fin_nuit)-MAX(Horaires356[[#This Row],[PNP Début corrigé]],deb_nuit)))*24</f>
        <v>0</v>
      </c>
      <c r="P28" s="62">
        <f>(IF(WEEKDAY(Horaires356[[#This Row],[Date]],2)=7,MAX(0,MIN(fin_dimJF,Horaires356[[#This Row],[Fin corrigée si nuit]])-MAX(deb_dimJF,Horaires356[[#This Row],[début]])),0)+IF(WEEKDAY(Horaires356[[#This Row],[Date]],2)=6,MAX(0,Horaires356[[#This Row],[Fin corrigée si nuit]]-(1+deb_dimJF)),0))*24</f>
        <v>0</v>
      </c>
      <c r="Q28"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8" s="62">
        <f>(IF(COUNTIF(JF,Horaires356[[#This Row],[Date]]),MAX(0,MIN(fin_dimJF,Horaires356[[#This Row],[Fin corrigée si nuit]])-MAX(deb_dimJF,Horaires356[[#This Row],[début]])),0)+IF(COUNTIF(JF,Horaires356[[#This Row],[Date]]+1),MAX(0,Horaires356[[#This Row],[Fin corrigée si nuit]]-(1+deb_dimJF)),0))*24</f>
        <v>0</v>
      </c>
      <c r="S28"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29" spans="1:19" x14ac:dyDescent="0.35">
      <c r="A29" s="9"/>
      <c r="B29" s="1"/>
      <c r="C29" s="2"/>
      <c r="D29" s="2"/>
      <c r="E29" s="3"/>
      <c r="F29" s="3"/>
      <c r="G29" s="3"/>
      <c r="H29" s="3"/>
      <c r="I29" s="57">
        <f>0.1*(Horaires356[[#This Row],[Heures de nuit]]+Horaires356[[#This Row],[heures jour dimanche]]+Horaires356[[#This Row],[heures jour fériés]])</f>
        <v>0</v>
      </c>
      <c r="J29" s="58">
        <f>(MOD(Horaires356[[#This Row],[Fin]]-Horaires356[[#This Row],[début]],1)-MOD(Horaires356[[#This Row],[PNP Fin]]-Horaires356[[#This Row],[PNP Début]],1))*24</f>
        <v>0</v>
      </c>
      <c r="K29" s="59">
        <f>IF(Horaires356[[#This Row],[PNP Début]]=0,0,IF(Horaires356[[#This Row],[PNP Début]]&lt;Horaires356[[#This Row],[début]],1,0)+Horaires356[[#This Row],[PNP Début]])</f>
        <v>0</v>
      </c>
      <c r="L29" s="60">
        <f>IF(Horaires356[[#This Row],[PNP Fin]]=0,0,IF(Horaires356[[#This Row],[PNP Fin]]&lt;Horaires356[[#This Row],[début]],1,0)+Horaires356[[#This Row],[PNP Fin]])</f>
        <v>0</v>
      </c>
      <c r="M29" s="60">
        <f>IF(Horaires356[[#This Row],[Fin]]&lt;Horaires356[[#This Row],[début]],1,0)+Horaires356[[#This Row],[Fin]]</f>
        <v>0</v>
      </c>
      <c r="N29" s="61">
        <f>MAX(0,MIN(Horaires356[[#This Row],[Fin corrigée si nuit]],fin_nuit)-MAX(Horaires356[[#This Row],[début]],deb_nuit))*24</f>
        <v>0</v>
      </c>
      <c r="O29" s="62">
        <f>(MAX(0,MIN(Horaires356[[#This Row],[Fin corrigée si nuit]],fin_nuit)-MAX(Horaires356[[#This Row],[début]],deb_nuit))-IF(Horaires356[[#This Row],[PNP Début]]=0,0,MIN(Horaires356[[#This Row],[PNP Fin corrigée]],fin_nuit)-MAX(Horaires356[[#This Row],[PNP Début corrigé]],deb_nuit)))*24</f>
        <v>0</v>
      </c>
      <c r="P29" s="62">
        <f>(IF(WEEKDAY(Horaires356[[#This Row],[Date]],2)=7,MAX(0,MIN(fin_dimJF,Horaires356[[#This Row],[Fin corrigée si nuit]])-MAX(deb_dimJF,Horaires356[[#This Row],[début]])),0)+IF(WEEKDAY(Horaires356[[#This Row],[Date]],2)=6,MAX(0,Horaires356[[#This Row],[Fin corrigée si nuit]]-(1+deb_dimJF)),0))*24</f>
        <v>0</v>
      </c>
      <c r="Q29"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29" s="62">
        <f>(IF(COUNTIF(JF,Horaires356[[#This Row],[Date]]),MAX(0,MIN(fin_dimJF,Horaires356[[#This Row],[Fin corrigée si nuit]])-MAX(deb_dimJF,Horaires356[[#This Row],[début]])),0)+IF(COUNTIF(JF,Horaires356[[#This Row],[Date]]+1),MAX(0,Horaires356[[#This Row],[Fin corrigée si nuit]]-(1+deb_dimJF)),0))*24</f>
        <v>0</v>
      </c>
      <c r="S29"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0" spans="1:19" x14ac:dyDescent="0.35">
      <c r="A30" s="9"/>
      <c r="B30" s="1"/>
      <c r="C30" s="2"/>
      <c r="D30" s="2"/>
      <c r="E30" s="3"/>
      <c r="F30" s="3"/>
      <c r="G30" s="3"/>
      <c r="H30" s="3"/>
      <c r="I30" s="57">
        <f>0.1*(Horaires356[[#This Row],[Heures de nuit]]+Horaires356[[#This Row],[heures jour dimanche]]+Horaires356[[#This Row],[heures jour fériés]])</f>
        <v>0</v>
      </c>
      <c r="J30" s="58">
        <f>(MOD(Horaires356[[#This Row],[Fin]]-Horaires356[[#This Row],[début]],1)-MOD(Horaires356[[#This Row],[PNP Fin]]-Horaires356[[#This Row],[PNP Début]],1))*24</f>
        <v>0</v>
      </c>
      <c r="K30" s="59">
        <f>IF(Horaires356[[#This Row],[PNP Début]]=0,0,IF(Horaires356[[#This Row],[PNP Début]]&lt;Horaires356[[#This Row],[début]],1,0)+Horaires356[[#This Row],[PNP Début]])</f>
        <v>0</v>
      </c>
      <c r="L30" s="60">
        <f>IF(Horaires356[[#This Row],[PNP Fin]]=0,0,IF(Horaires356[[#This Row],[PNP Fin]]&lt;Horaires356[[#This Row],[début]],1,0)+Horaires356[[#This Row],[PNP Fin]])</f>
        <v>0</v>
      </c>
      <c r="M30" s="60">
        <f>IF(Horaires356[[#This Row],[Fin]]&lt;Horaires356[[#This Row],[début]],1,0)+Horaires356[[#This Row],[Fin]]</f>
        <v>0</v>
      </c>
      <c r="N30" s="61">
        <f>MAX(0,MIN(Horaires356[[#This Row],[Fin corrigée si nuit]],fin_nuit)-MAX(Horaires356[[#This Row],[début]],deb_nuit))*24</f>
        <v>0</v>
      </c>
      <c r="O30" s="62">
        <f>(MAX(0,MIN(Horaires356[[#This Row],[Fin corrigée si nuit]],fin_nuit)-MAX(Horaires356[[#This Row],[début]],deb_nuit))-IF(Horaires356[[#This Row],[PNP Début]]=0,0,MIN(Horaires356[[#This Row],[PNP Fin corrigée]],fin_nuit)-MAX(Horaires356[[#This Row],[PNP Début corrigé]],deb_nuit)))*24</f>
        <v>0</v>
      </c>
      <c r="P30" s="62">
        <f>(IF(WEEKDAY(Horaires356[[#This Row],[Date]],2)=7,MAX(0,MIN(fin_dimJF,Horaires356[[#This Row],[Fin corrigée si nuit]])-MAX(deb_dimJF,Horaires356[[#This Row],[début]])),0)+IF(WEEKDAY(Horaires356[[#This Row],[Date]],2)=6,MAX(0,Horaires356[[#This Row],[Fin corrigée si nuit]]-(1+deb_dimJF)),0))*24</f>
        <v>0</v>
      </c>
      <c r="Q30"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0" s="62">
        <f>(IF(COUNTIF(JF,Horaires356[[#This Row],[Date]]),MAX(0,MIN(fin_dimJF,Horaires356[[#This Row],[Fin corrigée si nuit]])-MAX(deb_dimJF,Horaires356[[#This Row],[début]])),0)+IF(COUNTIF(JF,Horaires356[[#This Row],[Date]]+1),MAX(0,Horaires356[[#This Row],[Fin corrigée si nuit]]-(1+deb_dimJF)),0))*24</f>
        <v>0</v>
      </c>
      <c r="S30"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1" spans="1:19" x14ac:dyDescent="0.35">
      <c r="A31" s="9"/>
      <c r="B31" s="1"/>
      <c r="C31" s="2"/>
      <c r="D31" s="2"/>
      <c r="E31" s="3"/>
      <c r="F31" s="3"/>
      <c r="G31" s="3"/>
      <c r="H31" s="3"/>
      <c r="I31" s="57">
        <f>0.1*(Horaires356[[#This Row],[Heures de nuit]]+Horaires356[[#This Row],[heures jour dimanche]]+Horaires356[[#This Row],[heures jour fériés]])</f>
        <v>0</v>
      </c>
      <c r="J31" s="58">
        <f>(MOD(Horaires356[[#This Row],[Fin]]-Horaires356[[#This Row],[début]],1)-MOD(Horaires356[[#This Row],[PNP Fin]]-Horaires356[[#This Row],[PNP Début]],1))*24</f>
        <v>0</v>
      </c>
      <c r="K31" s="59">
        <f>IF(Horaires356[[#This Row],[PNP Début]]=0,0,IF(Horaires356[[#This Row],[PNP Début]]&lt;Horaires356[[#This Row],[début]],1,0)+Horaires356[[#This Row],[PNP Début]])</f>
        <v>0</v>
      </c>
      <c r="L31" s="60">
        <f>IF(Horaires356[[#This Row],[PNP Fin]]=0,0,IF(Horaires356[[#This Row],[PNP Fin]]&lt;Horaires356[[#This Row],[début]],1,0)+Horaires356[[#This Row],[PNP Fin]])</f>
        <v>0</v>
      </c>
      <c r="M31" s="60">
        <f>IF(Horaires356[[#This Row],[Fin]]&lt;Horaires356[[#This Row],[début]],1,0)+Horaires356[[#This Row],[Fin]]</f>
        <v>0</v>
      </c>
      <c r="N31" s="61">
        <f>MAX(0,MIN(Horaires356[[#This Row],[Fin corrigée si nuit]],fin_nuit)-MAX(Horaires356[[#This Row],[début]],deb_nuit))*24</f>
        <v>0</v>
      </c>
      <c r="O31" s="62">
        <f>(MAX(0,MIN(Horaires356[[#This Row],[Fin corrigée si nuit]],fin_nuit)-MAX(Horaires356[[#This Row],[début]],deb_nuit))-IF(Horaires356[[#This Row],[PNP Début]]=0,0,MIN(Horaires356[[#This Row],[PNP Fin corrigée]],fin_nuit)-MAX(Horaires356[[#This Row],[PNP Début corrigé]],deb_nuit)))*24</f>
        <v>0</v>
      </c>
      <c r="P31" s="62">
        <f>(IF(WEEKDAY(Horaires356[[#This Row],[Date]],2)=7,MAX(0,MIN(fin_dimJF,Horaires356[[#This Row],[Fin corrigée si nuit]])-MAX(deb_dimJF,Horaires356[[#This Row],[début]])),0)+IF(WEEKDAY(Horaires356[[#This Row],[Date]],2)=6,MAX(0,Horaires356[[#This Row],[Fin corrigée si nuit]]-(1+deb_dimJF)),0))*24</f>
        <v>0</v>
      </c>
      <c r="Q31"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1" s="62">
        <f>(IF(COUNTIF(JF,Horaires356[[#This Row],[Date]]),MAX(0,MIN(fin_dimJF,Horaires356[[#This Row],[Fin corrigée si nuit]])-MAX(deb_dimJF,Horaires356[[#This Row],[début]])),0)+IF(COUNTIF(JF,Horaires356[[#This Row],[Date]]+1),MAX(0,Horaires356[[#This Row],[Fin corrigée si nuit]]-(1+deb_dimJF)),0))*24</f>
        <v>0</v>
      </c>
      <c r="S31"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2" spans="1:19" ht="14.5" customHeight="1" x14ac:dyDescent="0.35">
      <c r="A32" s="9"/>
      <c r="B32" s="1"/>
      <c r="C32" s="2"/>
      <c r="D32" s="2"/>
      <c r="E32" s="3"/>
      <c r="F32" s="3"/>
      <c r="G32" s="3"/>
      <c r="H32" s="3"/>
      <c r="I32" s="57">
        <f>0.1*(Horaires356[[#This Row],[Heures de nuit]]+Horaires356[[#This Row],[heures jour dimanche]]+Horaires356[[#This Row],[heures jour fériés]])</f>
        <v>0</v>
      </c>
      <c r="J32" s="58">
        <f>(MOD(Horaires356[[#This Row],[Fin]]-Horaires356[[#This Row],[début]],1)-MOD(Horaires356[[#This Row],[PNP Fin]]-Horaires356[[#This Row],[PNP Début]],1))*24</f>
        <v>0</v>
      </c>
      <c r="K32" s="59">
        <f>IF(Horaires356[[#This Row],[PNP Début]]=0,0,IF(Horaires356[[#This Row],[PNP Début]]&lt;Horaires356[[#This Row],[début]],1,0)+Horaires356[[#This Row],[PNP Début]])</f>
        <v>0</v>
      </c>
      <c r="L32" s="60">
        <f>IF(Horaires356[[#This Row],[PNP Fin]]=0,0,IF(Horaires356[[#This Row],[PNP Fin]]&lt;Horaires356[[#This Row],[début]],1,0)+Horaires356[[#This Row],[PNP Fin]])</f>
        <v>0</v>
      </c>
      <c r="M32" s="60">
        <f>IF(Horaires356[[#This Row],[Fin]]&lt;Horaires356[[#This Row],[début]],1,0)+Horaires356[[#This Row],[Fin]]</f>
        <v>0</v>
      </c>
      <c r="N32" s="61">
        <f>MAX(0,MIN(Horaires356[[#This Row],[Fin corrigée si nuit]],fin_nuit)-MAX(Horaires356[[#This Row],[début]],deb_nuit))*24</f>
        <v>0</v>
      </c>
      <c r="O32" s="62">
        <f>(MAX(0,MIN(Horaires356[[#This Row],[Fin corrigée si nuit]],fin_nuit)-MAX(Horaires356[[#This Row],[début]],deb_nuit))-IF(Horaires356[[#This Row],[PNP Début]]=0,0,MIN(Horaires356[[#This Row],[PNP Fin corrigée]],fin_nuit)-MAX(Horaires356[[#This Row],[PNP Début corrigé]],deb_nuit)))*24</f>
        <v>0</v>
      </c>
      <c r="P32" s="62">
        <f>(IF(WEEKDAY(Horaires356[[#This Row],[Date]],2)=7,MAX(0,MIN(fin_dimJF,Horaires356[[#This Row],[Fin corrigée si nuit]])-MAX(deb_dimJF,Horaires356[[#This Row],[début]])),0)+IF(WEEKDAY(Horaires356[[#This Row],[Date]],2)=6,MAX(0,Horaires356[[#This Row],[Fin corrigée si nuit]]-(1+deb_dimJF)),0))*24</f>
        <v>0</v>
      </c>
      <c r="Q32"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2" s="62">
        <f>(IF(COUNTIF(JF,Horaires356[[#This Row],[Date]]),MAX(0,MIN(fin_dimJF,Horaires356[[#This Row],[Fin corrigée si nuit]])-MAX(deb_dimJF,Horaires356[[#This Row],[début]])),0)+IF(COUNTIF(JF,Horaires356[[#This Row],[Date]]+1),MAX(0,Horaires356[[#This Row],[Fin corrigée si nuit]]-(1+deb_dimJF)),0))*24</f>
        <v>0</v>
      </c>
      <c r="S32"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3" spans="1:19" x14ac:dyDescent="0.35">
      <c r="A33" s="9"/>
      <c r="B33" s="1"/>
      <c r="C33" s="2"/>
      <c r="D33" s="2"/>
      <c r="E33" s="3"/>
      <c r="F33" s="3"/>
      <c r="G33" s="3"/>
      <c r="H33" s="3"/>
      <c r="I33" s="57">
        <f>0.1*(Horaires356[[#This Row],[Heures de nuit]]+Horaires356[[#This Row],[heures jour dimanche]]+Horaires356[[#This Row],[heures jour fériés]])</f>
        <v>0</v>
      </c>
      <c r="J33" s="58">
        <f>(MOD(Horaires356[[#This Row],[Fin]]-Horaires356[[#This Row],[début]],1)-MOD(Horaires356[[#This Row],[PNP Fin]]-Horaires356[[#This Row],[PNP Début]],1))*24</f>
        <v>0</v>
      </c>
      <c r="K33" s="59">
        <f>IF(Horaires356[[#This Row],[PNP Début]]=0,0,IF(Horaires356[[#This Row],[PNP Début]]&lt;Horaires356[[#This Row],[début]],1,0)+Horaires356[[#This Row],[PNP Début]])</f>
        <v>0</v>
      </c>
      <c r="L33" s="60">
        <f>IF(Horaires356[[#This Row],[PNP Fin]]=0,0,IF(Horaires356[[#This Row],[PNP Fin]]&lt;Horaires356[[#This Row],[début]],1,0)+Horaires356[[#This Row],[PNP Fin]])</f>
        <v>0</v>
      </c>
      <c r="M33" s="60">
        <f>IF(Horaires356[[#This Row],[Fin]]&lt;Horaires356[[#This Row],[début]],1,0)+Horaires356[[#This Row],[Fin]]</f>
        <v>0</v>
      </c>
      <c r="N33" s="61">
        <f>MAX(0,MIN(Horaires356[[#This Row],[Fin corrigée si nuit]],fin_nuit)-MAX(Horaires356[[#This Row],[début]],deb_nuit))*24</f>
        <v>0</v>
      </c>
      <c r="O33" s="62">
        <f>(MAX(0,MIN(Horaires356[[#This Row],[Fin corrigée si nuit]],fin_nuit)-MAX(Horaires356[[#This Row],[début]],deb_nuit))-IF(Horaires356[[#This Row],[PNP Début]]=0,0,MIN(Horaires356[[#This Row],[PNP Fin corrigée]],fin_nuit)-MAX(Horaires356[[#This Row],[PNP Début corrigé]],deb_nuit)))*24</f>
        <v>0</v>
      </c>
      <c r="P33" s="62">
        <f>(IF(WEEKDAY(Horaires356[[#This Row],[Date]],2)=7,MAX(0,MIN(fin_dimJF,Horaires356[[#This Row],[Fin corrigée si nuit]])-MAX(deb_dimJF,Horaires356[[#This Row],[début]])),0)+IF(WEEKDAY(Horaires356[[#This Row],[Date]],2)=6,MAX(0,Horaires356[[#This Row],[Fin corrigée si nuit]]-(1+deb_dimJF)),0))*24</f>
        <v>0</v>
      </c>
      <c r="Q33"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3" s="62">
        <f>(IF(COUNTIF(JF,Horaires356[[#This Row],[Date]]),MAX(0,MIN(fin_dimJF,Horaires356[[#This Row],[Fin corrigée si nuit]])-MAX(deb_dimJF,Horaires356[[#This Row],[début]])),0)+IF(COUNTIF(JF,Horaires356[[#This Row],[Date]]+1),MAX(0,Horaires356[[#This Row],[Fin corrigée si nuit]]-(1+deb_dimJF)),0))*24</f>
        <v>0</v>
      </c>
      <c r="S33"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4" spans="1:19" x14ac:dyDescent="0.35">
      <c r="A34" s="9"/>
      <c r="B34" s="1"/>
      <c r="C34" s="2"/>
      <c r="D34" s="2"/>
      <c r="E34" s="3"/>
      <c r="F34" s="3"/>
      <c r="G34" s="3"/>
      <c r="H34" s="3"/>
      <c r="I34" s="57">
        <f>0.1*(Horaires356[[#This Row],[Heures de nuit]]+Horaires356[[#This Row],[heures jour dimanche]]+Horaires356[[#This Row],[heures jour fériés]])</f>
        <v>0</v>
      </c>
      <c r="J34" s="58">
        <f>(MOD(Horaires356[[#This Row],[Fin]]-Horaires356[[#This Row],[début]],1)-MOD(Horaires356[[#This Row],[PNP Fin]]-Horaires356[[#This Row],[PNP Début]],1))*24</f>
        <v>0</v>
      </c>
      <c r="K34" s="59">
        <f>IF(Horaires356[[#This Row],[PNP Début]]=0,0,IF(Horaires356[[#This Row],[PNP Début]]&lt;Horaires356[[#This Row],[début]],1,0)+Horaires356[[#This Row],[PNP Début]])</f>
        <v>0</v>
      </c>
      <c r="L34" s="60">
        <f>IF(Horaires356[[#This Row],[PNP Fin]]=0,0,IF(Horaires356[[#This Row],[PNP Fin]]&lt;Horaires356[[#This Row],[début]],1,0)+Horaires356[[#This Row],[PNP Fin]])</f>
        <v>0</v>
      </c>
      <c r="M34" s="60">
        <f>IF(Horaires356[[#This Row],[Fin]]&lt;Horaires356[[#This Row],[début]],1,0)+Horaires356[[#This Row],[Fin]]</f>
        <v>0</v>
      </c>
      <c r="N34" s="61">
        <f>MAX(0,MIN(Horaires356[[#This Row],[Fin corrigée si nuit]],fin_nuit)-MAX(Horaires356[[#This Row],[début]],deb_nuit))*24</f>
        <v>0</v>
      </c>
      <c r="O34" s="62">
        <f>(MAX(0,MIN(Horaires356[[#This Row],[Fin corrigée si nuit]],fin_nuit)-MAX(Horaires356[[#This Row],[début]],deb_nuit))-IF(Horaires356[[#This Row],[PNP Début]]=0,0,MIN(Horaires356[[#This Row],[PNP Fin corrigée]],fin_nuit)-MAX(Horaires356[[#This Row],[PNP Début corrigé]],deb_nuit)))*24</f>
        <v>0</v>
      </c>
      <c r="P34" s="62">
        <f>(IF(WEEKDAY(Horaires356[[#This Row],[Date]],2)=7,MAX(0,MIN(fin_dimJF,Horaires356[[#This Row],[Fin corrigée si nuit]])-MAX(deb_dimJF,Horaires356[[#This Row],[début]])),0)+IF(WEEKDAY(Horaires356[[#This Row],[Date]],2)=6,MAX(0,Horaires356[[#This Row],[Fin corrigée si nuit]]-(1+deb_dimJF)),0))*24</f>
        <v>0</v>
      </c>
      <c r="Q34"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4" s="62">
        <f>(IF(COUNTIF(JF,Horaires356[[#This Row],[Date]]),MAX(0,MIN(fin_dimJF,Horaires356[[#This Row],[Fin corrigée si nuit]])-MAX(deb_dimJF,Horaires356[[#This Row],[début]])),0)+IF(COUNTIF(JF,Horaires356[[#This Row],[Date]]+1),MAX(0,Horaires356[[#This Row],[Fin corrigée si nuit]]-(1+deb_dimJF)),0))*24</f>
        <v>0</v>
      </c>
      <c r="S34"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5" spans="1:19" x14ac:dyDescent="0.35">
      <c r="A35" s="9"/>
      <c r="B35" s="1"/>
      <c r="C35" s="2"/>
      <c r="D35" s="2"/>
      <c r="E35" s="3"/>
      <c r="F35" s="3"/>
      <c r="G35" s="3"/>
      <c r="H35" s="3"/>
      <c r="I35" s="57">
        <f>0.1*(Horaires356[[#This Row],[Heures de nuit]]+Horaires356[[#This Row],[heures jour dimanche]]+Horaires356[[#This Row],[heures jour fériés]])</f>
        <v>0</v>
      </c>
      <c r="J35" s="58">
        <f>(MOD(Horaires356[[#This Row],[Fin]]-Horaires356[[#This Row],[début]],1)-MOD(Horaires356[[#This Row],[PNP Fin]]-Horaires356[[#This Row],[PNP Début]],1))*24</f>
        <v>0</v>
      </c>
      <c r="K35" s="59">
        <f>IF(Horaires356[[#This Row],[PNP Début]]=0,0,IF(Horaires356[[#This Row],[PNP Début]]&lt;Horaires356[[#This Row],[début]],1,0)+Horaires356[[#This Row],[PNP Début]])</f>
        <v>0</v>
      </c>
      <c r="L35" s="60">
        <f>IF(Horaires356[[#This Row],[PNP Fin]]=0,0,IF(Horaires356[[#This Row],[PNP Fin]]&lt;Horaires356[[#This Row],[début]],1,0)+Horaires356[[#This Row],[PNP Fin]])</f>
        <v>0</v>
      </c>
      <c r="M35" s="60">
        <f>IF(Horaires356[[#This Row],[Fin]]&lt;Horaires356[[#This Row],[début]],1,0)+Horaires356[[#This Row],[Fin]]</f>
        <v>0</v>
      </c>
      <c r="N35" s="61">
        <f>MAX(0,MIN(Horaires356[[#This Row],[Fin corrigée si nuit]],fin_nuit)-MAX(Horaires356[[#This Row],[début]],deb_nuit))*24</f>
        <v>0</v>
      </c>
      <c r="O35" s="62">
        <f>(MAX(0,MIN(Horaires356[[#This Row],[Fin corrigée si nuit]],fin_nuit)-MAX(Horaires356[[#This Row],[début]],deb_nuit))-IF(Horaires356[[#This Row],[PNP Début]]=0,0,MIN(Horaires356[[#This Row],[PNP Fin corrigée]],fin_nuit)-MAX(Horaires356[[#This Row],[PNP Début corrigé]],deb_nuit)))*24</f>
        <v>0</v>
      </c>
      <c r="P35" s="62">
        <f>(IF(WEEKDAY(Horaires356[[#This Row],[Date]],2)=7,MAX(0,MIN(fin_dimJF,Horaires356[[#This Row],[Fin corrigée si nuit]])-MAX(deb_dimJF,Horaires356[[#This Row],[début]])),0)+IF(WEEKDAY(Horaires356[[#This Row],[Date]],2)=6,MAX(0,Horaires356[[#This Row],[Fin corrigée si nuit]]-(1+deb_dimJF)),0))*24</f>
        <v>0</v>
      </c>
      <c r="Q35"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5" s="62">
        <f>(IF(COUNTIF(JF,Horaires356[[#This Row],[Date]]),MAX(0,MIN(fin_dimJF,Horaires356[[#This Row],[Fin corrigée si nuit]])-MAX(deb_dimJF,Horaires356[[#This Row],[début]])),0)+IF(COUNTIF(JF,Horaires356[[#This Row],[Date]]+1),MAX(0,Horaires356[[#This Row],[Fin corrigée si nuit]]-(1+deb_dimJF)),0))*24</f>
        <v>0</v>
      </c>
      <c r="S35"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6" spans="1:19" x14ac:dyDescent="0.35">
      <c r="A36" s="9"/>
      <c r="B36" s="1"/>
      <c r="C36" s="2"/>
      <c r="D36" s="2"/>
      <c r="E36" s="3"/>
      <c r="F36" s="3"/>
      <c r="G36" s="3"/>
      <c r="H36" s="3"/>
      <c r="I36" s="57">
        <f>0.1*(Horaires356[[#This Row],[Heures de nuit]]+Horaires356[[#This Row],[heures jour dimanche]]+Horaires356[[#This Row],[heures jour fériés]])</f>
        <v>0</v>
      </c>
      <c r="J36" s="58">
        <f>(MOD(Horaires356[[#This Row],[Fin]]-Horaires356[[#This Row],[début]],1)-MOD(Horaires356[[#This Row],[PNP Fin]]-Horaires356[[#This Row],[PNP Début]],1))*24</f>
        <v>0</v>
      </c>
      <c r="K36" s="59">
        <f>IF(Horaires356[[#This Row],[PNP Début]]=0,0,IF(Horaires356[[#This Row],[PNP Début]]&lt;Horaires356[[#This Row],[début]],1,0)+Horaires356[[#This Row],[PNP Début]])</f>
        <v>0</v>
      </c>
      <c r="L36" s="60">
        <f>IF(Horaires356[[#This Row],[PNP Fin]]=0,0,IF(Horaires356[[#This Row],[PNP Fin]]&lt;Horaires356[[#This Row],[début]],1,0)+Horaires356[[#This Row],[PNP Fin]])</f>
        <v>0</v>
      </c>
      <c r="M36" s="60">
        <f>IF(Horaires356[[#This Row],[Fin]]&lt;Horaires356[[#This Row],[début]],1,0)+Horaires356[[#This Row],[Fin]]</f>
        <v>0</v>
      </c>
      <c r="N36" s="61">
        <f>MAX(0,MIN(Horaires356[[#This Row],[Fin corrigée si nuit]],fin_nuit)-MAX(Horaires356[[#This Row],[début]],deb_nuit))*24</f>
        <v>0</v>
      </c>
      <c r="O36" s="62">
        <f>(MAX(0,MIN(Horaires356[[#This Row],[Fin corrigée si nuit]],fin_nuit)-MAX(Horaires356[[#This Row],[début]],deb_nuit))-IF(Horaires356[[#This Row],[PNP Début]]=0,0,MIN(Horaires356[[#This Row],[PNP Fin corrigée]],fin_nuit)-MAX(Horaires356[[#This Row],[PNP Début corrigé]],deb_nuit)))*24</f>
        <v>0</v>
      </c>
      <c r="P36" s="62">
        <f>(IF(WEEKDAY(Horaires356[[#This Row],[Date]],2)=7,MAX(0,MIN(fin_dimJF,Horaires356[[#This Row],[Fin corrigée si nuit]])-MAX(deb_dimJF,Horaires356[[#This Row],[début]])),0)+IF(WEEKDAY(Horaires356[[#This Row],[Date]],2)=6,MAX(0,Horaires356[[#This Row],[Fin corrigée si nuit]]-(1+deb_dimJF)),0))*24</f>
        <v>0</v>
      </c>
      <c r="Q36"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6" s="62">
        <f>(IF(COUNTIF(JF,Horaires356[[#This Row],[Date]]),MAX(0,MIN(fin_dimJF,Horaires356[[#This Row],[Fin corrigée si nuit]])-MAX(deb_dimJF,Horaires356[[#This Row],[début]])),0)+IF(COUNTIF(JF,Horaires356[[#This Row],[Date]]+1),MAX(0,Horaires356[[#This Row],[Fin corrigée si nuit]]-(1+deb_dimJF)),0))*24</f>
        <v>0</v>
      </c>
      <c r="S36"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7" spans="1:19" x14ac:dyDescent="0.35">
      <c r="A37" s="9"/>
      <c r="B37" s="1"/>
      <c r="C37" s="2"/>
      <c r="D37" s="2"/>
      <c r="E37" s="3"/>
      <c r="F37" s="3"/>
      <c r="G37" s="3"/>
      <c r="H37" s="3"/>
      <c r="I37" s="57">
        <f>0.1*(Horaires356[[#This Row],[Heures de nuit]]+Horaires356[[#This Row],[heures jour dimanche]]+Horaires356[[#This Row],[heures jour fériés]])</f>
        <v>0</v>
      </c>
      <c r="J37" s="58">
        <f>(MOD(Horaires356[[#This Row],[Fin]]-Horaires356[[#This Row],[début]],1)-MOD(Horaires356[[#This Row],[PNP Fin]]-Horaires356[[#This Row],[PNP Début]],1))*24</f>
        <v>0</v>
      </c>
      <c r="K37" s="59">
        <f>IF(Horaires356[[#This Row],[PNP Début]]=0,0,IF(Horaires356[[#This Row],[PNP Début]]&lt;Horaires356[[#This Row],[début]],1,0)+Horaires356[[#This Row],[PNP Début]])</f>
        <v>0</v>
      </c>
      <c r="L37" s="60">
        <f>IF(Horaires356[[#This Row],[PNP Fin]]=0,0,IF(Horaires356[[#This Row],[PNP Fin]]&lt;Horaires356[[#This Row],[début]],1,0)+Horaires356[[#This Row],[PNP Fin]])</f>
        <v>0</v>
      </c>
      <c r="M37" s="60">
        <f>IF(Horaires356[[#This Row],[Fin]]&lt;Horaires356[[#This Row],[début]],1,0)+Horaires356[[#This Row],[Fin]]</f>
        <v>0</v>
      </c>
      <c r="N37" s="61">
        <f>MAX(0,MIN(Horaires356[[#This Row],[Fin corrigée si nuit]],fin_nuit)-MAX(Horaires356[[#This Row],[début]],deb_nuit))*24</f>
        <v>0</v>
      </c>
      <c r="O37" s="62">
        <f>(MAX(0,MIN(Horaires356[[#This Row],[Fin corrigée si nuit]],fin_nuit)-MAX(Horaires356[[#This Row],[début]],deb_nuit))-IF(Horaires356[[#This Row],[PNP Début]]=0,0,MIN(Horaires356[[#This Row],[PNP Fin corrigée]],fin_nuit)-MAX(Horaires356[[#This Row],[PNP Début corrigé]],deb_nuit)))*24</f>
        <v>0</v>
      </c>
      <c r="P37" s="62">
        <f>(IF(WEEKDAY(Horaires356[[#This Row],[Date]],2)=7,MAX(0,MIN(fin_dimJF,Horaires356[[#This Row],[Fin corrigée si nuit]])-MAX(deb_dimJF,Horaires356[[#This Row],[début]])),0)+IF(WEEKDAY(Horaires356[[#This Row],[Date]],2)=6,MAX(0,Horaires356[[#This Row],[Fin corrigée si nuit]]-(1+deb_dimJF)),0))*24</f>
        <v>0</v>
      </c>
      <c r="Q37"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7" s="62">
        <f>(IF(COUNTIF(JF,Horaires356[[#This Row],[Date]]),MAX(0,MIN(fin_dimJF,Horaires356[[#This Row],[Fin corrigée si nuit]])-MAX(deb_dimJF,Horaires356[[#This Row],[début]])),0)+IF(COUNTIF(JF,Horaires356[[#This Row],[Date]]+1),MAX(0,Horaires356[[#This Row],[Fin corrigée si nuit]]-(1+deb_dimJF)),0))*24</f>
        <v>0</v>
      </c>
      <c r="S37"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8" spans="1:19" x14ac:dyDescent="0.35">
      <c r="A38" s="9"/>
      <c r="B38" s="1"/>
      <c r="C38" s="2"/>
      <c r="D38" s="2"/>
      <c r="E38" s="3"/>
      <c r="F38" s="3"/>
      <c r="G38" s="3"/>
      <c r="H38" s="3"/>
      <c r="I38" s="57">
        <f>0.1*(Horaires356[[#This Row],[Heures de nuit]]+Horaires356[[#This Row],[heures jour dimanche]]+Horaires356[[#This Row],[heures jour fériés]])</f>
        <v>0</v>
      </c>
      <c r="J38" s="58">
        <f>(MOD(Horaires356[[#This Row],[Fin]]-Horaires356[[#This Row],[début]],1)-MOD(Horaires356[[#This Row],[PNP Fin]]-Horaires356[[#This Row],[PNP Début]],1))*24</f>
        <v>0</v>
      </c>
      <c r="K38" s="59">
        <f>IF(Horaires356[[#This Row],[PNP Début]]=0,0,IF(Horaires356[[#This Row],[PNP Début]]&lt;Horaires356[[#This Row],[début]],1,0)+Horaires356[[#This Row],[PNP Début]])</f>
        <v>0</v>
      </c>
      <c r="L38" s="60">
        <f>IF(Horaires356[[#This Row],[PNP Fin]]=0,0,IF(Horaires356[[#This Row],[PNP Fin]]&lt;Horaires356[[#This Row],[début]],1,0)+Horaires356[[#This Row],[PNP Fin]])</f>
        <v>0</v>
      </c>
      <c r="M38" s="60">
        <f>IF(Horaires356[[#This Row],[Fin]]&lt;Horaires356[[#This Row],[début]],1,0)+Horaires356[[#This Row],[Fin]]</f>
        <v>0</v>
      </c>
      <c r="N38" s="61">
        <f>MAX(0,MIN(Horaires356[[#This Row],[Fin corrigée si nuit]],fin_nuit)-MAX(Horaires356[[#This Row],[début]],deb_nuit))*24</f>
        <v>0</v>
      </c>
      <c r="O38" s="62">
        <f>(MAX(0,MIN(Horaires356[[#This Row],[Fin corrigée si nuit]],fin_nuit)-MAX(Horaires356[[#This Row],[début]],deb_nuit))-IF(Horaires356[[#This Row],[PNP Début]]=0,0,MIN(Horaires356[[#This Row],[PNP Fin corrigée]],fin_nuit)-MAX(Horaires356[[#This Row],[PNP Début corrigé]],deb_nuit)))*24</f>
        <v>0</v>
      </c>
      <c r="P38" s="62">
        <f>(IF(WEEKDAY(Horaires356[[#This Row],[Date]],2)=7,MAX(0,MIN(fin_dimJF,Horaires356[[#This Row],[Fin corrigée si nuit]])-MAX(deb_dimJF,Horaires356[[#This Row],[début]])),0)+IF(WEEKDAY(Horaires356[[#This Row],[Date]],2)=6,MAX(0,Horaires356[[#This Row],[Fin corrigée si nuit]]-(1+deb_dimJF)),0))*24</f>
        <v>0</v>
      </c>
      <c r="Q38"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8" s="62">
        <f>(IF(COUNTIF(JF,Horaires356[[#This Row],[Date]]),MAX(0,MIN(fin_dimJF,Horaires356[[#This Row],[Fin corrigée si nuit]])-MAX(deb_dimJF,Horaires356[[#This Row],[début]])),0)+IF(COUNTIF(JF,Horaires356[[#This Row],[Date]]+1),MAX(0,Horaires356[[#This Row],[Fin corrigée si nuit]]-(1+deb_dimJF)),0))*24</f>
        <v>0</v>
      </c>
      <c r="S38"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39" spans="1:19" x14ac:dyDescent="0.35">
      <c r="A39" s="9"/>
      <c r="B39" s="1"/>
      <c r="C39" s="2"/>
      <c r="D39" s="2"/>
      <c r="E39" s="3"/>
      <c r="F39" s="3"/>
      <c r="G39" s="3"/>
      <c r="H39" s="3"/>
      <c r="I39" s="57">
        <f>0.1*(Horaires356[[#This Row],[Heures de nuit]]+Horaires356[[#This Row],[heures jour dimanche]]+Horaires356[[#This Row],[heures jour fériés]])</f>
        <v>0</v>
      </c>
      <c r="J39" s="58">
        <f>(MOD(Horaires356[[#This Row],[Fin]]-Horaires356[[#This Row],[début]],1)-MOD(Horaires356[[#This Row],[PNP Fin]]-Horaires356[[#This Row],[PNP Début]],1))*24</f>
        <v>0</v>
      </c>
      <c r="K39" s="59">
        <f>IF(Horaires356[[#This Row],[PNP Début]]=0,0,IF(Horaires356[[#This Row],[PNP Début]]&lt;Horaires356[[#This Row],[début]],1,0)+Horaires356[[#This Row],[PNP Début]])</f>
        <v>0</v>
      </c>
      <c r="L39" s="60">
        <f>IF(Horaires356[[#This Row],[PNP Fin]]=0,0,IF(Horaires356[[#This Row],[PNP Fin]]&lt;Horaires356[[#This Row],[début]],1,0)+Horaires356[[#This Row],[PNP Fin]])</f>
        <v>0</v>
      </c>
      <c r="M39" s="60">
        <f>IF(Horaires356[[#This Row],[Fin]]&lt;Horaires356[[#This Row],[début]],1,0)+Horaires356[[#This Row],[Fin]]</f>
        <v>0</v>
      </c>
      <c r="N39" s="61">
        <f>MAX(0,MIN(Horaires356[[#This Row],[Fin corrigée si nuit]],fin_nuit)-MAX(Horaires356[[#This Row],[début]],deb_nuit))*24</f>
        <v>0</v>
      </c>
      <c r="O39" s="62">
        <f>(MAX(0,MIN(Horaires356[[#This Row],[Fin corrigée si nuit]],fin_nuit)-MAX(Horaires356[[#This Row],[début]],deb_nuit))-IF(Horaires356[[#This Row],[PNP Début]]=0,0,MIN(Horaires356[[#This Row],[PNP Fin corrigée]],fin_nuit)-MAX(Horaires356[[#This Row],[PNP Début corrigé]],deb_nuit)))*24</f>
        <v>0</v>
      </c>
      <c r="P39" s="62">
        <f>(IF(WEEKDAY(Horaires356[[#This Row],[Date]],2)=7,MAX(0,MIN(fin_dimJF,Horaires356[[#This Row],[Fin corrigée si nuit]])-MAX(deb_dimJF,Horaires356[[#This Row],[début]])),0)+IF(WEEKDAY(Horaires356[[#This Row],[Date]],2)=6,MAX(0,Horaires356[[#This Row],[Fin corrigée si nuit]]-(1+deb_dimJF)),0))*24</f>
        <v>0</v>
      </c>
      <c r="Q39"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39" s="62">
        <f>(IF(COUNTIF(JF,Horaires356[[#This Row],[Date]]),MAX(0,MIN(fin_dimJF,Horaires356[[#This Row],[Fin corrigée si nuit]])-MAX(deb_dimJF,Horaires356[[#This Row],[début]])),0)+IF(COUNTIF(JF,Horaires356[[#This Row],[Date]]+1),MAX(0,Horaires356[[#This Row],[Fin corrigée si nuit]]-(1+deb_dimJF)),0))*24</f>
        <v>0</v>
      </c>
      <c r="S39"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0" spans="1:19" x14ac:dyDescent="0.35">
      <c r="A40" s="9"/>
      <c r="B40" s="1"/>
      <c r="C40" s="2"/>
      <c r="D40" s="2"/>
      <c r="E40" s="3"/>
      <c r="F40" s="3"/>
      <c r="G40" s="3"/>
      <c r="H40" s="3"/>
      <c r="I40" s="57">
        <f>0.1*(Horaires356[[#This Row],[Heures de nuit]]+Horaires356[[#This Row],[heures jour dimanche]]+Horaires356[[#This Row],[heures jour fériés]])</f>
        <v>0</v>
      </c>
      <c r="J40" s="58">
        <f>(MOD(Horaires356[[#This Row],[Fin]]-Horaires356[[#This Row],[début]],1)-MOD(Horaires356[[#This Row],[PNP Fin]]-Horaires356[[#This Row],[PNP Début]],1))*24</f>
        <v>0</v>
      </c>
      <c r="K40" s="59">
        <f>IF(Horaires356[[#This Row],[PNP Début]]=0,0,IF(Horaires356[[#This Row],[PNP Début]]&lt;Horaires356[[#This Row],[début]],1,0)+Horaires356[[#This Row],[PNP Début]])</f>
        <v>0</v>
      </c>
      <c r="L40" s="60">
        <f>IF(Horaires356[[#This Row],[PNP Fin]]=0,0,IF(Horaires356[[#This Row],[PNP Fin]]&lt;Horaires356[[#This Row],[début]],1,0)+Horaires356[[#This Row],[PNP Fin]])</f>
        <v>0</v>
      </c>
      <c r="M40" s="60">
        <f>IF(Horaires356[[#This Row],[Fin]]&lt;Horaires356[[#This Row],[début]],1,0)+Horaires356[[#This Row],[Fin]]</f>
        <v>0</v>
      </c>
      <c r="N40" s="61">
        <f>MAX(0,MIN(Horaires356[[#This Row],[Fin corrigée si nuit]],fin_nuit)-MAX(Horaires356[[#This Row],[début]],deb_nuit))*24</f>
        <v>0</v>
      </c>
      <c r="O40" s="62">
        <f>(MAX(0,MIN(Horaires356[[#This Row],[Fin corrigée si nuit]],fin_nuit)-MAX(Horaires356[[#This Row],[début]],deb_nuit))-IF(Horaires356[[#This Row],[PNP Début]]=0,0,MIN(Horaires356[[#This Row],[PNP Fin corrigée]],fin_nuit)-MAX(Horaires356[[#This Row],[PNP Début corrigé]],deb_nuit)))*24</f>
        <v>0</v>
      </c>
      <c r="P40" s="62">
        <f>(IF(WEEKDAY(Horaires356[[#This Row],[Date]],2)=7,MAX(0,MIN(fin_dimJF,Horaires356[[#This Row],[Fin corrigée si nuit]])-MAX(deb_dimJF,Horaires356[[#This Row],[début]])),0)+IF(WEEKDAY(Horaires356[[#This Row],[Date]],2)=6,MAX(0,Horaires356[[#This Row],[Fin corrigée si nuit]]-(1+deb_dimJF)),0))*24</f>
        <v>0</v>
      </c>
      <c r="Q40"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0" s="62">
        <f>(IF(COUNTIF(JF,Horaires356[[#This Row],[Date]]),MAX(0,MIN(fin_dimJF,Horaires356[[#This Row],[Fin corrigée si nuit]])-MAX(deb_dimJF,Horaires356[[#This Row],[début]])),0)+IF(COUNTIF(JF,Horaires356[[#This Row],[Date]]+1),MAX(0,Horaires356[[#This Row],[Fin corrigée si nuit]]-(1+deb_dimJF)),0))*24</f>
        <v>0</v>
      </c>
      <c r="S40"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1" spans="1:19" x14ac:dyDescent="0.35">
      <c r="A41" s="9"/>
      <c r="B41" s="1"/>
      <c r="C41" s="2"/>
      <c r="D41" s="2"/>
      <c r="E41" s="3"/>
      <c r="F41" s="3"/>
      <c r="G41" s="3"/>
      <c r="H41" s="3"/>
      <c r="I41" s="57">
        <f>0.1*(Horaires356[[#This Row],[Heures de nuit]]+Horaires356[[#This Row],[heures jour dimanche]]+Horaires356[[#This Row],[heures jour fériés]])</f>
        <v>0</v>
      </c>
      <c r="J41" s="58">
        <f>(MOD(Horaires356[[#This Row],[Fin]]-Horaires356[[#This Row],[début]],1)-MOD(Horaires356[[#This Row],[PNP Fin]]-Horaires356[[#This Row],[PNP Début]],1))*24</f>
        <v>0</v>
      </c>
      <c r="K41" s="59">
        <f>IF(Horaires356[[#This Row],[PNP Début]]=0,0,IF(Horaires356[[#This Row],[PNP Début]]&lt;Horaires356[[#This Row],[début]],1,0)+Horaires356[[#This Row],[PNP Début]])</f>
        <v>0</v>
      </c>
      <c r="L41" s="60">
        <f>IF(Horaires356[[#This Row],[PNP Fin]]=0,0,IF(Horaires356[[#This Row],[PNP Fin]]&lt;Horaires356[[#This Row],[début]],1,0)+Horaires356[[#This Row],[PNP Fin]])</f>
        <v>0</v>
      </c>
      <c r="M41" s="60">
        <f>IF(Horaires356[[#This Row],[Fin]]&lt;Horaires356[[#This Row],[début]],1,0)+Horaires356[[#This Row],[Fin]]</f>
        <v>0</v>
      </c>
      <c r="N41" s="61">
        <f>MAX(0,MIN(Horaires356[[#This Row],[Fin corrigée si nuit]],fin_nuit)-MAX(Horaires356[[#This Row],[début]],deb_nuit))*24</f>
        <v>0</v>
      </c>
      <c r="O41" s="62">
        <f>(MAX(0,MIN(Horaires356[[#This Row],[Fin corrigée si nuit]],fin_nuit)-MAX(Horaires356[[#This Row],[début]],deb_nuit))-IF(Horaires356[[#This Row],[PNP Début]]=0,0,MIN(Horaires356[[#This Row],[PNP Fin corrigée]],fin_nuit)-MAX(Horaires356[[#This Row],[PNP Début corrigé]],deb_nuit)))*24</f>
        <v>0</v>
      </c>
      <c r="P41" s="62">
        <f>(IF(WEEKDAY(Horaires356[[#This Row],[Date]],2)=7,MAX(0,MIN(fin_dimJF,Horaires356[[#This Row],[Fin corrigée si nuit]])-MAX(deb_dimJF,Horaires356[[#This Row],[début]])),0)+IF(WEEKDAY(Horaires356[[#This Row],[Date]],2)=6,MAX(0,Horaires356[[#This Row],[Fin corrigée si nuit]]-(1+deb_dimJF)),0))*24</f>
        <v>0</v>
      </c>
      <c r="Q41"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1" s="62">
        <f>(IF(COUNTIF(JF,Horaires356[[#This Row],[Date]]),MAX(0,MIN(fin_dimJF,Horaires356[[#This Row],[Fin corrigée si nuit]])-MAX(deb_dimJF,Horaires356[[#This Row],[début]])),0)+IF(COUNTIF(JF,Horaires356[[#This Row],[Date]]+1),MAX(0,Horaires356[[#This Row],[Fin corrigée si nuit]]-(1+deb_dimJF)),0))*24</f>
        <v>0</v>
      </c>
      <c r="S41"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2" spans="1:19" x14ac:dyDescent="0.35">
      <c r="A42" s="9"/>
      <c r="B42" s="1"/>
      <c r="C42" s="2"/>
      <c r="D42" s="2"/>
      <c r="E42" s="3"/>
      <c r="F42" s="3"/>
      <c r="G42" s="3"/>
      <c r="H42" s="3"/>
      <c r="I42" s="57">
        <f>0.1*(Horaires356[[#This Row],[Heures de nuit]]+Horaires356[[#This Row],[heures jour dimanche]]+Horaires356[[#This Row],[heures jour fériés]])</f>
        <v>0</v>
      </c>
      <c r="J42" s="58">
        <f>(MOD(Horaires356[[#This Row],[Fin]]-Horaires356[[#This Row],[début]],1)-MOD(Horaires356[[#This Row],[PNP Fin]]-Horaires356[[#This Row],[PNP Début]],1))*24</f>
        <v>0</v>
      </c>
      <c r="K42" s="59">
        <f>IF(Horaires356[[#This Row],[PNP Début]]=0,0,IF(Horaires356[[#This Row],[PNP Début]]&lt;Horaires356[[#This Row],[début]],1,0)+Horaires356[[#This Row],[PNP Début]])</f>
        <v>0</v>
      </c>
      <c r="L42" s="60">
        <f>IF(Horaires356[[#This Row],[PNP Fin]]=0,0,IF(Horaires356[[#This Row],[PNP Fin]]&lt;Horaires356[[#This Row],[début]],1,0)+Horaires356[[#This Row],[PNP Fin]])</f>
        <v>0</v>
      </c>
      <c r="M42" s="60">
        <f>IF(Horaires356[[#This Row],[Fin]]&lt;Horaires356[[#This Row],[début]],1,0)+Horaires356[[#This Row],[Fin]]</f>
        <v>0</v>
      </c>
      <c r="N42" s="61">
        <f>MAX(0,MIN(Horaires356[[#This Row],[Fin corrigée si nuit]],fin_nuit)-MAX(Horaires356[[#This Row],[début]],deb_nuit))*24</f>
        <v>0</v>
      </c>
      <c r="O42" s="62">
        <f>(MAX(0,MIN(Horaires356[[#This Row],[Fin corrigée si nuit]],fin_nuit)-MAX(Horaires356[[#This Row],[début]],deb_nuit))-IF(Horaires356[[#This Row],[PNP Début]]=0,0,MIN(Horaires356[[#This Row],[PNP Fin corrigée]],fin_nuit)-MAX(Horaires356[[#This Row],[PNP Début corrigé]],deb_nuit)))*24</f>
        <v>0</v>
      </c>
      <c r="P42" s="62">
        <f>(IF(WEEKDAY(Horaires356[[#This Row],[Date]],2)=7,MAX(0,MIN(fin_dimJF,Horaires356[[#This Row],[Fin corrigée si nuit]])-MAX(deb_dimJF,Horaires356[[#This Row],[début]])),0)+IF(WEEKDAY(Horaires356[[#This Row],[Date]],2)=6,MAX(0,Horaires356[[#This Row],[Fin corrigée si nuit]]-(1+deb_dimJF)),0))*24</f>
        <v>0</v>
      </c>
      <c r="Q42"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2" s="62">
        <f>(IF(COUNTIF(JF,Horaires356[[#This Row],[Date]]),MAX(0,MIN(fin_dimJF,Horaires356[[#This Row],[Fin corrigée si nuit]])-MAX(deb_dimJF,Horaires356[[#This Row],[début]])),0)+IF(COUNTIF(JF,Horaires356[[#This Row],[Date]]+1),MAX(0,Horaires356[[#This Row],[Fin corrigée si nuit]]-(1+deb_dimJF)),0))*24</f>
        <v>0</v>
      </c>
      <c r="S42"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3" spans="1:19" x14ac:dyDescent="0.35">
      <c r="A43" s="9"/>
      <c r="B43" s="1"/>
      <c r="C43" s="2"/>
      <c r="D43" s="2"/>
      <c r="E43" s="3"/>
      <c r="F43" s="3"/>
      <c r="G43" s="3"/>
      <c r="H43" s="3"/>
      <c r="I43" s="57">
        <f>0.1*(Horaires356[[#This Row],[Heures de nuit]]+Horaires356[[#This Row],[heures jour dimanche]]+Horaires356[[#This Row],[heures jour fériés]])</f>
        <v>0</v>
      </c>
      <c r="J43" s="58">
        <f>(MOD(Horaires356[[#This Row],[Fin]]-Horaires356[[#This Row],[début]],1)-MOD(Horaires356[[#This Row],[PNP Fin]]-Horaires356[[#This Row],[PNP Début]],1))*24</f>
        <v>0</v>
      </c>
      <c r="K43" s="59">
        <f>IF(Horaires356[[#This Row],[PNP Début]]=0,0,IF(Horaires356[[#This Row],[PNP Début]]&lt;Horaires356[[#This Row],[début]],1,0)+Horaires356[[#This Row],[PNP Début]])</f>
        <v>0</v>
      </c>
      <c r="L43" s="60">
        <f>IF(Horaires356[[#This Row],[PNP Fin]]=0,0,IF(Horaires356[[#This Row],[PNP Fin]]&lt;Horaires356[[#This Row],[début]],1,0)+Horaires356[[#This Row],[PNP Fin]])</f>
        <v>0</v>
      </c>
      <c r="M43" s="60">
        <f>IF(Horaires356[[#This Row],[Fin]]&lt;Horaires356[[#This Row],[début]],1,0)+Horaires356[[#This Row],[Fin]]</f>
        <v>0</v>
      </c>
      <c r="N43" s="61">
        <f>MAX(0,MIN(Horaires356[[#This Row],[Fin corrigée si nuit]],fin_nuit)-MAX(Horaires356[[#This Row],[début]],deb_nuit))*24</f>
        <v>0</v>
      </c>
      <c r="O43" s="62">
        <f>(MAX(0,MIN(Horaires356[[#This Row],[Fin corrigée si nuit]],fin_nuit)-MAX(Horaires356[[#This Row],[début]],deb_nuit))-IF(Horaires356[[#This Row],[PNP Début]]=0,0,MIN(Horaires356[[#This Row],[PNP Fin corrigée]],fin_nuit)-MAX(Horaires356[[#This Row],[PNP Début corrigé]],deb_nuit)))*24</f>
        <v>0</v>
      </c>
      <c r="P43" s="62">
        <f>(IF(WEEKDAY(Horaires356[[#This Row],[Date]],2)=7,MAX(0,MIN(fin_dimJF,Horaires356[[#This Row],[Fin corrigée si nuit]])-MAX(deb_dimJF,Horaires356[[#This Row],[début]])),0)+IF(WEEKDAY(Horaires356[[#This Row],[Date]],2)=6,MAX(0,Horaires356[[#This Row],[Fin corrigée si nuit]]-(1+deb_dimJF)),0))*24</f>
        <v>0</v>
      </c>
      <c r="Q43"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3" s="62">
        <f>(IF(COUNTIF(JF,Horaires356[[#This Row],[Date]]),MAX(0,MIN(fin_dimJF,Horaires356[[#This Row],[Fin corrigée si nuit]])-MAX(deb_dimJF,Horaires356[[#This Row],[début]])),0)+IF(COUNTIF(JF,Horaires356[[#This Row],[Date]]+1),MAX(0,Horaires356[[#This Row],[Fin corrigée si nuit]]-(1+deb_dimJF)),0))*24</f>
        <v>0</v>
      </c>
      <c r="S43"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4" spans="1:19" x14ac:dyDescent="0.35">
      <c r="A44" s="9"/>
      <c r="B44" s="1"/>
      <c r="C44" s="2"/>
      <c r="D44" s="2"/>
      <c r="E44" s="3"/>
      <c r="F44" s="3"/>
      <c r="G44" s="3"/>
      <c r="H44" s="3"/>
      <c r="I44" s="57">
        <f>0.1*(Horaires356[[#This Row],[Heures de nuit]]+Horaires356[[#This Row],[heures jour dimanche]]+Horaires356[[#This Row],[heures jour fériés]])</f>
        <v>0</v>
      </c>
      <c r="J44" s="58">
        <f>(MOD(Horaires356[[#This Row],[Fin]]-Horaires356[[#This Row],[début]],1)-MOD(Horaires356[[#This Row],[PNP Fin]]-Horaires356[[#This Row],[PNP Début]],1))*24</f>
        <v>0</v>
      </c>
      <c r="K44" s="59">
        <f>IF(Horaires356[[#This Row],[PNP Début]]=0,0,IF(Horaires356[[#This Row],[PNP Début]]&lt;Horaires356[[#This Row],[début]],1,0)+Horaires356[[#This Row],[PNP Début]])</f>
        <v>0</v>
      </c>
      <c r="L44" s="60">
        <f>IF(Horaires356[[#This Row],[PNP Fin]]=0,0,IF(Horaires356[[#This Row],[PNP Fin]]&lt;Horaires356[[#This Row],[début]],1,0)+Horaires356[[#This Row],[PNP Fin]])</f>
        <v>0</v>
      </c>
      <c r="M44" s="60">
        <f>IF(Horaires356[[#This Row],[Fin]]&lt;Horaires356[[#This Row],[début]],1,0)+Horaires356[[#This Row],[Fin]]</f>
        <v>0</v>
      </c>
      <c r="N44" s="61">
        <f>MAX(0,MIN(Horaires356[[#This Row],[Fin corrigée si nuit]],fin_nuit)-MAX(Horaires356[[#This Row],[début]],deb_nuit))*24</f>
        <v>0</v>
      </c>
      <c r="O44" s="62">
        <f>(MAX(0,MIN(Horaires356[[#This Row],[Fin corrigée si nuit]],fin_nuit)-MAX(Horaires356[[#This Row],[début]],deb_nuit))-IF(Horaires356[[#This Row],[PNP Début]]=0,0,MIN(Horaires356[[#This Row],[PNP Fin corrigée]],fin_nuit)-MAX(Horaires356[[#This Row],[PNP Début corrigé]],deb_nuit)))*24</f>
        <v>0</v>
      </c>
      <c r="P44" s="62">
        <f>(IF(WEEKDAY(Horaires356[[#This Row],[Date]],2)=7,MAX(0,MIN(fin_dimJF,Horaires356[[#This Row],[Fin corrigée si nuit]])-MAX(deb_dimJF,Horaires356[[#This Row],[début]])),0)+IF(WEEKDAY(Horaires356[[#This Row],[Date]],2)=6,MAX(0,Horaires356[[#This Row],[Fin corrigée si nuit]]-(1+deb_dimJF)),0))*24</f>
        <v>0</v>
      </c>
      <c r="Q44"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4" s="62">
        <f>(IF(COUNTIF(JF,Horaires356[[#This Row],[Date]]),MAX(0,MIN(fin_dimJF,Horaires356[[#This Row],[Fin corrigée si nuit]])-MAX(deb_dimJF,Horaires356[[#This Row],[début]])),0)+IF(COUNTIF(JF,Horaires356[[#This Row],[Date]]+1),MAX(0,Horaires356[[#This Row],[Fin corrigée si nuit]]-(1+deb_dimJF)),0))*24</f>
        <v>0</v>
      </c>
      <c r="S44"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5" spans="1:19" x14ac:dyDescent="0.35">
      <c r="A45" s="9"/>
      <c r="B45" s="1"/>
      <c r="C45" s="2"/>
      <c r="D45" s="2"/>
      <c r="E45" s="3"/>
      <c r="F45" s="3"/>
      <c r="G45" s="3"/>
      <c r="H45" s="3"/>
      <c r="I45" s="57">
        <f>0.1*(Horaires356[[#This Row],[Heures de nuit]]+Horaires356[[#This Row],[heures jour dimanche]]+Horaires356[[#This Row],[heures jour fériés]])</f>
        <v>0</v>
      </c>
      <c r="J45" s="58">
        <f>(MOD(Horaires356[[#This Row],[Fin]]-Horaires356[[#This Row],[début]],1)-MOD(Horaires356[[#This Row],[PNP Fin]]-Horaires356[[#This Row],[PNP Début]],1))*24</f>
        <v>0</v>
      </c>
      <c r="K45" s="59">
        <f>IF(Horaires356[[#This Row],[PNP Début]]=0,0,IF(Horaires356[[#This Row],[PNP Début]]&lt;Horaires356[[#This Row],[début]],1,0)+Horaires356[[#This Row],[PNP Début]])</f>
        <v>0</v>
      </c>
      <c r="L45" s="60">
        <f>IF(Horaires356[[#This Row],[PNP Fin]]=0,0,IF(Horaires356[[#This Row],[PNP Fin]]&lt;Horaires356[[#This Row],[début]],1,0)+Horaires356[[#This Row],[PNP Fin]])</f>
        <v>0</v>
      </c>
      <c r="M45" s="60">
        <f>IF(Horaires356[[#This Row],[Fin]]&lt;Horaires356[[#This Row],[début]],1,0)+Horaires356[[#This Row],[Fin]]</f>
        <v>0</v>
      </c>
      <c r="N45" s="61">
        <f>MAX(0,MIN(Horaires356[[#This Row],[Fin corrigée si nuit]],fin_nuit)-MAX(Horaires356[[#This Row],[début]],deb_nuit))*24</f>
        <v>0</v>
      </c>
      <c r="O45" s="62">
        <f>(MAX(0,MIN(Horaires356[[#This Row],[Fin corrigée si nuit]],fin_nuit)-MAX(Horaires356[[#This Row],[début]],deb_nuit))-IF(Horaires356[[#This Row],[PNP Début]]=0,0,MIN(Horaires356[[#This Row],[PNP Fin corrigée]],fin_nuit)-MAX(Horaires356[[#This Row],[PNP Début corrigé]],deb_nuit)))*24</f>
        <v>0</v>
      </c>
      <c r="P45" s="62">
        <f>(IF(WEEKDAY(Horaires356[[#This Row],[Date]],2)=7,MAX(0,MIN(fin_dimJF,Horaires356[[#This Row],[Fin corrigée si nuit]])-MAX(deb_dimJF,Horaires356[[#This Row],[début]])),0)+IF(WEEKDAY(Horaires356[[#This Row],[Date]],2)=6,MAX(0,Horaires356[[#This Row],[Fin corrigée si nuit]]-(1+deb_dimJF)),0))*24</f>
        <v>0</v>
      </c>
      <c r="Q45"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5" s="62">
        <f>(IF(COUNTIF(JF,Horaires356[[#This Row],[Date]]),MAX(0,MIN(fin_dimJF,Horaires356[[#This Row],[Fin corrigée si nuit]])-MAX(deb_dimJF,Horaires356[[#This Row],[début]])),0)+IF(COUNTIF(JF,Horaires356[[#This Row],[Date]]+1),MAX(0,Horaires356[[#This Row],[Fin corrigée si nuit]]-(1+deb_dimJF)),0))*24</f>
        <v>0</v>
      </c>
      <c r="S45"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6" spans="1:19" x14ac:dyDescent="0.35">
      <c r="A46" s="9"/>
      <c r="B46" s="1"/>
      <c r="C46" s="2"/>
      <c r="D46" s="2"/>
      <c r="E46" s="3"/>
      <c r="F46" s="3"/>
      <c r="G46" s="3"/>
      <c r="H46" s="3"/>
      <c r="I46" s="57">
        <f>0.1*(Horaires356[[#This Row],[Heures de nuit]]+Horaires356[[#This Row],[heures jour dimanche]]+Horaires356[[#This Row],[heures jour fériés]])</f>
        <v>0</v>
      </c>
      <c r="J46" s="58">
        <f>(MOD(Horaires356[[#This Row],[Fin]]-Horaires356[[#This Row],[début]],1)-MOD(Horaires356[[#This Row],[PNP Fin]]-Horaires356[[#This Row],[PNP Début]],1))*24</f>
        <v>0</v>
      </c>
      <c r="K46" s="59">
        <f>IF(Horaires356[[#This Row],[PNP Début]]=0,0,IF(Horaires356[[#This Row],[PNP Début]]&lt;Horaires356[[#This Row],[début]],1,0)+Horaires356[[#This Row],[PNP Début]])</f>
        <v>0</v>
      </c>
      <c r="L46" s="60">
        <f>IF(Horaires356[[#This Row],[PNP Fin]]=0,0,IF(Horaires356[[#This Row],[PNP Fin]]&lt;Horaires356[[#This Row],[début]],1,0)+Horaires356[[#This Row],[PNP Fin]])</f>
        <v>0</v>
      </c>
      <c r="M46" s="60">
        <f>IF(Horaires356[[#This Row],[Fin]]&lt;Horaires356[[#This Row],[début]],1,0)+Horaires356[[#This Row],[Fin]]</f>
        <v>0</v>
      </c>
      <c r="N46" s="61">
        <f>MAX(0,MIN(Horaires356[[#This Row],[Fin corrigée si nuit]],fin_nuit)-MAX(Horaires356[[#This Row],[début]],deb_nuit))*24</f>
        <v>0</v>
      </c>
      <c r="O46" s="62">
        <f>(MAX(0,MIN(Horaires356[[#This Row],[Fin corrigée si nuit]],fin_nuit)-MAX(Horaires356[[#This Row],[début]],deb_nuit))-IF(Horaires356[[#This Row],[PNP Début]]=0,0,MIN(Horaires356[[#This Row],[PNP Fin corrigée]],fin_nuit)-MAX(Horaires356[[#This Row],[PNP Début corrigé]],deb_nuit)))*24</f>
        <v>0</v>
      </c>
      <c r="P46" s="62">
        <f>(IF(WEEKDAY(Horaires356[[#This Row],[Date]],2)=7,MAX(0,MIN(fin_dimJF,Horaires356[[#This Row],[Fin corrigée si nuit]])-MAX(deb_dimJF,Horaires356[[#This Row],[début]])),0)+IF(WEEKDAY(Horaires356[[#This Row],[Date]],2)=6,MAX(0,Horaires356[[#This Row],[Fin corrigée si nuit]]-(1+deb_dimJF)),0))*24</f>
        <v>0</v>
      </c>
      <c r="Q46"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6" s="62">
        <f>(IF(COUNTIF(JF,Horaires356[[#This Row],[Date]]),MAX(0,MIN(fin_dimJF,Horaires356[[#This Row],[Fin corrigée si nuit]])-MAX(deb_dimJF,Horaires356[[#This Row],[début]])),0)+IF(COUNTIF(JF,Horaires356[[#This Row],[Date]]+1),MAX(0,Horaires356[[#This Row],[Fin corrigée si nuit]]-(1+deb_dimJF)),0))*24</f>
        <v>0</v>
      </c>
      <c r="S46"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7" spans="1:19" x14ac:dyDescent="0.35">
      <c r="A47" s="9"/>
      <c r="B47" s="1"/>
      <c r="C47" s="2"/>
      <c r="D47" s="2"/>
      <c r="E47" s="3"/>
      <c r="F47" s="3"/>
      <c r="G47" s="3"/>
      <c r="H47" s="3"/>
      <c r="I47" s="57">
        <f>0.1*(Horaires356[[#This Row],[Heures de nuit]]+Horaires356[[#This Row],[heures jour dimanche]]+Horaires356[[#This Row],[heures jour fériés]])</f>
        <v>0</v>
      </c>
      <c r="J47" s="58">
        <f>(MOD(Horaires356[[#This Row],[Fin]]-Horaires356[[#This Row],[début]],1)-MOD(Horaires356[[#This Row],[PNP Fin]]-Horaires356[[#This Row],[PNP Début]],1))*24</f>
        <v>0</v>
      </c>
      <c r="K47" s="59">
        <f>IF(Horaires356[[#This Row],[PNP Début]]=0,0,IF(Horaires356[[#This Row],[PNP Début]]&lt;Horaires356[[#This Row],[début]],1,0)+Horaires356[[#This Row],[PNP Début]])</f>
        <v>0</v>
      </c>
      <c r="L47" s="60">
        <f>IF(Horaires356[[#This Row],[PNP Fin]]=0,0,IF(Horaires356[[#This Row],[PNP Fin]]&lt;Horaires356[[#This Row],[début]],1,0)+Horaires356[[#This Row],[PNP Fin]])</f>
        <v>0</v>
      </c>
      <c r="M47" s="60">
        <f>IF(Horaires356[[#This Row],[Fin]]&lt;Horaires356[[#This Row],[début]],1,0)+Horaires356[[#This Row],[Fin]]</f>
        <v>0</v>
      </c>
      <c r="N47" s="61">
        <f>MAX(0,MIN(Horaires356[[#This Row],[Fin corrigée si nuit]],fin_nuit)-MAX(Horaires356[[#This Row],[début]],deb_nuit))*24</f>
        <v>0</v>
      </c>
      <c r="O47" s="62">
        <f>(MAX(0,MIN(Horaires356[[#This Row],[Fin corrigée si nuit]],fin_nuit)-MAX(Horaires356[[#This Row],[début]],deb_nuit))-IF(Horaires356[[#This Row],[PNP Début]]=0,0,MIN(Horaires356[[#This Row],[PNP Fin corrigée]],fin_nuit)-MAX(Horaires356[[#This Row],[PNP Début corrigé]],deb_nuit)))*24</f>
        <v>0</v>
      </c>
      <c r="P47" s="62">
        <f>(IF(WEEKDAY(Horaires356[[#This Row],[Date]],2)=7,MAX(0,MIN(fin_dimJF,Horaires356[[#This Row],[Fin corrigée si nuit]])-MAX(deb_dimJF,Horaires356[[#This Row],[début]])),0)+IF(WEEKDAY(Horaires356[[#This Row],[Date]],2)=6,MAX(0,Horaires356[[#This Row],[Fin corrigée si nuit]]-(1+deb_dimJF)),0))*24</f>
        <v>0</v>
      </c>
      <c r="Q47"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7" s="62">
        <f>(IF(COUNTIF(JF,Horaires356[[#This Row],[Date]]),MAX(0,MIN(fin_dimJF,Horaires356[[#This Row],[Fin corrigée si nuit]])-MAX(deb_dimJF,Horaires356[[#This Row],[début]])),0)+IF(COUNTIF(JF,Horaires356[[#This Row],[Date]]+1),MAX(0,Horaires356[[#This Row],[Fin corrigée si nuit]]-(1+deb_dimJF)),0))*24</f>
        <v>0</v>
      </c>
      <c r="S47"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8" spans="1:19" x14ac:dyDescent="0.35">
      <c r="A48" s="9"/>
      <c r="B48" s="1"/>
      <c r="C48" s="2"/>
      <c r="D48" s="2"/>
      <c r="E48" s="3"/>
      <c r="F48" s="3"/>
      <c r="G48" s="3"/>
      <c r="H48" s="3"/>
      <c r="I48" s="57">
        <f>0.1*(Horaires356[[#This Row],[Heures de nuit]]+Horaires356[[#This Row],[heures jour dimanche]]+Horaires356[[#This Row],[heures jour fériés]])</f>
        <v>0</v>
      </c>
      <c r="J48" s="58">
        <f>(MOD(Horaires356[[#This Row],[Fin]]-Horaires356[[#This Row],[début]],1)-MOD(Horaires356[[#This Row],[PNP Fin]]-Horaires356[[#This Row],[PNP Début]],1))*24</f>
        <v>0</v>
      </c>
      <c r="K48" s="59">
        <f>IF(Horaires356[[#This Row],[PNP Début]]=0,0,IF(Horaires356[[#This Row],[PNP Début]]&lt;Horaires356[[#This Row],[début]],1,0)+Horaires356[[#This Row],[PNP Début]])</f>
        <v>0</v>
      </c>
      <c r="L48" s="60">
        <f>IF(Horaires356[[#This Row],[PNP Fin]]=0,0,IF(Horaires356[[#This Row],[PNP Fin]]&lt;Horaires356[[#This Row],[début]],1,0)+Horaires356[[#This Row],[PNP Fin]])</f>
        <v>0</v>
      </c>
      <c r="M48" s="60">
        <f>IF(Horaires356[[#This Row],[Fin]]&lt;Horaires356[[#This Row],[début]],1,0)+Horaires356[[#This Row],[Fin]]</f>
        <v>0</v>
      </c>
      <c r="N48" s="61">
        <f>MAX(0,MIN(Horaires356[[#This Row],[Fin corrigée si nuit]],fin_nuit)-MAX(Horaires356[[#This Row],[début]],deb_nuit))*24</f>
        <v>0</v>
      </c>
      <c r="O48" s="62">
        <f>(MAX(0,MIN(Horaires356[[#This Row],[Fin corrigée si nuit]],fin_nuit)-MAX(Horaires356[[#This Row],[début]],deb_nuit))-IF(Horaires356[[#This Row],[PNP Début]]=0,0,MIN(Horaires356[[#This Row],[PNP Fin corrigée]],fin_nuit)-MAX(Horaires356[[#This Row],[PNP Début corrigé]],deb_nuit)))*24</f>
        <v>0</v>
      </c>
      <c r="P48" s="62">
        <f>(IF(WEEKDAY(Horaires356[[#This Row],[Date]],2)=7,MAX(0,MIN(fin_dimJF,Horaires356[[#This Row],[Fin corrigée si nuit]])-MAX(deb_dimJF,Horaires356[[#This Row],[début]])),0)+IF(WEEKDAY(Horaires356[[#This Row],[Date]],2)=6,MAX(0,Horaires356[[#This Row],[Fin corrigée si nuit]]-(1+deb_dimJF)),0))*24</f>
        <v>0</v>
      </c>
      <c r="Q48"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8" s="62">
        <f>(IF(COUNTIF(JF,Horaires356[[#This Row],[Date]]),MAX(0,MIN(fin_dimJF,Horaires356[[#This Row],[Fin corrigée si nuit]])-MAX(deb_dimJF,Horaires356[[#This Row],[début]])),0)+IF(COUNTIF(JF,Horaires356[[#This Row],[Date]]+1),MAX(0,Horaires356[[#This Row],[Fin corrigée si nuit]]-(1+deb_dimJF)),0))*24</f>
        <v>0</v>
      </c>
      <c r="S48"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49" spans="1:19" ht="15" thickBot="1" x14ac:dyDescent="0.4">
      <c r="A49" s="9"/>
      <c r="B49" s="1"/>
      <c r="C49" s="2"/>
      <c r="D49" s="2"/>
      <c r="E49" s="3"/>
      <c r="F49" s="3"/>
      <c r="G49" s="3"/>
      <c r="H49" s="3"/>
      <c r="I49" s="57">
        <f>0.1*(Horaires356[[#This Row],[Heures de nuit]]+Horaires356[[#This Row],[heures jour dimanche]]+Horaires356[[#This Row],[heures jour fériés]])</f>
        <v>0</v>
      </c>
      <c r="J49" s="58">
        <f>(MOD(Horaires356[[#This Row],[Fin]]-Horaires356[[#This Row],[début]],1)-MOD(Horaires356[[#This Row],[PNP Fin]]-Horaires356[[#This Row],[PNP Début]],1))*24</f>
        <v>0</v>
      </c>
      <c r="K49" s="59">
        <f>IF(Horaires356[[#This Row],[PNP Début]]=0,0,IF(Horaires356[[#This Row],[PNP Début]]&lt;Horaires356[[#This Row],[début]],1,0)+Horaires356[[#This Row],[PNP Début]])</f>
        <v>0</v>
      </c>
      <c r="L49" s="60">
        <f>IF(Horaires356[[#This Row],[PNP Fin]]=0,0,IF(Horaires356[[#This Row],[PNP Fin]]&lt;Horaires356[[#This Row],[début]],1,0)+Horaires356[[#This Row],[PNP Fin]])</f>
        <v>0</v>
      </c>
      <c r="M49" s="60">
        <f>IF(Horaires356[[#This Row],[Fin]]&lt;Horaires356[[#This Row],[début]],1,0)+Horaires356[[#This Row],[Fin]]</f>
        <v>0</v>
      </c>
      <c r="N49" s="61">
        <f>MAX(0,MIN(Horaires356[[#This Row],[Fin corrigée si nuit]],fin_nuit)-MAX(Horaires356[[#This Row],[début]],deb_nuit))*24</f>
        <v>0</v>
      </c>
      <c r="O49" s="62">
        <f>(MAX(0,MIN(Horaires356[[#This Row],[Fin corrigée si nuit]],fin_nuit)-MAX(Horaires356[[#This Row],[début]],deb_nuit))-IF(Horaires356[[#This Row],[PNP Début]]=0,0,MIN(Horaires356[[#This Row],[PNP Fin corrigée]],fin_nuit)-MAX(Horaires356[[#This Row],[PNP Début corrigé]],deb_nuit)))*24</f>
        <v>0</v>
      </c>
      <c r="P49" s="62">
        <f>(IF(WEEKDAY(Horaires356[[#This Row],[Date]],2)=7,MAX(0,MIN(fin_dimJF,Horaires356[[#This Row],[Fin corrigée si nuit]])-MAX(deb_dimJF,Horaires356[[#This Row],[début]])),0)+IF(WEEKDAY(Horaires356[[#This Row],[Date]],2)=6,MAX(0,Horaires356[[#This Row],[Fin corrigée si nuit]]-(1+deb_dimJF)),0))*24</f>
        <v>0</v>
      </c>
      <c r="Q49" s="62">
        <f>(IF(WEEKDAY(Horaires356[[#This Row],[Date]],2)=7,MAX(0,MIN(fin_dimJF,Horaires356[[#This Row],[Fin corrigée si nuit]])-MAX(deb_dimJF,Horaires356[[#This Row],[début]])),0)+IF(WEEKDAY(Horaires356[[#This Row],[Date]],2)=6,MAX(0,Horaires356[[#This Row],[Fin corrigée si nuit]]-(1+deb_dimJF)),0))*24-
(IF(WEEKDAY(Horaires356[[#This Row],[Date]],2)=7,MAX(0,MIN(fin_dimJF,Horaires356[[#This Row],[PNP Fin corrigée]])-MAX(deb_dimJF,Horaires356[[#This Row],[PNP Début corrigé]])),0)+IF(WEEKDAY(Horaires356[[#This Row],[Date]],2)=6,MAX(0,Horaires356[[#This Row],[PNP Fin corrigée]]-(1+deb_dimJF)),0))*24</f>
        <v>0</v>
      </c>
      <c r="R49" s="62">
        <f>(IF(COUNTIF(JF,Horaires356[[#This Row],[Date]]),MAX(0,MIN(fin_dimJF,Horaires356[[#This Row],[Fin corrigée si nuit]])-MAX(deb_dimJF,Horaires356[[#This Row],[début]])),0)+IF(COUNTIF(JF,Horaires356[[#This Row],[Date]]+1),MAX(0,Horaires356[[#This Row],[Fin corrigée si nuit]]-(1+deb_dimJF)),0))*24</f>
        <v>0</v>
      </c>
      <c r="S49" s="62">
        <f>(IF(COUNTIF(JF,Horaires356[[#This Row],[Date]]),MAX(0,MIN(fin_dimJF,Horaires356[[#This Row],[Fin corrigée si nuit]])-MAX(deb_dimJF,Horaires356[[#This Row],[début]])),0)+IF(COUNTIF(JF,Horaires356[[#This Row],[Date]]+1),MAX(0,Horaires356[[#This Row],[Fin corrigée si nuit]]-(1+deb_dimJF)),0))*24-
(IF(COUNTIF(JF,Horaires356[[#This Row],[Date]]),MAX(0,MIN(fin_dimJF,Horaires356[[#This Row],[PNP Fin corrigée]])-MAX(deb_dimJF,Horaires356[[#This Row],[PNP Début corrigé]])),0)+IF(COUNTIF(JF,Horaires356[[#This Row],[Date]]+1),MAX(0,Horaires356[[#This Row],[PNP Fin corrigée]]-(1+deb_dimJF)),0))*24</f>
        <v>0</v>
      </c>
    </row>
    <row r="50" spans="1:19" ht="16" thickBot="1" x14ac:dyDescent="0.4">
      <c r="A50" s="63"/>
      <c r="B50" s="25"/>
      <c r="C50" s="25"/>
      <c r="D50" s="25"/>
      <c r="E50" s="106" t="s">
        <v>32</v>
      </c>
      <c r="F50" s="107"/>
      <c r="G50" s="107"/>
      <c r="H50" s="108"/>
      <c r="I50" s="64">
        <f>SUM(Horaires356[Majoration])</f>
        <v>4.9016666666666673</v>
      </c>
      <c r="J50" s="65">
        <f>SUM(Horaires356[Heures totales payées])</f>
        <v>64.016666666666666</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0"/>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allowBlank="1" showInputMessage="1" showErrorMessage="1" error="Tapez les heures sous le format_x000a_00:00" sqref="K12:N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rintOptions horizontalCentered="1"/>
  <pageMargins left="0" right="0" top="0" bottom="0" header="0" footer="0"/>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5"/>
  <sheetViews>
    <sheetView tabSelected="1" workbookViewId="0">
      <selection activeCell="G1" sqref="G1"/>
    </sheetView>
  </sheetViews>
  <sheetFormatPr baseColWidth="10" defaultRowHeight="14.5" x14ac:dyDescent="0.35"/>
  <cols>
    <col min="1" max="1" width="16.54296875" style="91" customWidth="1"/>
    <col min="2" max="2" width="36" style="91" customWidth="1"/>
    <col min="3" max="3" width="2.1796875" style="91" customWidth="1"/>
    <col min="4" max="4" width="24.90625" style="91" customWidth="1"/>
    <col min="5" max="5" width="2.453125" style="91" customWidth="1"/>
    <col min="6" max="6" width="35.453125" style="91" customWidth="1"/>
  </cols>
  <sheetData>
    <row r="1" spans="1:7" ht="25.75" customHeight="1" x14ac:dyDescent="0.35">
      <c r="A1" s="92" t="s">
        <v>67</v>
      </c>
      <c r="B1" s="92" t="s">
        <v>68</v>
      </c>
      <c r="C1" s="93"/>
      <c r="D1" s="92" t="s">
        <v>69</v>
      </c>
      <c r="E1" s="93"/>
      <c r="F1" s="92" t="s">
        <v>70</v>
      </c>
      <c r="G1" s="126">
        <v>2018</v>
      </c>
    </row>
    <row r="2" spans="1:7" x14ac:dyDescent="0.35">
      <c r="A2" s="93" t="s">
        <v>71</v>
      </c>
      <c r="B2" s="125">
        <f ca="1">COUNTA(INDIRECT("'"&amp;$A2&amp;" "&amp;RIGHT(G$1,2)&amp;"'!A13:A49"))</f>
        <v>9</v>
      </c>
      <c r="C2" s="93"/>
      <c r="D2" s="93">
        <f ca="1">COUNTIF(INDIRECT("'"&amp;$A2&amp;" "&amp;RIGHT(G$1,2)&amp;"'!I13:I49"),"&lt;&gt;0")</f>
        <v>6</v>
      </c>
      <c r="E2" s="93"/>
      <c r="F2" s="93">
        <f ca="1">COUNTIF(INDIRECT("'"&amp;$A2&amp;" "&amp;RIGHT(G$1,2)&amp;"'!J13:J49"),"&lt;&gt;0")</f>
        <v>9</v>
      </c>
    </row>
    <row r="3" spans="1:7" x14ac:dyDescent="0.35">
      <c r="A3" s="93" t="s">
        <v>72</v>
      </c>
      <c r="B3" s="125">
        <f t="shared" ref="B3:B13" ca="1" si="0">COUNTA(INDIRECT("'"&amp;$A3&amp;" "&amp;RIGHT(G$1,2)&amp;"'!A13:A49"))</f>
        <v>1</v>
      </c>
      <c r="C3" s="93"/>
      <c r="D3" s="93" t="e">
        <f t="shared" ref="D3:D13" ca="1" si="1">COUNTIF(INDIRECT("'"&amp;$A3&amp;" "&amp;RIGHT(G$1,2)&amp;"'!I13:I49"),"&lt;&gt;0")</f>
        <v>#REF!</v>
      </c>
      <c r="E3" s="93"/>
      <c r="F3" s="93" t="e">
        <f t="shared" ref="F3:F13" ca="1" si="2">COUNTIF(INDIRECT("'"&amp;$A3&amp;" "&amp;RIGHT(G$1,2)&amp;"'!J13:J49"),"&lt;&gt;0")</f>
        <v>#REF!</v>
      </c>
    </row>
    <row r="4" spans="1:7" x14ac:dyDescent="0.35">
      <c r="A4" s="93" t="s">
        <v>73</v>
      </c>
      <c r="B4" s="125">
        <f t="shared" ca="1" si="0"/>
        <v>0</v>
      </c>
      <c r="C4" s="93"/>
      <c r="D4" s="93">
        <f t="shared" ca="1" si="1"/>
        <v>0</v>
      </c>
      <c r="E4" s="93"/>
      <c r="F4" s="93">
        <f t="shared" ca="1" si="2"/>
        <v>0</v>
      </c>
    </row>
    <row r="5" spans="1:7" x14ac:dyDescent="0.35">
      <c r="A5" s="93" t="s">
        <v>74</v>
      </c>
      <c r="B5" s="125">
        <f t="shared" ca="1" si="0"/>
        <v>0</v>
      </c>
      <c r="C5" s="93"/>
      <c r="D5" s="93">
        <f t="shared" ca="1" si="1"/>
        <v>0</v>
      </c>
      <c r="E5" s="93"/>
      <c r="F5" s="93">
        <f t="shared" ca="1" si="2"/>
        <v>0</v>
      </c>
    </row>
    <row r="6" spans="1:7" x14ac:dyDescent="0.35">
      <c r="A6" s="93" t="s">
        <v>75</v>
      </c>
      <c r="B6" s="125">
        <f t="shared" ca="1" si="0"/>
        <v>0</v>
      </c>
      <c r="C6" s="93"/>
      <c r="D6" s="93">
        <f t="shared" ca="1" si="1"/>
        <v>0</v>
      </c>
      <c r="E6" s="93"/>
      <c r="F6" s="93">
        <f t="shared" ca="1" si="2"/>
        <v>0</v>
      </c>
    </row>
    <row r="7" spans="1:7" x14ac:dyDescent="0.35">
      <c r="A7" s="93" t="s">
        <v>76</v>
      </c>
      <c r="B7" s="125">
        <f t="shared" ca="1" si="0"/>
        <v>0</v>
      </c>
      <c r="C7" s="93"/>
      <c r="D7" s="93">
        <f t="shared" ca="1" si="1"/>
        <v>0</v>
      </c>
      <c r="E7" s="93"/>
      <c r="F7" s="93">
        <f t="shared" ca="1" si="2"/>
        <v>0</v>
      </c>
    </row>
    <row r="8" spans="1:7" x14ac:dyDescent="0.35">
      <c r="A8" s="93" t="s">
        <v>77</v>
      </c>
      <c r="B8" s="125">
        <f t="shared" ca="1" si="0"/>
        <v>0</v>
      </c>
      <c r="C8" s="93"/>
      <c r="D8" s="93">
        <f t="shared" ca="1" si="1"/>
        <v>0</v>
      </c>
      <c r="E8" s="93"/>
      <c r="F8" s="93">
        <f t="shared" ca="1" si="2"/>
        <v>0</v>
      </c>
    </row>
    <row r="9" spans="1:7" x14ac:dyDescent="0.35">
      <c r="A9" s="93" t="s">
        <v>78</v>
      </c>
      <c r="B9" s="125">
        <f t="shared" ca="1" si="0"/>
        <v>1</v>
      </c>
      <c r="C9" s="93"/>
      <c r="D9" s="93" t="e">
        <f t="shared" ca="1" si="1"/>
        <v>#REF!</v>
      </c>
      <c r="E9" s="93"/>
      <c r="F9" s="93" t="e">
        <f t="shared" ca="1" si="2"/>
        <v>#REF!</v>
      </c>
    </row>
    <row r="10" spans="1:7" x14ac:dyDescent="0.35">
      <c r="A10" s="93" t="s">
        <v>79</v>
      </c>
      <c r="B10" s="125">
        <f t="shared" ca="1" si="0"/>
        <v>0</v>
      </c>
      <c r="C10" s="93"/>
      <c r="D10" s="93">
        <f t="shared" ca="1" si="1"/>
        <v>0</v>
      </c>
      <c r="E10" s="93"/>
      <c r="F10" s="93">
        <f t="shared" ca="1" si="2"/>
        <v>0</v>
      </c>
    </row>
    <row r="11" spans="1:7" x14ac:dyDescent="0.35">
      <c r="A11" s="93" t="s">
        <v>80</v>
      </c>
      <c r="B11" s="125">
        <f t="shared" ca="1" si="0"/>
        <v>0</v>
      </c>
      <c r="C11" s="93"/>
      <c r="D11" s="93">
        <f t="shared" ca="1" si="1"/>
        <v>0</v>
      </c>
      <c r="E11" s="93"/>
      <c r="F11" s="93">
        <f t="shared" ca="1" si="2"/>
        <v>0</v>
      </c>
    </row>
    <row r="12" spans="1:7" x14ac:dyDescent="0.35">
      <c r="A12" s="93" t="s">
        <v>81</v>
      </c>
      <c r="B12" s="125">
        <f t="shared" ca="1" si="0"/>
        <v>0</v>
      </c>
      <c r="C12" s="93"/>
      <c r="D12" s="93">
        <f t="shared" ca="1" si="1"/>
        <v>0</v>
      </c>
      <c r="E12" s="93"/>
      <c r="F12" s="93">
        <f t="shared" ca="1" si="2"/>
        <v>0</v>
      </c>
    </row>
    <row r="13" spans="1:7" x14ac:dyDescent="0.35">
      <c r="A13" s="93" t="s">
        <v>82</v>
      </c>
      <c r="B13" s="125">
        <f t="shared" ca="1" si="0"/>
        <v>1</v>
      </c>
      <c r="C13" s="93"/>
      <c r="D13" s="93" t="e">
        <f t="shared" ca="1" si="1"/>
        <v>#REF!</v>
      </c>
      <c r="E13" s="93"/>
      <c r="F13" s="93" t="e">
        <f t="shared" ca="1" si="2"/>
        <v>#REF!</v>
      </c>
    </row>
    <row r="14" spans="1:7" ht="3.65" customHeight="1" x14ac:dyDescent="0.35">
      <c r="A14" s="93"/>
      <c r="B14" s="93"/>
      <c r="C14" s="93"/>
      <c r="D14" s="93"/>
      <c r="E14" s="93"/>
      <c r="F14" s="93"/>
    </row>
    <row r="15" spans="1:7" ht="27.65" customHeight="1" x14ac:dyDescent="0.35">
      <c r="A15" s="94" t="s">
        <v>83</v>
      </c>
      <c r="B15" s="95"/>
      <c r="C15" s="93"/>
      <c r="D15" s="93"/>
      <c r="E15" s="93"/>
      <c r="F15" s="9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S60"/>
  <sheetViews>
    <sheetView workbookViewId="0">
      <selection activeCell="A14" sqref="A14:A1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t="s">
        <v>65</v>
      </c>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1" t="s">
        <v>31</v>
      </c>
      <c r="F11" s="71" t="s">
        <v>6</v>
      </c>
      <c r="G11" s="71" t="s">
        <v>31</v>
      </c>
      <c r="H11" s="71"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0.1*(Horaires3567[[#This Row],[Heures de nuit]]+Horaires3567[[#This Row],[heures jour dimanche]]+Horaires3567[[#This Row],[heures jour fériés]])</f>
        <v>0</v>
      </c>
      <c r="J13" s="39">
        <f>(MOD(Horaires3567[[#This Row],[Fin]]-Horaires3567[[#This Row],[début]],1)-MOD(Horaires3567[[#This Row],[PNP Fin]]-Horaires3567[[#This Row],[PNP Début]],1))*24</f>
        <v>0</v>
      </c>
      <c r="K13" s="40">
        <f>IF(Horaires3567[[#This Row],[PNP Début]]=0,0,IF(Horaires3567[[#This Row],[PNP Début]]&lt;Horaires3567[[#This Row],[début]],1,0)+Horaires3567[[#This Row],[PNP Début]])</f>
        <v>0</v>
      </c>
      <c r="L13" s="40">
        <f>IF(Horaires3567[[#This Row],[PNP Fin]]=0,0,IF(Horaires3567[[#This Row],[PNP Fin]]&lt;Horaires3567[[#This Row],[début]],1,0)+Horaires3567[[#This Row],[PNP Fin]])</f>
        <v>0</v>
      </c>
      <c r="M13" s="40">
        <f>IF(Horaires3567[[#This Row],[Fin]]&lt;Horaires3567[[#This Row],[début]],1,0)+Horaires3567[[#This Row],[Fin]]</f>
        <v>0</v>
      </c>
      <c r="N13" s="41">
        <f>MAX(0,MIN(Horaires3567[[#This Row],[Fin corrigée si nuit]],fin_nuit)-MAX(Horaires3567[[#This Row],[début]],deb_nuit))*24</f>
        <v>0</v>
      </c>
      <c r="O13" s="41">
        <f>(MAX(0,MIN(Horaires3567[[#This Row],[Fin corrigée si nuit]],fin_nuit)-MAX(Horaires3567[[#This Row],[début]],deb_nuit))-IF(Horaires3567[[#This Row],[PNP Début]]=0,0,MIN(Horaires3567[[#This Row],[PNP Fin corrigée]],fin_nuit)-MAX(Horaires3567[[#This Row],[PNP Début corrigé]],deb_nuit)))*24</f>
        <v>0</v>
      </c>
      <c r="P13" s="41">
        <f>(IF(WEEKDAY(Horaires3567[[#This Row],[Date]],2)=7,MAX(0,MIN(fin_dimJF,Horaires3567[[#This Row],[Fin corrigée si nuit]])-MAX(deb_dimJF,Horaires3567[[#This Row],[début]])),0)+IF(WEEKDAY(Horaires3567[[#This Row],[Date]],2)=6,MAX(0,Horaires3567[[#This Row],[Fin corrigée si nuit]]-(1+deb_dimJF)),0))*24</f>
        <v>0</v>
      </c>
      <c r="Q13" s="4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13" s="42">
        <f>(IF(COUNTIF(JF,Horaires3567[[#This Row],[Date]]),MAX(0,MIN(fin_dimJF,Horaires3567[[#This Row],[Fin corrigée si nuit]])-MAX(deb_dimJF,Horaires3567[[#This Row],[début]])),0)+IF(COUNTIF(JF,Horaires3567[[#This Row],[Date]]+1),MAX(0,Horaires3567[[#This Row],[Fin corrigée si nuit]]-(1+deb_dimJF)),0))*24</f>
        <v>0</v>
      </c>
      <c r="S13" s="4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14" spans="1:19" x14ac:dyDescent="0.35">
      <c r="A14" s="9"/>
      <c r="B14" s="1"/>
      <c r="C14" s="2"/>
      <c r="D14" s="2"/>
      <c r="E14" s="3"/>
      <c r="F14" s="3"/>
      <c r="G14" s="3"/>
      <c r="H14" s="3"/>
      <c r="I14" s="38">
        <f>0.1*(Horaires3567[[#This Row],[Heures de nuit]]+Horaires3567[[#This Row],[heures jour dimanche]]+Horaires3567[[#This Row],[heures jour fériés]])</f>
        <v>0</v>
      </c>
      <c r="J14" s="39">
        <f>(MOD(Horaires3567[[#This Row],[Fin]]-Horaires3567[[#This Row],[début]],1)-MOD(Horaires3567[[#This Row],[PNP Fin]]-Horaires3567[[#This Row],[PNP Début]],1))*24</f>
        <v>0</v>
      </c>
      <c r="K14" s="40">
        <f>IF(Horaires3567[[#This Row],[PNP Début]]=0,0,IF(Horaires3567[[#This Row],[PNP Début]]&lt;Horaires3567[[#This Row],[début]],1,0)+Horaires3567[[#This Row],[PNP Début]])</f>
        <v>0</v>
      </c>
      <c r="L14" s="40">
        <f>IF(Horaires3567[[#This Row],[PNP Fin]]=0,0,IF(Horaires3567[[#This Row],[PNP Fin]]&lt;Horaires3567[[#This Row],[début]],1,0)+Horaires3567[[#This Row],[PNP Fin]])</f>
        <v>0</v>
      </c>
      <c r="M14" s="40">
        <f>IF(Horaires3567[[#This Row],[Fin]]&lt;Horaires3567[[#This Row],[début]],1,0)+Horaires3567[[#This Row],[Fin]]</f>
        <v>0</v>
      </c>
      <c r="N14" s="41">
        <f>MAX(0,MIN(Horaires3567[[#This Row],[Fin corrigée si nuit]],fin_nuit)-MAX(Horaires3567[[#This Row],[début]],deb_nuit))*24</f>
        <v>0</v>
      </c>
      <c r="O14" s="41">
        <f>(MAX(0,MIN(Horaires3567[[#This Row],[Fin corrigée si nuit]],fin_nuit)-MAX(Horaires3567[[#This Row],[début]],deb_nuit))-IF(Horaires3567[[#This Row],[PNP Début]]=0,0,MIN(Horaires3567[[#This Row],[PNP Fin corrigée]],fin_nuit)-MAX(Horaires3567[[#This Row],[PNP Début corrigé]],deb_nuit)))*24</f>
        <v>0</v>
      </c>
      <c r="P14" s="41">
        <f>(IF(WEEKDAY(Horaires3567[[#This Row],[Date]],2)=7,MAX(0,MIN(fin_dimJF,Horaires3567[[#This Row],[Fin corrigée si nuit]])-MAX(deb_dimJF,Horaires3567[[#This Row],[début]])),0)+IF(WEEKDAY(Horaires3567[[#This Row],[Date]],2)=6,MAX(0,Horaires3567[[#This Row],[Fin corrigée si nuit]]-(1+deb_dimJF)),0))*24</f>
        <v>0</v>
      </c>
      <c r="Q14" s="4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14" s="42">
        <f>(IF(COUNTIF(JF,Horaires3567[[#This Row],[Date]]),MAX(0,MIN(fin_dimJF,Horaires3567[[#This Row],[Fin corrigée si nuit]])-MAX(deb_dimJF,Horaires3567[[#This Row],[début]])),0)+IF(COUNTIF(JF,Horaires3567[[#This Row],[Date]]+1),MAX(0,Horaires3567[[#This Row],[Fin corrigée si nuit]]-(1+deb_dimJF)),0))*24</f>
        <v>0</v>
      </c>
      <c r="S14" s="4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15" spans="1:19" x14ac:dyDescent="0.35">
      <c r="A15" s="9"/>
      <c r="B15" s="1"/>
      <c r="C15" s="2"/>
      <c r="D15" s="2"/>
      <c r="E15" s="3"/>
      <c r="F15" s="3"/>
      <c r="G15" s="3"/>
      <c r="H15" s="3"/>
      <c r="I15" s="38">
        <f>0.1*(Horaires3567[[#This Row],[Heures de nuit]]+Horaires3567[[#This Row],[heures jour dimanche]]+Horaires3567[[#This Row],[heures jour fériés]])</f>
        <v>0</v>
      </c>
      <c r="J15" s="39">
        <f>(MOD(Horaires3567[[#This Row],[Fin]]-Horaires3567[[#This Row],[début]],1)-MOD(Horaires3567[[#This Row],[PNP Fin]]-Horaires3567[[#This Row],[PNP Début]],1))*24</f>
        <v>0</v>
      </c>
      <c r="K15" s="40">
        <f>IF(Horaires3567[[#This Row],[PNP Début]]=0,0,IF(Horaires3567[[#This Row],[PNP Début]]&lt;Horaires3567[[#This Row],[début]],1,0)+Horaires3567[[#This Row],[PNP Début]])</f>
        <v>0</v>
      </c>
      <c r="L15" s="40">
        <f>IF(Horaires3567[[#This Row],[PNP Fin]]=0,0,IF(Horaires3567[[#This Row],[PNP Fin]]&lt;Horaires3567[[#This Row],[début]],1,0)+Horaires3567[[#This Row],[PNP Fin]])</f>
        <v>0</v>
      </c>
      <c r="M15" s="40">
        <f>IF(Horaires3567[[#This Row],[Fin]]&lt;Horaires3567[[#This Row],[début]],1,0)+Horaires3567[[#This Row],[Fin]]</f>
        <v>0</v>
      </c>
      <c r="N15" s="41">
        <f>MAX(0,MIN(Horaires3567[[#This Row],[Fin corrigée si nuit]],fin_nuit)-MAX(Horaires3567[[#This Row],[début]],deb_nuit))*24</f>
        <v>0</v>
      </c>
      <c r="O15" s="41">
        <f>(MAX(0,MIN(Horaires3567[[#This Row],[Fin corrigée si nuit]],fin_nuit)-MAX(Horaires3567[[#This Row],[début]],deb_nuit))-IF(Horaires3567[[#This Row],[PNP Début]]=0,0,MIN(Horaires3567[[#This Row],[PNP Fin corrigée]],fin_nuit)-MAX(Horaires3567[[#This Row],[PNP Début corrigé]],deb_nuit)))*24</f>
        <v>0</v>
      </c>
      <c r="P15" s="41">
        <f>(IF(WEEKDAY(Horaires3567[[#This Row],[Date]],2)=7,MAX(0,MIN(fin_dimJF,Horaires3567[[#This Row],[Fin corrigée si nuit]])-MAX(deb_dimJF,Horaires3567[[#This Row],[début]])),0)+IF(WEEKDAY(Horaires3567[[#This Row],[Date]],2)=6,MAX(0,Horaires3567[[#This Row],[Fin corrigée si nuit]]-(1+deb_dimJF)),0))*24</f>
        <v>0</v>
      </c>
      <c r="Q15" s="4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15" s="42">
        <f>(IF(COUNTIF(JF,Horaires3567[[#This Row],[Date]]),MAX(0,MIN(fin_dimJF,Horaires3567[[#This Row],[Fin corrigée si nuit]])-MAX(deb_dimJF,Horaires3567[[#This Row],[début]])),0)+IF(COUNTIF(JF,Horaires3567[[#This Row],[Date]]+1),MAX(0,Horaires3567[[#This Row],[Fin corrigée si nuit]]-(1+deb_dimJF)),0))*24</f>
        <v>0</v>
      </c>
      <c r="S15" s="4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16" spans="1:19" x14ac:dyDescent="0.35">
      <c r="A16" s="9"/>
      <c r="B16" s="10"/>
      <c r="C16" s="2"/>
      <c r="D16" s="2"/>
      <c r="E16" s="3"/>
      <c r="F16" s="3"/>
      <c r="G16" s="11"/>
      <c r="H16" s="11"/>
      <c r="I16" s="38">
        <f>0.1*(Horaires3567[[#This Row],[Heures de nuit]]+Horaires3567[[#This Row],[heures jour dimanche]]+Horaires3567[[#This Row],[heures jour fériés]])</f>
        <v>0</v>
      </c>
      <c r="J16" s="43">
        <f>(MOD(Horaires3567[[#This Row],[Fin]]-Horaires3567[[#This Row],[début]],1)-MOD(Horaires3567[[#This Row],[PNP Fin]]-Horaires3567[[#This Row],[PNP Début]],1))*24</f>
        <v>0</v>
      </c>
      <c r="K16" s="40">
        <f>IF(Horaires3567[[#This Row],[PNP Début]]=0,0,IF(Horaires3567[[#This Row],[PNP Début]]&lt;Horaires3567[[#This Row],[début]],1,0)+Horaires3567[[#This Row],[PNP Début]])</f>
        <v>0</v>
      </c>
      <c r="L16" s="40">
        <f>IF(Horaires3567[[#This Row],[PNP Fin]]=0,0,IF(Horaires3567[[#This Row],[PNP Fin]]&lt;Horaires3567[[#This Row],[début]],1,0)+Horaires3567[[#This Row],[PNP Fin]])</f>
        <v>0</v>
      </c>
      <c r="M16" s="44">
        <f>IF(Horaires3567[[#This Row],[Fin]]&lt;Horaires3567[[#This Row],[début]],1,0)+Horaires3567[[#This Row],[Fin]]</f>
        <v>0</v>
      </c>
      <c r="N16" s="41">
        <f>MAX(0,MIN(Horaires3567[[#This Row],[Fin corrigée si nuit]],fin_nuit)-MAX(Horaires3567[[#This Row],[début]],deb_nuit))*24</f>
        <v>0</v>
      </c>
      <c r="O16" s="45">
        <f>(MAX(0,MIN(Horaires3567[[#This Row],[Fin corrigée si nuit]],fin_nuit)-MAX(Horaires3567[[#This Row],[début]],deb_nuit))-IF(Horaires3567[[#This Row],[PNP Début]]=0,0,MIN(Horaires3567[[#This Row],[PNP Fin corrigée]],fin_nuit)-MAX(Horaires3567[[#This Row],[PNP Début corrigé]],deb_nuit)))*24</f>
        <v>0</v>
      </c>
      <c r="P16" s="45">
        <f>(IF(WEEKDAY(Horaires3567[[#This Row],[Date]],2)=7,MAX(0,MIN(fin_dimJF,Horaires3567[[#This Row],[Fin corrigée si nuit]])-MAX(deb_dimJF,Horaires3567[[#This Row],[début]])),0)+IF(WEEKDAY(Horaires3567[[#This Row],[Date]],2)=6,MAX(0,Horaires3567[[#This Row],[Fin corrigée si nuit]]-(1+deb_dimJF)),0))*24</f>
        <v>0</v>
      </c>
      <c r="Q16" s="4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16" s="46">
        <f>(IF(COUNTIF(JF,Horaires3567[[#This Row],[Date]]),MAX(0,MIN(fin_dimJF,Horaires3567[[#This Row],[Fin corrigée si nuit]])-MAX(deb_dimJF,Horaires3567[[#This Row],[début]])),0)+IF(COUNTIF(JF,Horaires3567[[#This Row],[Date]]+1),MAX(0,Horaires3567[[#This Row],[Fin corrigée si nuit]]-(1+deb_dimJF)),0))*24</f>
        <v>0</v>
      </c>
      <c r="S16" s="46">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17" spans="1:19" x14ac:dyDescent="0.35">
      <c r="A17" s="9"/>
      <c r="B17" s="1"/>
      <c r="C17" s="2"/>
      <c r="D17" s="2"/>
      <c r="E17" s="3"/>
      <c r="F17" s="3"/>
      <c r="G17" s="17"/>
      <c r="H17" s="17"/>
      <c r="I17" s="47">
        <f>0.1*(Horaires3567[[#This Row],[Heures de nuit]]+Horaires3567[[#This Row],[heures jour dimanche]]+Horaires3567[[#This Row],[heures jour fériés]])</f>
        <v>0</v>
      </c>
      <c r="J17" s="48">
        <f>(MOD(Horaires3567[[#This Row],[Fin]]-Horaires3567[[#This Row],[début]],1)-MOD(Horaires3567[[#This Row],[PNP Fin]]-Horaires3567[[#This Row],[PNP Début]],1))*24</f>
        <v>0</v>
      </c>
      <c r="K17" s="49">
        <f>IF(Horaires3567[[#This Row],[PNP Début]]=0,0,IF(Horaires3567[[#This Row],[PNP Début]]&lt;Horaires3567[[#This Row],[début]],1,0)+Horaires3567[[#This Row],[PNP Début]])</f>
        <v>0</v>
      </c>
      <c r="L17" s="50">
        <f>IF(Horaires3567[[#This Row],[PNP Fin]]=0,0,IF(Horaires3567[[#This Row],[PNP Fin]]&lt;Horaires3567[[#This Row],[début]],1,0)+Horaires3567[[#This Row],[PNP Fin]])</f>
        <v>0</v>
      </c>
      <c r="M17" s="50">
        <f>IF(Horaires3567[[#This Row],[Fin]]&lt;Horaires3567[[#This Row],[début]],1,0)+Horaires3567[[#This Row],[Fin]]</f>
        <v>0</v>
      </c>
      <c r="N17" s="41">
        <f>MAX(0,MIN(Horaires3567[[#This Row],[Fin corrigée si nuit]],fin_nuit)-MAX(Horaires3567[[#This Row],[début]],deb_nuit))*24</f>
        <v>0</v>
      </c>
      <c r="O17" s="51">
        <f>(MAX(0,MIN(Horaires3567[[#This Row],[Fin corrigée si nuit]],fin_nuit)-MAX(Horaires3567[[#This Row],[début]],deb_nuit))-IF(Horaires3567[[#This Row],[PNP Début]]=0,0,MIN(Horaires3567[[#This Row],[PNP Fin corrigée]],fin_nuit)-MAX(Horaires3567[[#This Row],[PNP Début corrigé]],deb_nuit)))*24</f>
        <v>0</v>
      </c>
      <c r="P17" s="51">
        <f>(IF(WEEKDAY(Horaires3567[[#This Row],[Date]],2)=7,MAX(0,MIN(fin_dimJF,Horaires3567[[#This Row],[Fin corrigée si nuit]])-MAX(deb_dimJF,Horaires3567[[#This Row],[début]])),0)+IF(WEEKDAY(Horaires3567[[#This Row],[Date]],2)=6,MAX(0,Horaires3567[[#This Row],[Fin corrigée si nuit]]-(1+deb_dimJF)),0))*24</f>
        <v>0</v>
      </c>
      <c r="Q17" s="5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17" s="51">
        <f>(IF(COUNTIF(JF,Horaires3567[[#This Row],[Date]]),MAX(0,MIN(fin_dimJF,Horaires3567[[#This Row],[Fin corrigée si nuit]])-MAX(deb_dimJF,Horaires3567[[#This Row],[début]])),0)+IF(COUNTIF(JF,Horaires3567[[#This Row],[Date]]+1),MAX(0,Horaires3567[[#This Row],[Fin corrigée si nuit]]-(1+deb_dimJF)),0))*24</f>
        <v>0</v>
      </c>
      <c r="S17" s="51">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18" spans="1:19" x14ac:dyDescent="0.35">
      <c r="A18" s="9"/>
      <c r="B18" s="69"/>
      <c r="C18" s="16"/>
      <c r="D18" s="16"/>
      <c r="E18" s="17"/>
      <c r="F18" s="17"/>
      <c r="G18" s="17"/>
      <c r="H18" s="17"/>
      <c r="I18" s="47">
        <f>0.1*(Horaires3567[[#This Row],[Heures de nuit]]+Horaires3567[[#This Row],[heures jour dimanche]]+Horaires3567[[#This Row],[heures jour fériés]])</f>
        <v>0</v>
      </c>
      <c r="J18" s="48">
        <f>(MOD(Horaires3567[[#This Row],[Fin]]-Horaires3567[[#This Row],[début]],1)-MOD(Horaires3567[[#This Row],[PNP Fin]]-Horaires3567[[#This Row],[PNP Début]],1))*24</f>
        <v>0</v>
      </c>
      <c r="K18" s="49">
        <f>IF(Horaires3567[[#This Row],[PNP Début]]=0,0,IF(Horaires3567[[#This Row],[PNP Début]]&lt;Horaires3567[[#This Row],[début]],1,0)+Horaires3567[[#This Row],[PNP Début]])</f>
        <v>0</v>
      </c>
      <c r="L18" s="50">
        <f>IF(Horaires3567[[#This Row],[PNP Fin]]=0,0,IF(Horaires3567[[#This Row],[PNP Fin]]&lt;Horaires3567[[#This Row],[début]],1,0)+Horaires3567[[#This Row],[PNP Fin]])</f>
        <v>0</v>
      </c>
      <c r="M18" s="50">
        <f>IF(Horaires3567[[#This Row],[Fin]]&lt;Horaires3567[[#This Row],[début]],1,0)+Horaires3567[[#This Row],[Fin]]</f>
        <v>0</v>
      </c>
      <c r="N18" s="41">
        <f>MAX(0,MIN(Horaires3567[[#This Row],[Fin corrigée si nuit]],fin_nuit)-MAX(Horaires3567[[#This Row],[début]],deb_nuit))*24</f>
        <v>0</v>
      </c>
      <c r="O18" s="51">
        <f>(MAX(0,MIN(Horaires3567[[#This Row],[Fin corrigée si nuit]],fin_nuit)-MAX(Horaires3567[[#This Row],[début]],deb_nuit))-IF(Horaires3567[[#This Row],[PNP Début]]=0,0,MIN(Horaires3567[[#This Row],[PNP Fin corrigée]],fin_nuit)-MAX(Horaires3567[[#This Row],[PNP Début corrigé]],deb_nuit)))*24</f>
        <v>0</v>
      </c>
      <c r="P18" s="51">
        <f>(IF(WEEKDAY(Horaires3567[[#This Row],[Date]],2)=7,MAX(0,MIN(fin_dimJF,Horaires3567[[#This Row],[Fin corrigée si nuit]])-MAX(deb_dimJF,Horaires3567[[#This Row],[début]])),0)+IF(WEEKDAY(Horaires3567[[#This Row],[Date]],2)=6,MAX(0,Horaires3567[[#This Row],[Fin corrigée si nuit]]-(1+deb_dimJF)),0))*24</f>
        <v>0</v>
      </c>
      <c r="Q18" s="5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18" s="51">
        <f>(IF(COUNTIF(JF,Horaires3567[[#This Row],[Date]]),MAX(0,MIN(fin_dimJF,Horaires3567[[#This Row],[Fin corrigée si nuit]])-MAX(deb_dimJF,Horaires3567[[#This Row],[début]])),0)+IF(COUNTIF(JF,Horaires3567[[#This Row],[Date]]+1),MAX(0,Horaires3567[[#This Row],[Fin corrigée si nuit]]-(1+deb_dimJF)),0))*24</f>
        <v>0</v>
      </c>
      <c r="S18" s="51">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19" spans="1:19" x14ac:dyDescent="0.35">
      <c r="A19" s="9"/>
      <c r="B19" s="1"/>
      <c r="C19" s="16"/>
      <c r="D19" s="16"/>
      <c r="E19" s="3"/>
      <c r="F19" s="3"/>
      <c r="G19" s="17"/>
      <c r="H19" s="17"/>
      <c r="I19" s="47">
        <f>0.1*(Horaires3567[[#This Row],[Heures de nuit]]+Horaires3567[[#This Row],[heures jour dimanche]]+Horaires3567[[#This Row],[heures jour fériés]])</f>
        <v>0</v>
      </c>
      <c r="J19" s="48">
        <f>(MOD(Horaires3567[[#This Row],[Fin]]-Horaires3567[[#This Row],[début]],1)-MOD(Horaires3567[[#This Row],[PNP Fin]]-Horaires3567[[#This Row],[PNP Début]],1))*24</f>
        <v>0</v>
      </c>
      <c r="K19" s="49">
        <f>IF(Horaires3567[[#This Row],[PNP Début]]=0,0,IF(Horaires3567[[#This Row],[PNP Début]]&lt;Horaires3567[[#This Row],[début]],1,0)+Horaires3567[[#This Row],[PNP Début]])</f>
        <v>0</v>
      </c>
      <c r="L19" s="50">
        <f>IF(Horaires3567[[#This Row],[PNP Fin]]=0,0,IF(Horaires3567[[#This Row],[PNP Fin]]&lt;Horaires3567[[#This Row],[début]],1,0)+Horaires3567[[#This Row],[PNP Fin]])</f>
        <v>0</v>
      </c>
      <c r="M19" s="50">
        <f>IF(Horaires3567[[#This Row],[Fin]]&lt;Horaires3567[[#This Row],[début]],1,0)+Horaires3567[[#This Row],[Fin]]</f>
        <v>0</v>
      </c>
      <c r="N19" s="41">
        <f>MAX(0,MIN(Horaires3567[[#This Row],[Fin corrigée si nuit]],fin_nuit)-MAX(Horaires3567[[#This Row],[début]],deb_nuit))*24</f>
        <v>0</v>
      </c>
      <c r="O19" s="51">
        <f>(MAX(0,MIN(Horaires3567[[#This Row],[Fin corrigée si nuit]],fin_nuit)-MAX(Horaires3567[[#This Row],[début]],deb_nuit))-IF(Horaires3567[[#This Row],[PNP Début]]=0,0,MIN(Horaires3567[[#This Row],[PNP Fin corrigée]],fin_nuit)-MAX(Horaires3567[[#This Row],[PNP Début corrigé]],deb_nuit)))*24</f>
        <v>0</v>
      </c>
      <c r="P19" s="51">
        <f>(IF(WEEKDAY(Horaires3567[[#This Row],[Date]],2)=7,MAX(0,MIN(fin_dimJF,Horaires3567[[#This Row],[Fin corrigée si nuit]])-MAX(deb_dimJF,Horaires3567[[#This Row],[début]])),0)+IF(WEEKDAY(Horaires3567[[#This Row],[Date]],2)=6,MAX(0,Horaires3567[[#This Row],[Fin corrigée si nuit]]-(1+deb_dimJF)),0))*24</f>
        <v>0</v>
      </c>
      <c r="Q19" s="5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19" s="51">
        <f>(IF(COUNTIF(JF,Horaires3567[[#This Row],[Date]]),MAX(0,MIN(fin_dimJF,Horaires3567[[#This Row],[Fin corrigée si nuit]])-MAX(deb_dimJF,Horaires3567[[#This Row],[début]])),0)+IF(COUNTIF(JF,Horaires3567[[#This Row],[Date]]+1),MAX(0,Horaires3567[[#This Row],[Fin corrigée si nuit]]-(1+deb_dimJF)),0))*24</f>
        <v>0</v>
      </c>
      <c r="S19" s="51">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0" spans="1:19" x14ac:dyDescent="0.35">
      <c r="A20" s="9"/>
      <c r="B20" s="1"/>
      <c r="C20" s="16"/>
      <c r="D20" s="16"/>
      <c r="E20" s="17"/>
      <c r="F20" s="17"/>
      <c r="G20" s="17"/>
      <c r="H20" s="17"/>
      <c r="I20" s="47">
        <f>0.1*(Horaires3567[[#This Row],[Heures de nuit]]+Horaires3567[[#This Row],[heures jour dimanche]]+Horaires3567[[#This Row],[heures jour fériés]])</f>
        <v>0</v>
      </c>
      <c r="J20" s="48">
        <f>(MOD(Horaires3567[[#This Row],[Fin]]-Horaires3567[[#This Row],[début]],1)-MOD(Horaires3567[[#This Row],[PNP Fin]]-Horaires3567[[#This Row],[PNP Début]],1))*24</f>
        <v>0</v>
      </c>
      <c r="K20" s="49">
        <f>IF(Horaires3567[[#This Row],[PNP Début]]=0,0,IF(Horaires3567[[#This Row],[PNP Début]]&lt;Horaires3567[[#This Row],[début]],1,0)+Horaires3567[[#This Row],[PNP Début]])</f>
        <v>0</v>
      </c>
      <c r="L20" s="50">
        <f>IF(Horaires3567[[#This Row],[PNP Fin]]=0,0,IF(Horaires3567[[#This Row],[PNP Fin]]&lt;Horaires3567[[#This Row],[début]],1,0)+Horaires3567[[#This Row],[PNP Fin]])</f>
        <v>0</v>
      </c>
      <c r="M20" s="50">
        <f>IF(Horaires3567[[#This Row],[Fin]]&lt;Horaires3567[[#This Row],[début]],1,0)+Horaires3567[[#This Row],[Fin]]</f>
        <v>0</v>
      </c>
      <c r="N20" s="41">
        <f>MAX(0,MIN(Horaires3567[[#This Row],[Fin corrigée si nuit]],fin_nuit)-MAX(Horaires3567[[#This Row],[début]],deb_nuit))*24</f>
        <v>0</v>
      </c>
      <c r="O20" s="51">
        <f>(MAX(0,MIN(Horaires3567[[#This Row],[Fin corrigée si nuit]],fin_nuit)-MAX(Horaires3567[[#This Row],[début]],deb_nuit))-IF(Horaires3567[[#This Row],[PNP Début]]=0,0,MIN(Horaires3567[[#This Row],[PNP Fin corrigée]],fin_nuit)-MAX(Horaires3567[[#This Row],[PNP Début corrigé]],deb_nuit)))*24</f>
        <v>0</v>
      </c>
      <c r="P20" s="51">
        <f>(IF(WEEKDAY(Horaires3567[[#This Row],[Date]],2)=7,MAX(0,MIN(fin_dimJF,Horaires3567[[#This Row],[Fin corrigée si nuit]])-MAX(deb_dimJF,Horaires3567[[#This Row],[début]])),0)+IF(WEEKDAY(Horaires3567[[#This Row],[Date]],2)=6,MAX(0,Horaires3567[[#This Row],[Fin corrigée si nuit]]-(1+deb_dimJF)),0))*24</f>
        <v>0</v>
      </c>
      <c r="Q20" s="51">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0" s="51">
        <f>(IF(COUNTIF(JF,Horaires3567[[#This Row],[Date]]),MAX(0,MIN(fin_dimJF,Horaires3567[[#This Row],[Fin corrigée si nuit]])-MAX(deb_dimJF,Horaires3567[[#This Row],[début]])),0)+IF(COUNTIF(JF,Horaires3567[[#This Row],[Date]]+1),MAX(0,Horaires3567[[#This Row],[Fin corrigée si nuit]]-(1+deb_dimJF)),0))*24</f>
        <v>0</v>
      </c>
      <c r="S20" s="51">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1" spans="1:19" x14ac:dyDescent="0.35">
      <c r="A21" s="9"/>
      <c r="B21" s="10"/>
      <c r="C21" s="18"/>
      <c r="D21" s="18"/>
      <c r="E21" s="3"/>
      <c r="F21" s="3"/>
      <c r="G21" s="19"/>
      <c r="H21" s="19"/>
      <c r="I21" s="52">
        <f>0.1*(Horaires3567[[#This Row],[Heures de nuit]]+Horaires3567[[#This Row],[heures jour dimanche]]+Horaires3567[[#This Row],[heures jour fériés]])</f>
        <v>0</v>
      </c>
      <c r="J21" s="53">
        <f>(MOD(Horaires3567[[#This Row],[Fin]]-Horaires3567[[#This Row],[début]],1)-MOD(Horaires3567[[#This Row],[PNP Fin]]-Horaires3567[[#This Row],[PNP Début]],1))*24</f>
        <v>0</v>
      </c>
      <c r="K21" s="54">
        <f>IF(Horaires3567[[#This Row],[PNP Début]]=0,0,IF(Horaires3567[[#This Row],[PNP Début]]&lt;Horaires3567[[#This Row],[début]],1,0)+Horaires3567[[#This Row],[PNP Début]])</f>
        <v>0</v>
      </c>
      <c r="L21" s="55">
        <f>IF(Horaires3567[[#This Row],[PNP Fin]]=0,0,IF(Horaires3567[[#This Row],[PNP Fin]]&lt;Horaires3567[[#This Row],[début]],1,0)+Horaires3567[[#This Row],[PNP Fin]])</f>
        <v>0</v>
      </c>
      <c r="M21" s="55">
        <f>IF(Horaires3567[[#This Row],[Fin]]&lt;Horaires3567[[#This Row],[début]],1,0)+Horaires3567[[#This Row],[Fin]]</f>
        <v>0</v>
      </c>
      <c r="N21" s="41">
        <f>MAX(0,MIN(Horaires3567[[#This Row],[Fin corrigée si nuit]],fin_nuit)-MAX(Horaires3567[[#This Row],[début]],deb_nuit))*24</f>
        <v>0</v>
      </c>
      <c r="O21" s="56">
        <f>(MAX(0,MIN(Horaires3567[[#This Row],[Fin corrigée si nuit]],fin_nuit)-MAX(Horaires3567[[#This Row],[début]],deb_nuit))-IF(Horaires3567[[#This Row],[PNP Début]]=0,0,MIN(Horaires3567[[#This Row],[PNP Fin corrigée]],fin_nuit)-MAX(Horaires3567[[#This Row],[PNP Début corrigé]],deb_nuit)))*24</f>
        <v>0</v>
      </c>
      <c r="P21" s="56">
        <f>(IF(WEEKDAY(Horaires3567[[#This Row],[Date]],2)=7,MAX(0,MIN(fin_dimJF,Horaires3567[[#This Row],[Fin corrigée si nuit]])-MAX(deb_dimJF,Horaires3567[[#This Row],[début]])),0)+IF(WEEKDAY(Horaires3567[[#This Row],[Date]],2)=6,MAX(0,Horaires3567[[#This Row],[Fin corrigée si nuit]]-(1+deb_dimJF)),0))*24</f>
        <v>0</v>
      </c>
      <c r="Q21" s="56">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1" s="56">
        <f>(IF(COUNTIF(JF,Horaires3567[[#This Row],[Date]]),MAX(0,MIN(fin_dimJF,Horaires3567[[#This Row],[Fin corrigée si nuit]])-MAX(deb_dimJF,Horaires3567[[#This Row],[début]])),0)+IF(COUNTIF(JF,Horaires3567[[#This Row],[Date]]+1),MAX(0,Horaires3567[[#This Row],[Fin corrigée si nuit]]-(1+deb_dimJF)),0))*24</f>
        <v>0</v>
      </c>
      <c r="S21" s="56">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2" spans="1:19" x14ac:dyDescent="0.35">
      <c r="A22" s="9"/>
      <c r="B22" s="1"/>
      <c r="C22" s="18"/>
      <c r="D22" s="18"/>
      <c r="E22" s="3"/>
      <c r="F22" s="3"/>
      <c r="G22" s="3"/>
      <c r="H22" s="3"/>
      <c r="I22" s="57">
        <f>0.1*(Horaires3567[[#This Row],[Heures de nuit]]+Horaires3567[[#This Row],[heures jour dimanche]]+Horaires3567[[#This Row],[heures jour fériés]])</f>
        <v>0</v>
      </c>
      <c r="J22" s="58">
        <f>(MOD(Horaires3567[[#This Row],[Fin]]-Horaires3567[[#This Row],[début]],1)-MOD(Horaires3567[[#This Row],[PNP Fin]]-Horaires3567[[#This Row],[PNP Début]],1))*24</f>
        <v>0</v>
      </c>
      <c r="K22" s="59">
        <f>IF(Horaires3567[[#This Row],[PNP Début]]=0,0,IF(Horaires3567[[#This Row],[PNP Début]]&lt;Horaires3567[[#This Row],[début]],1,0)+Horaires3567[[#This Row],[PNP Début]])</f>
        <v>0</v>
      </c>
      <c r="L22" s="60">
        <f>IF(Horaires3567[[#This Row],[PNP Fin]]=0,0,IF(Horaires3567[[#This Row],[PNP Fin]]&lt;Horaires3567[[#This Row],[début]],1,0)+Horaires3567[[#This Row],[PNP Fin]])</f>
        <v>0</v>
      </c>
      <c r="M22" s="60">
        <f>IF(Horaires3567[[#This Row],[Fin]]&lt;Horaires3567[[#This Row],[début]],1,0)+Horaires3567[[#This Row],[Fin]]</f>
        <v>0</v>
      </c>
      <c r="N22" s="61">
        <f>MAX(0,MIN(Horaires3567[[#This Row],[Fin corrigée si nuit]],fin_nuit)-MAX(Horaires3567[[#This Row],[début]],deb_nuit))*24</f>
        <v>0</v>
      </c>
      <c r="O22" s="62">
        <f>(MAX(0,MIN(Horaires3567[[#This Row],[Fin corrigée si nuit]],fin_nuit)-MAX(Horaires3567[[#This Row],[début]],deb_nuit))-IF(Horaires3567[[#This Row],[PNP Début]]=0,0,MIN(Horaires3567[[#This Row],[PNP Fin corrigée]],fin_nuit)-MAX(Horaires3567[[#This Row],[PNP Début corrigé]],deb_nuit)))*24</f>
        <v>0</v>
      </c>
      <c r="P22" s="62">
        <f>(IF(WEEKDAY(Horaires3567[[#This Row],[Date]],2)=7,MAX(0,MIN(fin_dimJF,Horaires3567[[#This Row],[Fin corrigée si nuit]])-MAX(deb_dimJF,Horaires3567[[#This Row],[début]])),0)+IF(WEEKDAY(Horaires3567[[#This Row],[Date]],2)=6,MAX(0,Horaires3567[[#This Row],[Fin corrigée si nuit]]-(1+deb_dimJF)),0))*24</f>
        <v>0</v>
      </c>
      <c r="Q22"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2" s="62">
        <f>(IF(COUNTIF(JF,Horaires3567[[#This Row],[Date]]),MAX(0,MIN(fin_dimJF,Horaires3567[[#This Row],[Fin corrigée si nuit]])-MAX(deb_dimJF,Horaires3567[[#This Row],[début]])),0)+IF(COUNTIF(JF,Horaires3567[[#This Row],[Date]]+1),MAX(0,Horaires3567[[#This Row],[Fin corrigée si nuit]]-(1+deb_dimJF)),0))*24</f>
        <v>0</v>
      </c>
      <c r="S22"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3" spans="1:19" x14ac:dyDescent="0.35">
      <c r="A23" s="9"/>
      <c r="B23" s="1"/>
      <c r="C23" s="18"/>
      <c r="D23" s="18"/>
      <c r="E23" s="3"/>
      <c r="F23" s="3"/>
      <c r="G23" s="3"/>
      <c r="H23" s="3"/>
      <c r="I23" s="57">
        <f>0.1*(Horaires3567[[#This Row],[Heures de nuit]]+Horaires3567[[#This Row],[heures jour dimanche]]+Horaires3567[[#This Row],[heures jour fériés]])</f>
        <v>0</v>
      </c>
      <c r="J23" s="58">
        <f>(MOD(Horaires3567[[#This Row],[Fin]]-Horaires3567[[#This Row],[début]],1)-MOD(Horaires3567[[#This Row],[PNP Fin]]-Horaires3567[[#This Row],[PNP Début]],1))*24</f>
        <v>0</v>
      </c>
      <c r="K23" s="59">
        <f>IF(Horaires3567[[#This Row],[PNP Début]]=0,0,IF(Horaires3567[[#This Row],[PNP Début]]&lt;Horaires3567[[#This Row],[début]],1,0)+Horaires3567[[#This Row],[PNP Début]])</f>
        <v>0</v>
      </c>
      <c r="L23" s="60">
        <f>IF(Horaires3567[[#This Row],[PNP Fin]]=0,0,IF(Horaires3567[[#This Row],[PNP Fin]]&lt;Horaires3567[[#This Row],[début]],1,0)+Horaires3567[[#This Row],[PNP Fin]])</f>
        <v>0</v>
      </c>
      <c r="M23" s="60">
        <f>IF(Horaires3567[[#This Row],[Fin]]&lt;Horaires3567[[#This Row],[début]],1,0)+Horaires3567[[#This Row],[Fin]]</f>
        <v>0</v>
      </c>
      <c r="N23" s="61">
        <f>MAX(0,MIN(Horaires3567[[#This Row],[Fin corrigée si nuit]],fin_nuit)-MAX(Horaires3567[[#This Row],[début]],deb_nuit))*24</f>
        <v>0</v>
      </c>
      <c r="O23" s="62">
        <f>(MAX(0,MIN(Horaires3567[[#This Row],[Fin corrigée si nuit]],fin_nuit)-MAX(Horaires3567[[#This Row],[début]],deb_nuit))-IF(Horaires3567[[#This Row],[PNP Début]]=0,0,MIN(Horaires3567[[#This Row],[PNP Fin corrigée]],fin_nuit)-MAX(Horaires3567[[#This Row],[PNP Début corrigé]],deb_nuit)))*24</f>
        <v>0</v>
      </c>
      <c r="P23" s="62">
        <f>(IF(WEEKDAY(Horaires3567[[#This Row],[Date]],2)=7,MAX(0,MIN(fin_dimJF,Horaires3567[[#This Row],[Fin corrigée si nuit]])-MAX(deb_dimJF,Horaires3567[[#This Row],[début]])),0)+IF(WEEKDAY(Horaires3567[[#This Row],[Date]],2)=6,MAX(0,Horaires3567[[#This Row],[Fin corrigée si nuit]]-(1+deb_dimJF)),0))*24</f>
        <v>0</v>
      </c>
      <c r="Q23"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3" s="62">
        <f>(IF(COUNTIF(JF,Horaires3567[[#This Row],[Date]]),MAX(0,MIN(fin_dimJF,Horaires3567[[#This Row],[Fin corrigée si nuit]])-MAX(deb_dimJF,Horaires3567[[#This Row],[début]])),0)+IF(COUNTIF(JF,Horaires3567[[#This Row],[Date]]+1),MAX(0,Horaires3567[[#This Row],[Fin corrigée si nuit]]-(1+deb_dimJF)),0))*24</f>
        <v>0</v>
      </c>
      <c r="S23"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4" spans="1:19" x14ac:dyDescent="0.35">
      <c r="A24" s="9"/>
      <c r="B24" s="1"/>
      <c r="C24" s="2"/>
      <c r="D24" s="2"/>
      <c r="E24" s="3"/>
      <c r="F24" s="3"/>
      <c r="G24" s="3"/>
      <c r="H24" s="3"/>
      <c r="I24" s="57">
        <f>0.1*(Horaires3567[[#This Row],[Heures de nuit]]+Horaires3567[[#This Row],[heures jour dimanche]]+Horaires3567[[#This Row],[heures jour fériés]])</f>
        <v>0</v>
      </c>
      <c r="J24" s="58">
        <f>(MOD(Horaires3567[[#This Row],[Fin]]-Horaires3567[[#This Row],[début]],1)-MOD(Horaires3567[[#This Row],[PNP Fin]]-Horaires3567[[#This Row],[PNP Début]],1))*24</f>
        <v>0</v>
      </c>
      <c r="K24" s="59">
        <f>IF(Horaires3567[[#This Row],[PNP Début]]=0,0,IF(Horaires3567[[#This Row],[PNP Début]]&lt;Horaires3567[[#This Row],[début]],1,0)+Horaires3567[[#This Row],[PNP Début]])</f>
        <v>0</v>
      </c>
      <c r="L24" s="60">
        <f>IF(Horaires3567[[#This Row],[PNP Fin]]=0,0,IF(Horaires3567[[#This Row],[PNP Fin]]&lt;Horaires3567[[#This Row],[début]],1,0)+Horaires3567[[#This Row],[PNP Fin]])</f>
        <v>0</v>
      </c>
      <c r="M24" s="60">
        <f>IF(Horaires3567[[#This Row],[Fin]]&lt;Horaires3567[[#This Row],[début]],1,0)+Horaires3567[[#This Row],[Fin]]</f>
        <v>0</v>
      </c>
      <c r="N24" s="61">
        <f>MAX(0,MIN(Horaires3567[[#This Row],[Fin corrigée si nuit]],fin_nuit)-MAX(Horaires3567[[#This Row],[début]],deb_nuit))*24</f>
        <v>0</v>
      </c>
      <c r="O24" s="62">
        <f>(MAX(0,MIN(Horaires3567[[#This Row],[Fin corrigée si nuit]],fin_nuit)-MAX(Horaires3567[[#This Row],[début]],deb_nuit))-IF(Horaires3567[[#This Row],[PNP Début]]=0,0,MIN(Horaires3567[[#This Row],[PNP Fin corrigée]],fin_nuit)-MAX(Horaires3567[[#This Row],[PNP Début corrigé]],deb_nuit)))*24</f>
        <v>0</v>
      </c>
      <c r="P24" s="62">
        <f>(IF(WEEKDAY(Horaires3567[[#This Row],[Date]],2)=7,MAX(0,MIN(fin_dimJF,Horaires3567[[#This Row],[Fin corrigée si nuit]])-MAX(deb_dimJF,Horaires3567[[#This Row],[début]])),0)+IF(WEEKDAY(Horaires3567[[#This Row],[Date]],2)=6,MAX(0,Horaires3567[[#This Row],[Fin corrigée si nuit]]-(1+deb_dimJF)),0))*24</f>
        <v>0</v>
      </c>
      <c r="Q24"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4" s="62">
        <f>(IF(COUNTIF(JF,Horaires3567[[#This Row],[Date]]),MAX(0,MIN(fin_dimJF,Horaires3567[[#This Row],[Fin corrigée si nuit]])-MAX(deb_dimJF,Horaires3567[[#This Row],[début]])),0)+IF(COUNTIF(JF,Horaires3567[[#This Row],[Date]]+1),MAX(0,Horaires3567[[#This Row],[Fin corrigée si nuit]]-(1+deb_dimJF)),0))*24</f>
        <v>0</v>
      </c>
      <c r="S24"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5" spans="1:19" x14ac:dyDescent="0.35">
      <c r="A25" s="9"/>
      <c r="B25" s="1"/>
      <c r="C25" s="2"/>
      <c r="D25" s="2"/>
      <c r="E25" s="3"/>
      <c r="F25" s="3"/>
      <c r="G25" s="3"/>
      <c r="H25" s="3"/>
      <c r="I25" s="57">
        <f>0.1*(Horaires3567[[#This Row],[Heures de nuit]]+Horaires3567[[#This Row],[heures jour dimanche]]+Horaires3567[[#This Row],[heures jour fériés]])</f>
        <v>0</v>
      </c>
      <c r="J25" s="58">
        <f>(MOD(Horaires3567[[#This Row],[Fin]]-Horaires3567[[#This Row],[début]],1)-MOD(Horaires3567[[#This Row],[PNP Fin]]-Horaires3567[[#This Row],[PNP Début]],1))*24</f>
        <v>0</v>
      </c>
      <c r="K25" s="59">
        <f>IF(Horaires3567[[#This Row],[PNP Début]]=0,0,IF(Horaires3567[[#This Row],[PNP Début]]&lt;Horaires3567[[#This Row],[début]],1,0)+Horaires3567[[#This Row],[PNP Début]])</f>
        <v>0</v>
      </c>
      <c r="L25" s="60">
        <f>IF(Horaires3567[[#This Row],[PNP Fin]]=0,0,IF(Horaires3567[[#This Row],[PNP Fin]]&lt;Horaires3567[[#This Row],[début]],1,0)+Horaires3567[[#This Row],[PNP Fin]])</f>
        <v>0</v>
      </c>
      <c r="M25" s="60">
        <f>IF(Horaires3567[[#This Row],[Fin]]&lt;Horaires3567[[#This Row],[début]],1,0)+Horaires3567[[#This Row],[Fin]]</f>
        <v>0</v>
      </c>
      <c r="N25" s="61">
        <f>MAX(0,MIN(Horaires3567[[#This Row],[Fin corrigée si nuit]],fin_nuit)-MAX(Horaires3567[[#This Row],[début]],deb_nuit))*24</f>
        <v>0</v>
      </c>
      <c r="O25" s="62">
        <f>(MAX(0,MIN(Horaires3567[[#This Row],[Fin corrigée si nuit]],fin_nuit)-MAX(Horaires3567[[#This Row],[début]],deb_nuit))-IF(Horaires3567[[#This Row],[PNP Début]]=0,0,MIN(Horaires3567[[#This Row],[PNP Fin corrigée]],fin_nuit)-MAX(Horaires3567[[#This Row],[PNP Début corrigé]],deb_nuit)))*24</f>
        <v>0</v>
      </c>
      <c r="P25" s="62">
        <f>(IF(WEEKDAY(Horaires3567[[#This Row],[Date]],2)=7,MAX(0,MIN(fin_dimJF,Horaires3567[[#This Row],[Fin corrigée si nuit]])-MAX(deb_dimJF,Horaires3567[[#This Row],[début]])),0)+IF(WEEKDAY(Horaires3567[[#This Row],[Date]],2)=6,MAX(0,Horaires3567[[#This Row],[Fin corrigée si nuit]]-(1+deb_dimJF)),0))*24</f>
        <v>0</v>
      </c>
      <c r="Q25"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5" s="62">
        <f>(IF(COUNTIF(JF,Horaires3567[[#This Row],[Date]]),MAX(0,MIN(fin_dimJF,Horaires3567[[#This Row],[Fin corrigée si nuit]])-MAX(deb_dimJF,Horaires3567[[#This Row],[début]])),0)+IF(COUNTIF(JF,Horaires3567[[#This Row],[Date]]+1),MAX(0,Horaires3567[[#This Row],[Fin corrigée si nuit]]-(1+deb_dimJF)),0))*24</f>
        <v>0</v>
      </c>
      <c r="S25"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6" spans="1:19" ht="21" customHeight="1" x14ac:dyDescent="0.35">
      <c r="A26" s="9"/>
      <c r="B26" s="1"/>
      <c r="C26" s="2"/>
      <c r="D26" s="2"/>
      <c r="E26" s="3"/>
      <c r="F26" s="3"/>
      <c r="G26" s="3"/>
      <c r="H26" s="3"/>
      <c r="I26" s="57">
        <f>0.1*(Horaires3567[[#This Row],[Heures de nuit]]+Horaires3567[[#This Row],[heures jour dimanche]]+Horaires3567[[#This Row],[heures jour fériés]])</f>
        <v>0</v>
      </c>
      <c r="J26" s="58">
        <f>(MOD(Horaires3567[[#This Row],[Fin]]-Horaires3567[[#This Row],[début]],1)-MOD(Horaires3567[[#This Row],[PNP Fin]]-Horaires3567[[#This Row],[PNP Début]],1))*24</f>
        <v>0</v>
      </c>
      <c r="K26" s="59">
        <f>IF(Horaires3567[[#This Row],[PNP Début]]=0,0,IF(Horaires3567[[#This Row],[PNP Début]]&lt;Horaires3567[[#This Row],[début]],1,0)+Horaires3567[[#This Row],[PNP Début]])</f>
        <v>0</v>
      </c>
      <c r="L26" s="60">
        <f>IF(Horaires3567[[#This Row],[PNP Fin]]=0,0,IF(Horaires3567[[#This Row],[PNP Fin]]&lt;Horaires3567[[#This Row],[début]],1,0)+Horaires3567[[#This Row],[PNP Fin]])</f>
        <v>0</v>
      </c>
      <c r="M26" s="60">
        <f>IF(Horaires3567[[#This Row],[Fin]]&lt;Horaires3567[[#This Row],[début]],1,0)+Horaires3567[[#This Row],[Fin]]</f>
        <v>0</v>
      </c>
      <c r="N26" s="61">
        <f>MAX(0,MIN(Horaires3567[[#This Row],[Fin corrigée si nuit]],fin_nuit)-MAX(Horaires3567[[#This Row],[début]],deb_nuit))*24</f>
        <v>0</v>
      </c>
      <c r="O26" s="62">
        <f>(MAX(0,MIN(Horaires3567[[#This Row],[Fin corrigée si nuit]],fin_nuit)-MAX(Horaires3567[[#This Row],[début]],deb_nuit))-IF(Horaires3567[[#This Row],[PNP Début]]=0,0,MIN(Horaires3567[[#This Row],[PNP Fin corrigée]],fin_nuit)-MAX(Horaires3567[[#This Row],[PNP Début corrigé]],deb_nuit)))*24</f>
        <v>0</v>
      </c>
      <c r="P26" s="62">
        <f>(IF(WEEKDAY(Horaires3567[[#This Row],[Date]],2)=7,MAX(0,MIN(fin_dimJF,Horaires3567[[#This Row],[Fin corrigée si nuit]])-MAX(deb_dimJF,Horaires3567[[#This Row],[début]])),0)+IF(WEEKDAY(Horaires3567[[#This Row],[Date]],2)=6,MAX(0,Horaires3567[[#This Row],[Fin corrigée si nuit]]-(1+deb_dimJF)),0))*24</f>
        <v>0</v>
      </c>
      <c r="Q26"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6" s="62">
        <f>(IF(COUNTIF(JF,Horaires3567[[#This Row],[Date]]),MAX(0,MIN(fin_dimJF,Horaires3567[[#This Row],[Fin corrigée si nuit]])-MAX(deb_dimJF,Horaires3567[[#This Row],[début]])),0)+IF(COUNTIF(JF,Horaires3567[[#This Row],[Date]]+1),MAX(0,Horaires3567[[#This Row],[Fin corrigée si nuit]]-(1+deb_dimJF)),0))*24</f>
        <v>0</v>
      </c>
      <c r="S26"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7" spans="1:19" x14ac:dyDescent="0.35">
      <c r="A27" s="9"/>
      <c r="B27" s="1"/>
      <c r="C27" s="2"/>
      <c r="D27" s="2"/>
      <c r="E27" s="3"/>
      <c r="F27" s="3"/>
      <c r="G27" s="3"/>
      <c r="H27" s="3"/>
      <c r="I27" s="57">
        <f>0.1*(Horaires3567[[#This Row],[Heures de nuit]]+Horaires3567[[#This Row],[heures jour dimanche]]+Horaires3567[[#This Row],[heures jour fériés]])</f>
        <v>0</v>
      </c>
      <c r="J27" s="58">
        <f>(MOD(Horaires3567[[#This Row],[Fin]]-Horaires3567[[#This Row],[début]],1)-MOD(Horaires3567[[#This Row],[PNP Fin]]-Horaires3567[[#This Row],[PNP Début]],1))*24</f>
        <v>0</v>
      </c>
      <c r="K27" s="59">
        <f>IF(Horaires3567[[#This Row],[PNP Début]]=0,0,IF(Horaires3567[[#This Row],[PNP Début]]&lt;Horaires3567[[#This Row],[début]],1,0)+Horaires3567[[#This Row],[PNP Début]])</f>
        <v>0</v>
      </c>
      <c r="L27" s="60">
        <f>IF(Horaires3567[[#This Row],[PNP Fin]]=0,0,IF(Horaires3567[[#This Row],[PNP Fin]]&lt;Horaires3567[[#This Row],[début]],1,0)+Horaires3567[[#This Row],[PNP Fin]])</f>
        <v>0</v>
      </c>
      <c r="M27" s="60">
        <f>IF(Horaires3567[[#This Row],[Fin]]&lt;Horaires3567[[#This Row],[début]],1,0)+Horaires3567[[#This Row],[Fin]]</f>
        <v>0</v>
      </c>
      <c r="N27" s="61">
        <f>MAX(0,MIN(Horaires3567[[#This Row],[Fin corrigée si nuit]],fin_nuit)-MAX(Horaires3567[[#This Row],[début]],deb_nuit))*24</f>
        <v>0</v>
      </c>
      <c r="O27" s="62">
        <f>(MAX(0,MIN(Horaires3567[[#This Row],[Fin corrigée si nuit]],fin_nuit)-MAX(Horaires3567[[#This Row],[début]],deb_nuit))-IF(Horaires3567[[#This Row],[PNP Début]]=0,0,MIN(Horaires3567[[#This Row],[PNP Fin corrigée]],fin_nuit)-MAX(Horaires3567[[#This Row],[PNP Début corrigé]],deb_nuit)))*24</f>
        <v>0</v>
      </c>
      <c r="P27" s="62">
        <f>(IF(WEEKDAY(Horaires3567[[#This Row],[Date]],2)=7,MAX(0,MIN(fin_dimJF,Horaires3567[[#This Row],[Fin corrigée si nuit]])-MAX(deb_dimJF,Horaires3567[[#This Row],[début]])),0)+IF(WEEKDAY(Horaires3567[[#This Row],[Date]],2)=6,MAX(0,Horaires3567[[#This Row],[Fin corrigée si nuit]]-(1+deb_dimJF)),0))*24</f>
        <v>0</v>
      </c>
      <c r="Q27"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7" s="62">
        <f>(IF(COUNTIF(JF,Horaires3567[[#This Row],[Date]]),MAX(0,MIN(fin_dimJF,Horaires3567[[#This Row],[Fin corrigée si nuit]])-MAX(deb_dimJF,Horaires3567[[#This Row],[début]])),0)+IF(COUNTIF(JF,Horaires3567[[#This Row],[Date]]+1),MAX(0,Horaires3567[[#This Row],[Fin corrigée si nuit]]-(1+deb_dimJF)),0))*24</f>
        <v>0</v>
      </c>
      <c r="S27"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8" spans="1:19" x14ac:dyDescent="0.35">
      <c r="A28" s="9"/>
      <c r="B28" s="1"/>
      <c r="C28" s="2"/>
      <c r="D28" s="2"/>
      <c r="E28" s="3"/>
      <c r="F28" s="3"/>
      <c r="G28" s="3"/>
      <c r="H28" s="3"/>
      <c r="I28" s="57">
        <f>0.1*(Horaires3567[[#This Row],[Heures de nuit]]+Horaires3567[[#This Row],[heures jour dimanche]]+Horaires3567[[#This Row],[heures jour fériés]])</f>
        <v>0</v>
      </c>
      <c r="J28" s="58">
        <f>(MOD(Horaires3567[[#This Row],[Fin]]-Horaires3567[[#This Row],[début]],1)-MOD(Horaires3567[[#This Row],[PNP Fin]]-Horaires3567[[#This Row],[PNP Début]],1))*24</f>
        <v>0</v>
      </c>
      <c r="K28" s="59">
        <f>IF(Horaires3567[[#This Row],[PNP Début]]=0,0,IF(Horaires3567[[#This Row],[PNP Début]]&lt;Horaires3567[[#This Row],[début]],1,0)+Horaires3567[[#This Row],[PNP Début]])</f>
        <v>0</v>
      </c>
      <c r="L28" s="60">
        <f>IF(Horaires3567[[#This Row],[PNP Fin]]=0,0,IF(Horaires3567[[#This Row],[PNP Fin]]&lt;Horaires3567[[#This Row],[début]],1,0)+Horaires3567[[#This Row],[PNP Fin]])</f>
        <v>0</v>
      </c>
      <c r="M28" s="60">
        <f>IF(Horaires3567[[#This Row],[Fin]]&lt;Horaires3567[[#This Row],[début]],1,0)+Horaires3567[[#This Row],[Fin]]</f>
        <v>0</v>
      </c>
      <c r="N28" s="61">
        <f>MAX(0,MIN(Horaires3567[[#This Row],[Fin corrigée si nuit]],fin_nuit)-MAX(Horaires3567[[#This Row],[début]],deb_nuit))*24</f>
        <v>0</v>
      </c>
      <c r="O28" s="62">
        <f>(MAX(0,MIN(Horaires3567[[#This Row],[Fin corrigée si nuit]],fin_nuit)-MAX(Horaires3567[[#This Row],[début]],deb_nuit))-IF(Horaires3567[[#This Row],[PNP Début]]=0,0,MIN(Horaires3567[[#This Row],[PNP Fin corrigée]],fin_nuit)-MAX(Horaires3567[[#This Row],[PNP Début corrigé]],deb_nuit)))*24</f>
        <v>0</v>
      </c>
      <c r="P28" s="62">
        <f>(IF(WEEKDAY(Horaires3567[[#This Row],[Date]],2)=7,MAX(0,MIN(fin_dimJF,Horaires3567[[#This Row],[Fin corrigée si nuit]])-MAX(deb_dimJF,Horaires3567[[#This Row],[début]])),0)+IF(WEEKDAY(Horaires3567[[#This Row],[Date]],2)=6,MAX(0,Horaires3567[[#This Row],[Fin corrigée si nuit]]-(1+deb_dimJF)),0))*24</f>
        <v>0</v>
      </c>
      <c r="Q28"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8" s="62">
        <f>(IF(COUNTIF(JF,Horaires3567[[#This Row],[Date]]),MAX(0,MIN(fin_dimJF,Horaires3567[[#This Row],[Fin corrigée si nuit]])-MAX(deb_dimJF,Horaires3567[[#This Row],[début]])),0)+IF(COUNTIF(JF,Horaires3567[[#This Row],[Date]]+1),MAX(0,Horaires3567[[#This Row],[Fin corrigée si nuit]]-(1+deb_dimJF)),0))*24</f>
        <v>0</v>
      </c>
      <c r="S28"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29" spans="1:19" x14ac:dyDescent="0.35">
      <c r="A29" s="9"/>
      <c r="B29" s="1"/>
      <c r="C29" s="2"/>
      <c r="D29" s="2"/>
      <c r="E29" s="3"/>
      <c r="F29" s="3"/>
      <c r="G29" s="3"/>
      <c r="H29" s="3"/>
      <c r="I29" s="57">
        <f>0.1*(Horaires3567[[#This Row],[Heures de nuit]]+Horaires3567[[#This Row],[heures jour dimanche]]+Horaires3567[[#This Row],[heures jour fériés]])</f>
        <v>0</v>
      </c>
      <c r="J29" s="58">
        <f>(MOD(Horaires3567[[#This Row],[Fin]]-Horaires3567[[#This Row],[début]],1)-MOD(Horaires3567[[#This Row],[PNP Fin]]-Horaires3567[[#This Row],[PNP Début]],1))*24</f>
        <v>0</v>
      </c>
      <c r="K29" s="59">
        <f>IF(Horaires3567[[#This Row],[PNP Début]]=0,0,IF(Horaires3567[[#This Row],[PNP Début]]&lt;Horaires3567[[#This Row],[début]],1,0)+Horaires3567[[#This Row],[PNP Début]])</f>
        <v>0</v>
      </c>
      <c r="L29" s="60">
        <f>IF(Horaires3567[[#This Row],[PNP Fin]]=0,0,IF(Horaires3567[[#This Row],[PNP Fin]]&lt;Horaires3567[[#This Row],[début]],1,0)+Horaires3567[[#This Row],[PNP Fin]])</f>
        <v>0</v>
      </c>
      <c r="M29" s="60">
        <f>IF(Horaires3567[[#This Row],[Fin]]&lt;Horaires3567[[#This Row],[début]],1,0)+Horaires3567[[#This Row],[Fin]]</f>
        <v>0</v>
      </c>
      <c r="N29" s="61">
        <f>MAX(0,MIN(Horaires3567[[#This Row],[Fin corrigée si nuit]],fin_nuit)-MAX(Horaires3567[[#This Row],[début]],deb_nuit))*24</f>
        <v>0</v>
      </c>
      <c r="O29" s="62">
        <f>(MAX(0,MIN(Horaires3567[[#This Row],[Fin corrigée si nuit]],fin_nuit)-MAX(Horaires3567[[#This Row],[début]],deb_nuit))-IF(Horaires3567[[#This Row],[PNP Début]]=0,0,MIN(Horaires3567[[#This Row],[PNP Fin corrigée]],fin_nuit)-MAX(Horaires3567[[#This Row],[PNP Début corrigé]],deb_nuit)))*24</f>
        <v>0</v>
      </c>
      <c r="P29" s="62">
        <f>(IF(WEEKDAY(Horaires3567[[#This Row],[Date]],2)=7,MAX(0,MIN(fin_dimJF,Horaires3567[[#This Row],[Fin corrigée si nuit]])-MAX(deb_dimJF,Horaires3567[[#This Row],[début]])),0)+IF(WEEKDAY(Horaires3567[[#This Row],[Date]],2)=6,MAX(0,Horaires3567[[#This Row],[Fin corrigée si nuit]]-(1+deb_dimJF)),0))*24</f>
        <v>0</v>
      </c>
      <c r="Q29"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29" s="62">
        <f>(IF(COUNTIF(JF,Horaires3567[[#This Row],[Date]]),MAX(0,MIN(fin_dimJF,Horaires3567[[#This Row],[Fin corrigée si nuit]])-MAX(deb_dimJF,Horaires3567[[#This Row],[début]])),0)+IF(COUNTIF(JF,Horaires3567[[#This Row],[Date]]+1),MAX(0,Horaires3567[[#This Row],[Fin corrigée si nuit]]-(1+deb_dimJF)),0))*24</f>
        <v>0</v>
      </c>
      <c r="S29"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0" spans="1:19" x14ac:dyDescent="0.35">
      <c r="A30" s="9"/>
      <c r="B30" s="1"/>
      <c r="C30" s="2"/>
      <c r="D30" s="2"/>
      <c r="E30" s="3"/>
      <c r="F30" s="3"/>
      <c r="G30" s="3"/>
      <c r="H30" s="3"/>
      <c r="I30" s="57">
        <f>0.1*(Horaires3567[[#This Row],[Heures de nuit]]+Horaires3567[[#This Row],[heures jour dimanche]]+Horaires3567[[#This Row],[heures jour fériés]])</f>
        <v>0</v>
      </c>
      <c r="J30" s="58">
        <f>(MOD(Horaires3567[[#This Row],[Fin]]-Horaires3567[[#This Row],[début]],1)-MOD(Horaires3567[[#This Row],[PNP Fin]]-Horaires3567[[#This Row],[PNP Début]],1))*24</f>
        <v>0</v>
      </c>
      <c r="K30" s="59">
        <f>IF(Horaires3567[[#This Row],[PNP Début]]=0,0,IF(Horaires3567[[#This Row],[PNP Début]]&lt;Horaires3567[[#This Row],[début]],1,0)+Horaires3567[[#This Row],[PNP Début]])</f>
        <v>0</v>
      </c>
      <c r="L30" s="60">
        <f>IF(Horaires3567[[#This Row],[PNP Fin]]=0,0,IF(Horaires3567[[#This Row],[PNP Fin]]&lt;Horaires3567[[#This Row],[début]],1,0)+Horaires3567[[#This Row],[PNP Fin]])</f>
        <v>0</v>
      </c>
      <c r="M30" s="60">
        <f>IF(Horaires3567[[#This Row],[Fin]]&lt;Horaires3567[[#This Row],[début]],1,0)+Horaires3567[[#This Row],[Fin]]</f>
        <v>0</v>
      </c>
      <c r="N30" s="61">
        <f>MAX(0,MIN(Horaires3567[[#This Row],[Fin corrigée si nuit]],fin_nuit)-MAX(Horaires3567[[#This Row],[début]],deb_nuit))*24</f>
        <v>0</v>
      </c>
      <c r="O30" s="62">
        <f>(MAX(0,MIN(Horaires3567[[#This Row],[Fin corrigée si nuit]],fin_nuit)-MAX(Horaires3567[[#This Row],[début]],deb_nuit))-IF(Horaires3567[[#This Row],[PNP Début]]=0,0,MIN(Horaires3567[[#This Row],[PNP Fin corrigée]],fin_nuit)-MAX(Horaires3567[[#This Row],[PNP Début corrigé]],deb_nuit)))*24</f>
        <v>0</v>
      </c>
      <c r="P30" s="62">
        <f>(IF(WEEKDAY(Horaires3567[[#This Row],[Date]],2)=7,MAX(0,MIN(fin_dimJF,Horaires3567[[#This Row],[Fin corrigée si nuit]])-MAX(deb_dimJF,Horaires3567[[#This Row],[début]])),0)+IF(WEEKDAY(Horaires3567[[#This Row],[Date]],2)=6,MAX(0,Horaires3567[[#This Row],[Fin corrigée si nuit]]-(1+deb_dimJF)),0))*24</f>
        <v>0</v>
      </c>
      <c r="Q30"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0" s="62">
        <f>(IF(COUNTIF(JF,Horaires3567[[#This Row],[Date]]),MAX(0,MIN(fin_dimJF,Horaires3567[[#This Row],[Fin corrigée si nuit]])-MAX(deb_dimJF,Horaires3567[[#This Row],[début]])),0)+IF(COUNTIF(JF,Horaires3567[[#This Row],[Date]]+1),MAX(0,Horaires3567[[#This Row],[Fin corrigée si nuit]]-(1+deb_dimJF)),0))*24</f>
        <v>0</v>
      </c>
      <c r="S30"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1" spans="1:19" x14ac:dyDescent="0.35">
      <c r="A31" s="9"/>
      <c r="B31" s="1"/>
      <c r="C31" s="2"/>
      <c r="D31" s="2"/>
      <c r="E31" s="3"/>
      <c r="F31" s="3"/>
      <c r="G31" s="3"/>
      <c r="H31" s="3"/>
      <c r="I31" s="57">
        <f>0.1*(Horaires3567[[#This Row],[Heures de nuit]]+Horaires3567[[#This Row],[heures jour dimanche]]+Horaires3567[[#This Row],[heures jour fériés]])</f>
        <v>0</v>
      </c>
      <c r="J31" s="58">
        <f>(MOD(Horaires3567[[#This Row],[Fin]]-Horaires3567[[#This Row],[début]],1)-MOD(Horaires3567[[#This Row],[PNP Fin]]-Horaires3567[[#This Row],[PNP Début]],1))*24</f>
        <v>0</v>
      </c>
      <c r="K31" s="59">
        <f>IF(Horaires3567[[#This Row],[PNP Début]]=0,0,IF(Horaires3567[[#This Row],[PNP Début]]&lt;Horaires3567[[#This Row],[début]],1,0)+Horaires3567[[#This Row],[PNP Début]])</f>
        <v>0</v>
      </c>
      <c r="L31" s="60">
        <f>IF(Horaires3567[[#This Row],[PNP Fin]]=0,0,IF(Horaires3567[[#This Row],[PNP Fin]]&lt;Horaires3567[[#This Row],[début]],1,0)+Horaires3567[[#This Row],[PNP Fin]])</f>
        <v>0</v>
      </c>
      <c r="M31" s="60">
        <f>IF(Horaires3567[[#This Row],[Fin]]&lt;Horaires3567[[#This Row],[début]],1,0)+Horaires3567[[#This Row],[Fin]]</f>
        <v>0</v>
      </c>
      <c r="N31" s="61">
        <f>MAX(0,MIN(Horaires3567[[#This Row],[Fin corrigée si nuit]],fin_nuit)-MAX(Horaires3567[[#This Row],[début]],deb_nuit))*24</f>
        <v>0</v>
      </c>
      <c r="O31" s="62">
        <f>(MAX(0,MIN(Horaires3567[[#This Row],[Fin corrigée si nuit]],fin_nuit)-MAX(Horaires3567[[#This Row],[début]],deb_nuit))-IF(Horaires3567[[#This Row],[PNP Début]]=0,0,MIN(Horaires3567[[#This Row],[PNP Fin corrigée]],fin_nuit)-MAX(Horaires3567[[#This Row],[PNP Début corrigé]],deb_nuit)))*24</f>
        <v>0</v>
      </c>
      <c r="P31" s="62">
        <f>(IF(WEEKDAY(Horaires3567[[#This Row],[Date]],2)=7,MAX(0,MIN(fin_dimJF,Horaires3567[[#This Row],[Fin corrigée si nuit]])-MAX(deb_dimJF,Horaires3567[[#This Row],[début]])),0)+IF(WEEKDAY(Horaires3567[[#This Row],[Date]],2)=6,MAX(0,Horaires3567[[#This Row],[Fin corrigée si nuit]]-(1+deb_dimJF)),0))*24</f>
        <v>0</v>
      </c>
      <c r="Q31"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1" s="62">
        <f>(IF(COUNTIF(JF,Horaires3567[[#This Row],[Date]]),MAX(0,MIN(fin_dimJF,Horaires3567[[#This Row],[Fin corrigée si nuit]])-MAX(deb_dimJF,Horaires3567[[#This Row],[début]])),0)+IF(COUNTIF(JF,Horaires3567[[#This Row],[Date]]+1),MAX(0,Horaires3567[[#This Row],[Fin corrigée si nuit]]-(1+deb_dimJF)),0))*24</f>
        <v>0</v>
      </c>
      <c r="S31"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2" spans="1:19" ht="14.5" customHeight="1" x14ac:dyDescent="0.35">
      <c r="A32" s="9"/>
      <c r="B32" s="1"/>
      <c r="C32" s="2"/>
      <c r="D32" s="2"/>
      <c r="E32" s="3"/>
      <c r="F32" s="3"/>
      <c r="G32" s="3"/>
      <c r="H32" s="3"/>
      <c r="I32" s="57">
        <f>0.1*(Horaires3567[[#This Row],[Heures de nuit]]+Horaires3567[[#This Row],[heures jour dimanche]]+Horaires3567[[#This Row],[heures jour fériés]])</f>
        <v>0</v>
      </c>
      <c r="J32" s="58">
        <f>(MOD(Horaires3567[[#This Row],[Fin]]-Horaires3567[[#This Row],[début]],1)-MOD(Horaires3567[[#This Row],[PNP Fin]]-Horaires3567[[#This Row],[PNP Début]],1))*24</f>
        <v>0</v>
      </c>
      <c r="K32" s="59">
        <f>IF(Horaires3567[[#This Row],[PNP Début]]=0,0,IF(Horaires3567[[#This Row],[PNP Début]]&lt;Horaires3567[[#This Row],[début]],1,0)+Horaires3567[[#This Row],[PNP Début]])</f>
        <v>0</v>
      </c>
      <c r="L32" s="60">
        <f>IF(Horaires3567[[#This Row],[PNP Fin]]=0,0,IF(Horaires3567[[#This Row],[PNP Fin]]&lt;Horaires3567[[#This Row],[début]],1,0)+Horaires3567[[#This Row],[PNP Fin]])</f>
        <v>0</v>
      </c>
      <c r="M32" s="60">
        <f>IF(Horaires3567[[#This Row],[Fin]]&lt;Horaires3567[[#This Row],[début]],1,0)+Horaires3567[[#This Row],[Fin]]</f>
        <v>0</v>
      </c>
      <c r="N32" s="61">
        <f>MAX(0,MIN(Horaires3567[[#This Row],[Fin corrigée si nuit]],fin_nuit)-MAX(Horaires3567[[#This Row],[début]],deb_nuit))*24</f>
        <v>0</v>
      </c>
      <c r="O32" s="62">
        <f>(MAX(0,MIN(Horaires3567[[#This Row],[Fin corrigée si nuit]],fin_nuit)-MAX(Horaires3567[[#This Row],[début]],deb_nuit))-IF(Horaires3567[[#This Row],[PNP Début]]=0,0,MIN(Horaires3567[[#This Row],[PNP Fin corrigée]],fin_nuit)-MAX(Horaires3567[[#This Row],[PNP Début corrigé]],deb_nuit)))*24</f>
        <v>0</v>
      </c>
      <c r="P32" s="62">
        <f>(IF(WEEKDAY(Horaires3567[[#This Row],[Date]],2)=7,MAX(0,MIN(fin_dimJF,Horaires3567[[#This Row],[Fin corrigée si nuit]])-MAX(deb_dimJF,Horaires3567[[#This Row],[début]])),0)+IF(WEEKDAY(Horaires3567[[#This Row],[Date]],2)=6,MAX(0,Horaires3567[[#This Row],[Fin corrigée si nuit]]-(1+deb_dimJF)),0))*24</f>
        <v>0</v>
      </c>
      <c r="Q32"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2" s="62">
        <f>(IF(COUNTIF(JF,Horaires3567[[#This Row],[Date]]),MAX(0,MIN(fin_dimJF,Horaires3567[[#This Row],[Fin corrigée si nuit]])-MAX(deb_dimJF,Horaires3567[[#This Row],[début]])),0)+IF(COUNTIF(JF,Horaires3567[[#This Row],[Date]]+1),MAX(0,Horaires3567[[#This Row],[Fin corrigée si nuit]]-(1+deb_dimJF)),0))*24</f>
        <v>0</v>
      </c>
      <c r="S32"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3" spans="1:19" x14ac:dyDescent="0.35">
      <c r="A33" s="9"/>
      <c r="B33" s="1"/>
      <c r="C33" s="2"/>
      <c r="D33" s="2"/>
      <c r="E33" s="3"/>
      <c r="F33" s="3"/>
      <c r="G33" s="3"/>
      <c r="H33" s="3"/>
      <c r="I33" s="57">
        <f>0.1*(Horaires3567[[#This Row],[Heures de nuit]]+Horaires3567[[#This Row],[heures jour dimanche]]+Horaires3567[[#This Row],[heures jour fériés]])</f>
        <v>0</v>
      </c>
      <c r="J33" s="58">
        <f>(MOD(Horaires3567[[#This Row],[Fin]]-Horaires3567[[#This Row],[début]],1)-MOD(Horaires3567[[#This Row],[PNP Fin]]-Horaires3567[[#This Row],[PNP Début]],1))*24</f>
        <v>0</v>
      </c>
      <c r="K33" s="59">
        <f>IF(Horaires3567[[#This Row],[PNP Début]]=0,0,IF(Horaires3567[[#This Row],[PNP Début]]&lt;Horaires3567[[#This Row],[début]],1,0)+Horaires3567[[#This Row],[PNP Début]])</f>
        <v>0</v>
      </c>
      <c r="L33" s="60">
        <f>IF(Horaires3567[[#This Row],[PNP Fin]]=0,0,IF(Horaires3567[[#This Row],[PNP Fin]]&lt;Horaires3567[[#This Row],[début]],1,0)+Horaires3567[[#This Row],[PNP Fin]])</f>
        <v>0</v>
      </c>
      <c r="M33" s="60">
        <f>IF(Horaires3567[[#This Row],[Fin]]&lt;Horaires3567[[#This Row],[début]],1,0)+Horaires3567[[#This Row],[Fin]]</f>
        <v>0</v>
      </c>
      <c r="N33" s="61">
        <f>MAX(0,MIN(Horaires3567[[#This Row],[Fin corrigée si nuit]],fin_nuit)-MAX(Horaires3567[[#This Row],[début]],deb_nuit))*24</f>
        <v>0</v>
      </c>
      <c r="O33" s="62">
        <f>(MAX(0,MIN(Horaires3567[[#This Row],[Fin corrigée si nuit]],fin_nuit)-MAX(Horaires3567[[#This Row],[début]],deb_nuit))-IF(Horaires3567[[#This Row],[PNP Début]]=0,0,MIN(Horaires3567[[#This Row],[PNP Fin corrigée]],fin_nuit)-MAX(Horaires3567[[#This Row],[PNP Début corrigé]],deb_nuit)))*24</f>
        <v>0</v>
      </c>
      <c r="P33" s="62">
        <f>(IF(WEEKDAY(Horaires3567[[#This Row],[Date]],2)=7,MAX(0,MIN(fin_dimJF,Horaires3567[[#This Row],[Fin corrigée si nuit]])-MAX(deb_dimJF,Horaires3567[[#This Row],[début]])),0)+IF(WEEKDAY(Horaires3567[[#This Row],[Date]],2)=6,MAX(0,Horaires3567[[#This Row],[Fin corrigée si nuit]]-(1+deb_dimJF)),0))*24</f>
        <v>0</v>
      </c>
      <c r="Q33"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3" s="62">
        <f>(IF(COUNTIF(JF,Horaires3567[[#This Row],[Date]]),MAX(0,MIN(fin_dimJF,Horaires3567[[#This Row],[Fin corrigée si nuit]])-MAX(deb_dimJF,Horaires3567[[#This Row],[début]])),0)+IF(COUNTIF(JF,Horaires3567[[#This Row],[Date]]+1),MAX(0,Horaires3567[[#This Row],[Fin corrigée si nuit]]-(1+deb_dimJF)),0))*24</f>
        <v>0</v>
      </c>
      <c r="S33"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4" spans="1:19" x14ac:dyDescent="0.35">
      <c r="A34" s="9"/>
      <c r="B34" s="1"/>
      <c r="C34" s="2"/>
      <c r="D34" s="2"/>
      <c r="E34" s="3"/>
      <c r="F34" s="3"/>
      <c r="G34" s="3"/>
      <c r="H34" s="3"/>
      <c r="I34" s="57">
        <f>0.1*(Horaires3567[[#This Row],[Heures de nuit]]+Horaires3567[[#This Row],[heures jour dimanche]]+Horaires3567[[#This Row],[heures jour fériés]])</f>
        <v>0</v>
      </c>
      <c r="J34" s="58">
        <f>(MOD(Horaires3567[[#This Row],[Fin]]-Horaires3567[[#This Row],[début]],1)-MOD(Horaires3567[[#This Row],[PNP Fin]]-Horaires3567[[#This Row],[PNP Début]],1))*24</f>
        <v>0</v>
      </c>
      <c r="K34" s="59">
        <f>IF(Horaires3567[[#This Row],[PNP Début]]=0,0,IF(Horaires3567[[#This Row],[PNP Début]]&lt;Horaires3567[[#This Row],[début]],1,0)+Horaires3567[[#This Row],[PNP Début]])</f>
        <v>0</v>
      </c>
      <c r="L34" s="60">
        <f>IF(Horaires3567[[#This Row],[PNP Fin]]=0,0,IF(Horaires3567[[#This Row],[PNP Fin]]&lt;Horaires3567[[#This Row],[début]],1,0)+Horaires3567[[#This Row],[PNP Fin]])</f>
        <v>0</v>
      </c>
      <c r="M34" s="60">
        <f>IF(Horaires3567[[#This Row],[Fin]]&lt;Horaires3567[[#This Row],[début]],1,0)+Horaires3567[[#This Row],[Fin]]</f>
        <v>0</v>
      </c>
      <c r="N34" s="61">
        <f>MAX(0,MIN(Horaires3567[[#This Row],[Fin corrigée si nuit]],fin_nuit)-MAX(Horaires3567[[#This Row],[début]],deb_nuit))*24</f>
        <v>0</v>
      </c>
      <c r="O34" s="62">
        <f>(MAX(0,MIN(Horaires3567[[#This Row],[Fin corrigée si nuit]],fin_nuit)-MAX(Horaires3567[[#This Row],[début]],deb_nuit))-IF(Horaires3567[[#This Row],[PNP Début]]=0,0,MIN(Horaires3567[[#This Row],[PNP Fin corrigée]],fin_nuit)-MAX(Horaires3567[[#This Row],[PNP Début corrigé]],deb_nuit)))*24</f>
        <v>0</v>
      </c>
      <c r="P34" s="62">
        <f>(IF(WEEKDAY(Horaires3567[[#This Row],[Date]],2)=7,MAX(0,MIN(fin_dimJF,Horaires3567[[#This Row],[Fin corrigée si nuit]])-MAX(deb_dimJF,Horaires3567[[#This Row],[début]])),0)+IF(WEEKDAY(Horaires3567[[#This Row],[Date]],2)=6,MAX(0,Horaires3567[[#This Row],[Fin corrigée si nuit]]-(1+deb_dimJF)),0))*24</f>
        <v>0</v>
      </c>
      <c r="Q34"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4" s="62">
        <f>(IF(COUNTIF(JF,Horaires3567[[#This Row],[Date]]),MAX(0,MIN(fin_dimJF,Horaires3567[[#This Row],[Fin corrigée si nuit]])-MAX(deb_dimJF,Horaires3567[[#This Row],[début]])),0)+IF(COUNTIF(JF,Horaires3567[[#This Row],[Date]]+1),MAX(0,Horaires3567[[#This Row],[Fin corrigée si nuit]]-(1+deb_dimJF)),0))*24</f>
        <v>0</v>
      </c>
      <c r="S34"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5" spans="1:19" x14ac:dyDescent="0.35">
      <c r="A35" s="9"/>
      <c r="B35" s="1"/>
      <c r="C35" s="2"/>
      <c r="D35" s="2"/>
      <c r="E35" s="3"/>
      <c r="F35" s="3"/>
      <c r="G35" s="3"/>
      <c r="H35" s="3"/>
      <c r="I35" s="57">
        <f>0.1*(Horaires3567[[#This Row],[Heures de nuit]]+Horaires3567[[#This Row],[heures jour dimanche]]+Horaires3567[[#This Row],[heures jour fériés]])</f>
        <v>0</v>
      </c>
      <c r="J35" s="58">
        <f>(MOD(Horaires3567[[#This Row],[Fin]]-Horaires3567[[#This Row],[début]],1)-MOD(Horaires3567[[#This Row],[PNP Fin]]-Horaires3567[[#This Row],[PNP Début]],1))*24</f>
        <v>0</v>
      </c>
      <c r="K35" s="59">
        <f>IF(Horaires3567[[#This Row],[PNP Début]]=0,0,IF(Horaires3567[[#This Row],[PNP Début]]&lt;Horaires3567[[#This Row],[début]],1,0)+Horaires3567[[#This Row],[PNP Début]])</f>
        <v>0</v>
      </c>
      <c r="L35" s="60">
        <f>IF(Horaires3567[[#This Row],[PNP Fin]]=0,0,IF(Horaires3567[[#This Row],[PNP Fin]]&lt;Horaires3567[[#This Row],[début]],1,0)+Horaires3567[[#This Row],[PNP Fin]])</f>
        <v>0</v>
      </c>
      <c r="M35" s="60">
        <f>IF(Horaires3567[[#This Row],[Fin]]&lt;Horaires3567[[#This Row],[début]],1,0)+Horaires3567[[#This Row],[Fin]]</f>
        <v>0</v>
      </c>
      <c r="N35" s="61">
        <f>MAX(0,MIN(Horaires3567[[#This Row],[Fin corrigée si nuit]],fin_nuit)-MAX(Horaires3567[[#This Row],[début]],deb_nuit))*24</f>
        <v>0</v>
      </c>
      <c r="O35" s="62">
        <f>(MAX(0,MIN(Horaires3567[[#This Row],[Fin corrigée si nuit]],fin_nuit)-MAX(Horaires3567[[#This Row],[début]],deb_nuit))-IF(Horaires3567[[#This Row],[PNP Début]]=0,0,MIN(Horaires3567[[#This Row],[PNP Fin corrigée]],fin_nuit)-MAX(Horaires3567[[#This Row],[PNP Début corrigé]],deb_nuit)))*24</f>
        <v>0</v>
      </c>
      <c r="P35" s="62">
        <f>(IF(WEEKDAY(Horaires3567[[#This Row],[Date]],2)=7,MAX(0,MIN(fin_dimJF,Horaires3567[[#This Row],[Fin corrigée si nuit]])-MAX(deb_dimJF,Horaires3567[[#This Row],[début]])),0)+IF(WEEKDAY(Horaires3567[[#This Row],[Date]],2)=6,MAX(0,Horaires3567[[#This Row],[Fin corrigée si nuit]]-(1+deb_dimJF)),0))*24</f>
        <v>0</v>
      </c>
      <c r="Q35"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5" s="62">
        <f>(IF(COUNTIF(JF,Horaires3567[[#This Row],[Date]]),MAX(0,MIN(fin_dimJF,Horaires3567[[#This Row],[Fin corrigée si nuit]])-MAX(deb_dimJF,Horaires3567[[#This Row],[début]])),0)+IF(COUNTIF(JF,Horaires3567[[#This Row],[Date]]+1),MAX(0,Horaires3567[[#This Row],[Fin corrigée si nuit]]-(1+deb_dimJF)),0))*24</f>
        <v>0</v>
      </c>
      <c r="S35"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6" spans="1:19" x14ac:dyDescent="0.35">
      <c r="A36" s="9"/>
      <c r="B36" s="1"/>
      <c r="C36" s="2"/>
      <c r="D36" s="2"/>
      <c r="E36" s="3"/>
      <c r="F36" s="3"/>
      <c r="G36" s="3"/>
      <c r="H36" s="3"/>
      <c r="I36" s="57">
        <f>0.1*(Horaires3567[[#This Row],[Heures de nuit]]+Horaires3567[[#This Row],[heures jour dimanche]]+Horaires3567[[#This Row],[heures jour fériés]])</f>
        <v>0</v>
      </c>
      <c r="J36" s="58">
        <f>(MOD(Horaires3567[[#This Row],[Fin]]-Horaires3567[[#This Row],[début]],1)-MOD(Horaires3567[[#This Row],[PNP Fin]]-Horaires3567[[#This Row],[PNP Début]],1))*24</f>
        <v>0</v>
      </c>
      <c r="K36" s="59">
        <f>IF(Horaires3567[[#This Row],[PNP Début]]=0,0,IF(Horaires3567[[#This Row],[PNP Début]]&lt;Horaires3567[[#This Row],[début]],1,0)+Horaires3567[[#This Row],[PNP Début]])</f>
        <v>0</v>
      </c>
      <c r="L36" s="60">
        <f>IF(Horaires3567[[#This Row],[PNP Fin]]=0,0,IF(Horaires3567[[#This Row],[PNP Fin]]&lt;Horaires3567[[#This Row],[début]],1,0)+Horaires3567[[#This Row],[PNP Fin]])</f>
        <v>0</v>
      </c>
      <c r="M36" s="60">
        <f>IF(Horaires3567[[#This Row],[Fin]]&lt;Horaires3567[[#This Row],[début]],1,0)+Horaires3567[[#This Row],[Fin]]</f>
        <v>0</v>
      </c>
      <c r="N36" s="61">
        <f>MAX(0,MIN(Horaires3567[[#This Row],[Fin corrigée si nuit]],fin_nuit)-MAX(Horaires3567[[#This Row],[début]],deb_nuit))*24</f>
        <v>0</v>
      </c>
      <c r="O36" s="62">
        <f>(MAX(0,MIN(Horaires3567[[#This Row],[Fin corrigée si nuit]],fin_nuit)-MAX(Horaires3567[[#This Row],[début]],deb_nuit))-IF(Horaires3567[[#This Row],[PNP Début]]=0,0,MIN(Horaires3567[[#This Row],[PNP Fin corrigée]],fin_nuit)-MAX(Horaires3567[[#This Row],[PNP Début corrigé]],deb_nuit)))*24</f>
        <v>0</v>
      </c>
      <c r="P36" s="62">
        <f>(IF(WEEKDAY(Horaires3567[[#This Row],[Date]],2)=7,MAX(0,MIN(fin_dimJF,Horaires3567[[#This Row],[Fin corrigée si nuit]])-MAX(deb_dimJF,Horaires3567[[#This Row],[début]])),0)+IF(WEEKDAY(Horaires3567[[#This Row],[Date]],2)=6,MAX(0,Horaires3567[[#This Row],[Fin corrigée si nuit]]-(1+deb_dimJF)),0))*24</f>
        <v>0</v>
      </c>
      <c r="Q36"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6" s="62">
        <f>(IF(COUNTIF(JF,Horaires3567[[#This Row],[Date]]),MAX(0,MIN(fin_dimJF,Horaires3567[[#This Row],[Fin corrigée si nuit]])-MAX(deb_dimJF,Horaires3567[[#This Row],[début]])),0)+IF(COUNTIF(JF,Horaires3567[[#This Row],[Date]]+1),MAX(0,Horaires3567[[#This Row],[Fin corrigée si nuit]]-(1+deb_dimJF)),0))*24</f>
        <v>0</v>
      </c>
      <c r="S36"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7" spans="1:19" x14ac:dyDescent="0.35">
      <c r="A37" s="9"/>
      <c r="B37" s="1"/>
      <c r="C37" s="2"/>
      <c r="D37" s="2"/>
      <c r="E37" s="3"/>
      <c r="F37" s="3"/>
      <c r="G37" s="3"/>
      <c r="H37" s="3"/>
      <c r="I37" s="57">
        <f>0.1*(Horaires3567[[#This Row],[Heures de nuit]]+Horaires3567[[#This Row],[heures jour dimanche]]+Horaires3567[[#This Row],[heures jour fériés]])</f>
        <v>0</v>
      </c>
      <c r="J37" s="58">
        <f>(MOD(Horaires3567[[#This Row],[Fin]]-Horaires3567[[#This Row],[début]],1)-MOD(Horaires3567[[#This Row],[PNP Fin]]-Horaires3567[[#This Row],[PNP Début]],1))*24</f>
        <v>0</v>
      </c>
      <c r="K37" s="59">
        <f>IF(Horaires3567[[#This Row],[PNP Début]]=0,0,IF(Horaires3567[[#This Row],[PNP Début]]&lt;Horaires3567[[#This Row],[début]],1,0)+Horaires3567[[#This Row],[PNP Début]])</f>
        <v>0</v>
      </c>
      <c r="L37" s="60">
        <f>IF(Horaires3567[[#This Row],[PNP Fin]]=0,0,IF(Horaires3567[[#This Row],[PNP Fin]]&lt;Horaires3567[[#This Row],[début]],1,0)+Horaires3567[[#This Row],[PNP Fin]])</f>
        <v>0</v>
      </c>
      <c r="M37" s="60">
        <f>IF(Horaires3567[[#This Row],[Fin]]&lt;Horaires3567[[#This Row],[début]],1,0)+Horaires3567[[#This Row],[Fin]]</f>
        <v>0</v>
      </c>
      <c r="N37" s="61">
        <f>MAX(0,MIN(Horaires3567[[#This Row],[Fin corrigée si nuit]],fin_nuit)-MAX(Horaires3567[[#This Row],[début]],deb_nuit))*24</f>
        <v>0</v>
      </c>
      <c r="O37" s="62">
        <f>(MAX(0,MIN(Horaires3567[[#This Row],[Fin corrigée si nuit]],fin_nuit)-MAX(Horaires3567[[#This Row],[début]],deb_nuit))-IF(Horaires3567[[#This Row],[PNP Début]]=0,0,MIN(Horaires3567[[#This Row],[PNP Fin corrigée]],fin_nuit)-MAX(Horaires3567[[#This Row],[PNP Début corrigé]],deb_nuit)))*24</f>
        <v>0</v>
      </c>
      <c r="P37" s="62">
        <f>(IF(WEEKDAY(Horaires3567[[#This Row],[Date]],2)=7,MAX(0,MIN(fin_dimJF,Horaires3567[[#This Row],[Fin corrigée si nuit]])-MAX(deb_dimJF,Horaires3567[[#This Row],[début]])),0)+IF(WEEKDAY(Horaires3567[[#This Row],[Date]],2)=6,MAX(0,Horaires3567[[#This Row],[Fin corrigée si nuit]]-(1+deb_dimJF)),0))*24</f>
        <v>0</v>
      </c>
      <c r="Q37"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7" s="62">
        <f>(IF(COUNTIF(JF,Horaires3567[[#This Row],[Date]]),MAX(0,MIN(fin_dimJF,Horaires3567[[#This Row],[Fin corrigée si nuit]])-MAX(deb_dimJF,Horaires3567[[#This Row],[début]])),0)+IF(COUNTIF(JF,Horaires3567[[#This Row],[Date]]+1),MAX(0,Horaires3567[[#This Row],[Fin corrigée si nuit]]-(1+deb_dimJF)),0))*24</f>
        <v>0</v>
      </c>
      <c r="S37"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8" spans="1:19" x14ac:dyDescent="0.35">
      <c r="A38" s="9"/>
      <c r="B38" s="1"/>
      <c r="C38" s="2"/>
      <c r="D38" s="2"/>
      <c r="E38" s="3"/>
      <c r="F38" s="3"/>
      <c r="G38" s="3"/>
      <c r="H38" s="3"/>
      <c r="I38" s="57">
        <f>0.1*(Horaires3567[[#This Row],[Heures de nuit]]+Horaires3567[[#This Row],[heures jour dimanche]]+Horaires3567[[#This Row],[heures jour fériés]])</f>
        <v>0</v>
      </c>
      <c r="J38" s="58">
        <f>(MOD(Horaires3567[[#This Row],[Fin]]-Horaires3567[[#This Row],[début]],1)-MOD(Horaires3567[[#This Row],[PNP Fin]]-Horaires3567[[#This Row],[PNP Début]],1))*24</f>
        <v>0</v>
      </c>
      <c r="K38" s="59">
        <f>IF(Horaires3567[[#This Row],[PNP Début]]=0,0,IF(Horaires3567[[#This Row],[PNP Début]]&lt;Horaires3567[[#This Row],[début]],1,0)+Horaires3567[[#This Row],[PNP Début]])</f>
        <v>0</v>
      </c>
      <c r="L38" s="60">
        <f>IF(Horaires3567[[#This Row],[PNP Fin]]=0,0,IF(Horaires3567[[#This Row],[PNP Fin]]&lt;Horaires3567[[#This Row],[début]],1,0)+Horaires3567[[#This Row],[PNP Fin]])</f>
        <v>0</v>
      </c>
      <c r="M38" s="60">
        <f>IF(Horaires3567[[#This Row],[Fin]]&lt;Horaires3567[[#This Row],[début]],1,0)+Horaires3567[[#This Row],[Fin]]</f>
        <v>0</v>
      </c>
      <c r="N38" s="61">
        <f>MAX(0,MIN(Horaires3567[[#This Row],[Fin corrigée si nuit]],fin_nuit)-MAX(Horaires3567[[#This Row],[début]],deb_nuit))*24</f>
        <v>0</v>
      </c>
      <c r="O38" s="62">
        <f>(MAX(0,MIN(Horaires3567[[#This Row],[Fin corrigée si nuit]],fin_nuit)-MAX(Horaires3567[[#This Row],[début]],deb_nuit))-IF(Horaires3567[[#This Row],[PNP Début]]=0,0,MIN(Horaires3567[[#This Row],[PNP Fin corrigée]],fin_nuit)-MAX(Horaires3567[[#This Row],[PNP Début corrigé]],deb_nuit)))*24</f>
        <v>0</v>
      </c>
      <c r="P38" s="62">
        <f>(IF(WEEKDAY(Horaires3567[[#This Row],[Date]],2)=7,MAX(0,MIN(fin_dimJF,Horaires3567[[#This Row],[Fin corrigée si nuit]])-MAX(deb_dimJF,Horaires3567[[#This Row],[début]])),0)+IF(WEEKDAY(Horaires3567[[#This Row],[Date]],2)=6,MAX(0,Horaires3567[[#This Row],[Fin corrigée si nuit]]-(1+deb_dimJF)),0))*24</f>
        <v>0</v>
      </c>
      <c r="Q38"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8" s="62">
        <f>(IF(COUNTIF(JF,Horaires3567[[#This Row],[Date]]),MAX(0,MIN(fin_dimJF,Horaires3567[[#This Row],[Fin corrigée si nuit]])-MAX(deb_dimJF,Horaires3567[[#This Row],[début]])),0)+IF(COUNTIF(JF,Horaires3567[[#This Row],[Date]]+1),MAX(0,Horaires3567[[#This Row],[Fin corrigée si nuit]]-(1+deb_dimJF)),0))*24</f>
        <v>0</v>
      </c>
      <c r="S38"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39" spans="1:19" x14ac:dyDescent="0.35">
      <c r="A39" s="9"/>
      <c r="B39" s="1"/>
      <c r="C39" s="2"/>
      <c r="D39" s="2"/>
      <c r="E39" s="3"/>
      <c r="F39" s="3"/>
      <c r="G39" s="3"/>
      <c r="H39" s="3"/>
      <c r="I39" s="57">
        <f>0.1*(Horaires3567[[#This Row],[Heures de nuit]]+Horaires3567[[#This Row],[heures jour dimanche]]+Horaires3567[[#This Row],[heures jour fériés]])</f>
        <v>0</v>
      </c>
      <c r="J39" s="58">
        <f>(MOD(Horaires3567[[#This Row],[Fin]]-Horaires3567[[#This Row],[début]],1)-MOD(Horaires3567[[#This Row],[PNP Fin]]-Horaires3567[[#This Row],[PNP Début]],1))*24</f>
        <v>0</v>
      </c>
      <c r="K39" s="59">
        <f>IF(Horaires3567[[#This Row],[PNP Début]]=0,0,IF(Horaires3567[[#This Row],[PNP Début]]&lt;Horaires3567[[#This Row],[début]],1,0)+Horaires3567[[#This Row],[PNP Début]])</f>
        <v>0</v>
      </c>
      <c r="L39" s="60">
        <f>IF(Horaires3567[[#This Row],[PNP Fin]]=0,0,IF(Horaires3567[[#This Row],[PNP Fin]]&lt;Horaires3567[[#This Row],[début]],1,0)+Horaires3567[[#This Row],[PNP Fin]])</f>
        <v>0</v>
      </c>
      <c r="M39" s="60">
        <f>IF(Horaires3567[[#This Row],[Fin]]&lt;Horaires3567[[#This Row],[début]],1,0)+Horaires3567[[#This Row],[Fin]]</f>
        <v>0</v>
      </c>
      <c r="N39" s="61">
        <f>MAX(0,MIN(Horaires3567[[#This Row],[Fin corrigée si nuit]],fin_nuit)-MAX(Horaires3567[[#This Row],[début]],deb_nuit))*24</f>
        <v>0</v>
      </c>
      <c r="O39" s="62">
        <f>(MAX(0,MIN(Horaires3567[[#This Row],[Fin corrigée si nuit]],fin_nuit)-MAX(Horaires3567[[#This Row],[début]],deb_nuit))-IF(Horaires3567[[#This Row],[PNP Début]]=0,0,MIN(Horaires3567[[#This Row],[PNP Fin corrigée]],fin_nuit)-MAX(Horaires3567[[#This Row],[PNP Début corrigé]],deb_nuit)))*24</f>
        <v>0</v>
      </c>
      <c r="P39" s="62">
        <f>(IF(WEEKDAY(Horaires3567[[#This Row],[Date]],2)=7,MAX(0,MIN(fin_dimJF,Horaires3567[[#This Row],[Fin corrigée si nuit]])-MAX(deb_dimJF,Horaires3567[[#This Row],[début]])),0)+IF(WEEKDAY(Horaires3567[[#This Row],[Date]],2)=6,MAX(0,Horaires3567[[#This Row],[Fin corrigée si nuit]]-(1+deb_dimJF)),0))*24</f>
        <v>0</v>
      </c>
      <c r="Q39"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39" s="62">
        <f>(IF(COUNTIF(JF,Horaires3567[[#This Row],[Date]]),MAX(0,MIN(fin_dimJF,Horaires3567[[#This Row],[Fin corrigée si nuit]])-MAX(deb_dimJF,Horaires3567[[#This Row],[début]])),0)+IF(COUNTIF(JF,Horaires3567[[#This Row],[Date]]+1),MAX(0,Horaires3567[[#This Row],[Fin corrigée si nuit]]-(1+deb_dimJF)),0))*24</f>
        <v>0</v>
      </c>
      <c r="S39"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0" spans="1:19" x14ac:dyDescent="0.35">
      <c r="A40" s="9"/>
      <c r="B40" s="1"/>
      <c r="C40" s="2"/>
      <c r="D40" s="2"/>
      <c r="E40" s="3"/>
      <c r="F40" s="3"/>
      <c r="G40" s="3"/>
      <c r="H40" s="3"/>
      <c r="I40" s="57">
        <f>0.1*(Horaires3567[[#This Row],[Heures de nuit]]+Horaires3567[[#This Row],[heures jour dimanche]]+Horaires3567[[#This Row],[heures jour fériés]])</f>
        <v>0</v>
      </c>
      <c r="J40" s="58">
        <f>(MOD(Horaires3567[[#This Row],[Fin]]-Horaires3567[[#This Row],[début]],1)-MOD(Horaires3567[[#This Row],[PNP Fin]]-Horaires3567[[#This Row],[PNP Début]],1))*24</f>
        <v>0</v>
      </c>
      <c r="K40" s="59">
        <f>IF(Horaires3567[[#This Row],[PNP Début]]=0,0,IF(Horaires3567[[#This Row],[PNP Début]]&lt;Horaires3567[[#This Row],[début]],1,0)+Horaires3567[[#This Row],[PNP Début]])</f>
        <v>0</v>
      </c>
      <c r="L40" s="60">
        <f>IF(Horaires3567[[#This Row],[PNP Fin]]=0,0,IF(Horaires3567[[#This Row],[PNP Fin]]&lt;Horaires3567[[#This Row],[début]],1,0)+Horaires3567[[#This Row],[PNP Fin]])</f>
        <v>0</v>
      </c>
      <c r="M40" s="60">
        <f>IF(Horaires3567[[#This Row],[Fin]]&lt;Horaires3567[[#This Row],[début]],1,0)+Horaires3567[[#This Row],[Fin]]</f>
        <v>0</v>
      </c>
      <c r="N40" s="61">
        <f>MAX(0,MIN(Horaires3567[[#This Row],[Fin corrigée si nuit]],fin_nuit)-MAX(Horaires3567[[#This Row],[début]],deb_nuit))*24</f>
        <v>0</v>
      </c>
      <c r="O40" s="62">
        <f>(MAX(0,MIN(Horaires3567[[#This Row],[Fin corrigée si nuit]],fin_nuit)-MAX(Horaires3567[[#This Row],[début]],deb_nuit))-IF(Horaires3567[[#This Row],[PNP Début]]=0,0,MIN(Horaires3567[[#This Row],[PNP Fin corrigée]],fin_nuit)-MAX(Horaires3567[[#This Row],[PNP Début corrigé]],deb_nuit)))*24</f>
        <v>0</v>
      </c>
      <c r="P40" s="62">
        <f>(IF(WEEKDAY(Horaires3567[[#This Row],[Date]],2)=7,MAX(0,MIN(fin_dimJF,Horaires3567[[#This Row],[Fin corrigée si nuit]])-MAX(deb_dimJF,Horaires3567[[#This Row],[début]])),0)+IF(WEEKDAY(Horaires3567[[#This Row],[Date]],2)=6,MAX(0,Horaires3567[[#This Row],[Fin corrigée si nuit]]-(1+deb_dimJF)),0))*24</f>
        <v>0</v>
      </c>
      <c r="Q40"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0" s="62">
        <f>(IF(COUNTIF(JF,Horaires3567[[#This Row],[Date]]),MAX(0,MIN(fin_dimJF,Horaires3567[[#This Row],[Fin corrigée si nuit]])-MAX(deb_dimJF,Horaires3567[[#This Row],[début]])),0)+IF(COUNTIF(JF,Horaires3567[[#This Row],[Date]]+1),MAX(0,Horaires3567[[#This Row],[Fin corrigée si nuit]]-(1+deb_dimJF)),0))*24</f>
        <v>0</v>
      </c>
      <c r="S40"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1" spans="1:19" x14ac:dyDescent="0.35">
      <c r="A41" s="9"/>
      <c r="B41" s="1"/>
      <c r="C41" s="2"/>
      <c r="D41" s="2"/>
      <c r="E41" s="3"/>
      <c r="F41" s="3"/>
      <c r="G41" s="3"/>
      <c r="H41" s="3"/>
      <c r="I41" s="57">
        <f>0.1*(Horaires3567[[#This Row],[Heures de nuit]]+Horaires3567[[#This Row],[heures jour dimanche]]+Horaires3567[[#This Row],[heures jour fériés]])</f>
        <v>0</v>
      </c>
      <c r="J41" s="58">
        <f>(MOD(Horaires3567[[#This Row],[Fin]]-Horaires3567[[#This Row],[début]],1)-MOD(Horaires3567[[#This Row],[PNP Fin]]-Horaires3567[[#This Row],[PNP Début]],1))*24</f>
        <v>0</v>
      </c>
      <c r="K41" s="59">
        <f>IF(Horaires3567[[#This Row],[PNP Début]]=0,0,IF(Horaires3567[[#This Row],[PNP Début]]&lt;Horaires3567[[#This Row],[début]],1,0)+Horaires3567[[#This Row],[PNP Début]])</f>
        <v>0</v>
      </c>
      <c r="L41" s="60">
        <f>IF(Horaires3567[[#This Row],[PNP Fin]]=0,0,IF(Horaires3567[[#This Row],[PNP Fin]]&lt;Horaires3567[[#This Row],[début]],1,0)+Horaires3567[[#This Row],[PNP Fin]])</f>
        <v>0</v>
      </c>
      <c r="M41" s="60">
        <f>IF(Horaires3567[[#This Row],[Fin]]&lt;Horaires3567[[#This Row],[début]],1,0)+Horaires3567[[#This Row],[Fin]]</f>
        <v>0</v>
      </c>
      <c r="N41" s="61">
        <f>MAX(0,MIN(Horaires3567[[#This Row],[Fin corrigée si nuit]],fin_nuit)-MAX(Horaires3567[[#This Row],[début]],deb_nuit))*24</f>
        <v>0</v>
      </c>
      <c r="O41" s="62">
        <f>(MAX(0,MIN(Horaires3567[[#This Row],[Fin corrigée si nuit]],fin_nuit)-MAX(Horaires3567[[#This Row],[début]],deb_nuit))-IF(Horaires3567[[#This Row],[PNP Début]]=0,0,MIN(Horaires3567[[#This Row],[PNP Fin corrigée]],fin_nuit)-MAX(Horaires3567[[#This Row],[PNP Début corrigé]],deb_nuit)))*24</f>
        <v>0</v>
      </c>
      <c r="P41" s="62">
        <f>(IF(WEEKDAY(Horaires3567[[#This Row],[Date]],2)=7,MAX(0,MIN(fin_dimJF,Horaires3567[[#This Row],[Fin corrigée si nuit]])-MAX(deb_dimJF,Horaires3567[[#This Row],[début]])),0)+IF(WEEKDAY(Horaires3567[[#This Row],[Date]],2)=6,MAX(0,Horaires3567[[#This Row],[Fin corrigée si nuit]]-(1+deb_dimJF)),0))*24</f>
        <v>0</v>
      </c>
      <c r="Q41"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1" s="62">
        <f>(IF(COUNTIF(JF,Horaires3567[[#This Row],[Date]]),MAX(0,MIN(fin_dimJF,Horaires3567[[#This Row],[Fin corrigée si nuit]])-MAX(deb_dimJF,Horaires3567[[#This Row],[début]])),0)+IF(COUNTIF(JF,Horaires3567[[#This Row],[Date]]+1),MAX(0,Horaires3567[[#This Row],[Fin corrigée si nuit]]-(1+deb_dimJF)),0))*24</f>
        <v>0</v>
      </c>
      <c r="S41"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2" spans="1:19" x14ac:dyDescent="0.35">
      <c r="A42" s="9"/>
      <c r="B42" s="1"/>
      <c r="C42" s="2"/>
      <c r="D42" s="2"/>
      <c r="E42" s="3"/>
      <c r="F42" s="3"/>
      <c r="G42" s="3"/>
      <c r="H42" s="3"/>
      <c r="I42" s="57">
        <f>0.1*(Horaires3567[[#This Row],[Heures de nuit]]+Horaires3567[[#This Row],[heures jour dimanche]]+Horaires3567[[#This Row],[heures jour fériés]])</f>
        <v>0</v>
      </c>
      <c r="J42" s="58">
        <f>(MOD(Horaires3567[[#This Row],[Fin]]-Horaires3567[[#This Row],[début]],1)-MOD(Horaires3567[[#This Row],[PNP Fin]]-Horaires3567[[#This Row],[PNP Début]],1))*24</f>
        <v>0</v>
      </c>
      <c r="K42" s="59">
        <f>IF(Horaires3567[[#This Row],[PNP Début]]=0,0,IF(Horaires3567[[#This Row],[PNP Début]]&lt;Horaires3567[[#This Row],[début]],1,0)+Horaires3567[[#This Row],[PNP Début]])</f>
        <v>0</v>
      </c>
      <c r="L42" s="60">
        <f>IF(Horaires3567[[#This Row],[PNP Fin]]=0,0,IF(Horaires3567[[#This Row],[PNP Fin]]&lt;Horaires3567[[#This Row],[début]],1,0)+Horaires3567[[#This Row],[PNP Fin]])</f>
        <v>0</v>
      </c>
      <c r="M42" s="60">
        <f>IF(Horaires3567[[#This Row],[Fin]]&lt;Horaires3567[[#This Row],[début]],1,0)+Horaires3567[[#This Row],[Fin]]</f>
        <v>0</v>
      </c>
      <c r="N42" s="61">
        <f>MAX(0,MIN(Horaires3567[[#This Row],[Fin corrigée si nuit]],fin_nuit)-MAX(Horaires3567[[#This Row],[début]],deb_nuit))*24</f>
        <v>0</v>
      </c>
      <c r="O42" s="62">
        <f>(MAX(0,MIN(Horaires3567[[#This Row],[Fin corrigée si nuit]],fin_nuit)-MAX(Horaires3567[[#This Row],[début]],deb_nuit))-IF(Horaires3567[[#This Row],[PNP Début]]=0,0,MIN(Horaires3567[[#This Row],[PNP Fin corrigée]],fin_nuit)-MAX(Horaires3567[[#This Row],[PNP Début corrigé]],deb_nuit)))*24</f>
        <v>0</v>
      </c>
      <c r="P42" s="62">
        <f>(IF(WEEKDAY(Horaires3567[[#This Row],[Date]],2)=7,MAX(0,MIN(fin_dimJF,Horaires3567[[#This Row],[Fin corrigée si nuit]])-MAX(deb_dimJF,Horaires3567[[#This Row],[début]])),0)+IF(WEEKDAY(Horaires3567[[#This Row],[Date]],2)=6,MAX(0,Horaires3567[[#This Row],[Fin corrigée si nuit]]-(1+deb_dimJF)),0))*24</f>
        <v>0</v>
      </c>
      <c r="Q42"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2" s="62">
        <f>(IF(COUNTIF(JF,Horaires3567[[#This Row],[Date]]),MAX(0,MIN(fin_dimJF,Horaires3567[[#This Row],[Fin corrigée si nuit]])-MAX(deb_dimJF,Horaires3567[[#This Row],[début]])),0)+IF(COUNTIF(JF,Horaires3567[[#This Row],[Date]]+1),MAX(0,Horaires3567[[#This Row],[Fin corrigée si nuit]]-(1+deb_dimJF)),0))*24</f>
        <v>0</v>
      </c>
      <c r="S42"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3" spans="1:19" x14ac:dyDescent="0.35">
      <c r="A43" s="9"/>
      <c r="B43" s="1"/>
      <c r="C43" s="2"/>
      <c r="D43" s="2"/>
      <c r="E43" s="3"/>
      <c r="F43" s="3"/>
      <c r="G43" s="3"/>
      <c r="H43" s="3"/>
      <c r="I43" s="57">
        <f>0.1*(Horaires3567[[#This Row],[Heures de nuit]]+Horaires3567[[#This Row],[heures jour dimanche]]+Horaires3567[[#This Row],[heures jour fériés]])</f>
        <v>0</v>
      </c>
      <c r="J43" s="58">
        <f>(MOD(Horaires3567[[#This Row],[Fin]]-Horaires3567[[#This Row],[début]],1)-MOD(Horaires3567[[#This Row],[PNP Fin]]-Horaires3567[[#This Row],[PNP Début]],1))*24</f>
        <v>0</v>
      </c>
      <c r="K43" s="59">
        <f>IF(Horaires3567[[#This Row],[PNP Début]]=0,0,IF(Horaires3567[[#This Row],[PNP Début]]&lt;Horaires3567[[#This Row],[début]],1,0)+Horaires3567[[#This Row],[PNP Début]])</f>
        <v>0</v>
      </c>
      <c r="L43" s="60">
        <f>IF(Horaires3567[[#This Row],[PNP Fin]]=0,0,IF(Horaires3567[[#This Row],[PNP Fin]]&lt;Horaires3567[[#This Row],[début]],1,0)+Horaires3567[[#This Row],[PNP Fin]])</f>
        <v>0</v>
      </c>
      <c r="M43" s="60">
        <f>IF(Horaires3567[[#This Row],[Fin]]&lt;Horaires3567[[#This Row],[début]],1,0)+Horaires3567[[#This Row],[Fin]]</f>
        <v>0</v>
      </c>
      <c r="N43" s="61">
        <f>MAX(0,MIN(Horaires3567[[#This Row],[Fin corrigée si nuit]],fin_nuit)-MAX(Horaires3567[[#This Row],[début]],deb_nuit))*24</f>
        <v>0</v>
      </c>
      <c r="O43" s="62">
        <f>(MAX(0,MIN(Horaires3567[[#This Row],[Fin corrigée si nuit]],fin_nuit)-MAX(Horaires3567[[#This Row],[début]],deb_nuit))-IF(Horaires3567[[#This Row],[PNP Début]]=0,0,MIN(Horaires3567[[#This Row],[PNP Fin corrigée]],fin_nuit)-MAX(Horaires3567[[#This Row],[PNP Début corrigé]],deb_nuit)))*24</f>
        <v>0</v>
      </c>
      <c r="P43" s="62">
        <f>(IF(WEEKDAY(Horaires3567[[#This Row],[Date]],2)=7,MAX(0,MIN(fin_dimJF,Horaires3567[[#This Row],[Fin corrigée si nuit]])-MAX(deb_dimJF,Horaires3567[[#This Row],[début]])),0)+IF(WEEKDAY(Horaires3567[[#This Row],[Date]],2)=6,MAX(0,Horaires3567[[#This Row],[Fin corrigée si nuit]]-(1+deb_dimJF)),0))*24</f>
        <v>0</v>
      </c>
      <c r="Q43"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3" s="62">
        <f>(IF(COUNTIF(JF,Horaires3567[[#This Row],[Date]]),MAX(0,MIN(fin_dimJF,Horaires3567[[#This Row],[Fin corrigée si nuit]])-MAX(deb_dimJF,Horaires3567[[#This Row],[début]])),0)+IF(COUNTIF(JF,Horaires3567[[#This Row],[Date]]+1),MAX(0,Horaires3567[[#This Row],[Fin corrigée si nuit]]-(1+deb_dimJF)),0))*24</f>
        <v>0</v>
      </c>
      <c r="S43"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4" spans="1:19" x14ac:dyDescent="0.35">
      <c r="A44" s="9"/>
      <c r="B44" s="1"/>
      <c r="C44" s="2"/>
      <c r="D44" s="2"/>
      <c r="E44" s="3"/>
      <c r="F44" s="3"/>
      <c r="G44" s="3"/>
      <c r="H44" s="3"/>
      <c r="I44" s="57">
        <f>0.1*(Horaires3567[[#This Row],[Heures de nuit]]+Horaires3567[[#This Row],[heures jour dimanche]]+Horaires3567[[#This Row],[heures jour fériés]])</f>
        <v>0</v>
      </c>
      <c r="J44" s="58">
        <f>(MOD(Horaires3567[[#This Row],[Fin]]-Horaires3567[[#This Row],[début]],1)-MOD(Horaires3567[[#This Row],[PNP Fin]]-Horaires3567[[#This Row],[PNP Début]],1))*24</f>
        <v>0</v>
      </c>
      <c r="K44" s="59">
        <f>IF(Horaires3567[[#This Row],[PNP Début]]=0,0,IF(Horaires3567[[#This Row],[PNP Début]]&lt;Horaires3567[[#This Row],[début]],1,0)+Horaires3567[[#This Row],[PNP Début]])</f>
        <v>0</v>
      </c>
      <c r="L44" s="60">
        <f>IF(Horaires3567[[#This Row],[PNP Fin]]=0,0,IF(Horaires3567[[#This Row],[PNP Fin]]&lt;Horaires3567[[#This Row],[début]],1,0)+Horaires3567[[#This Row],[PNP Fin]])</f>
        <v>0</v>
      </c>
      <c r="M44" s="60">
        <f>IF(Horaires3567[[#This Row],[Fin]]&lt;Horaires3567[[#This Row],[début]],1,0)+Horaires3567[[#This Row],[Fin]]</f>
        <v>0</v>
      </c>
      <c r="N44" s="61">
        <f>MAX(0,MIN(Horaires3567[[#This Row],[Fin corrigée si nuit]],fin_nuit)-MAX(Horaires3567[[#This Row],[début]],deb_nuit))*24</f>
        <v>0</v>
      </c>
      <c r="O44" s="62">
        <f>(MAX(0,MIN(Horaires3567[[#This Row],[Fin corrigée si nuit]],fin_nuit)-MAX(Horaires3567[[#This Row],[début]],deb_nuit))-IF(Horaires3567[[#This Row],[PNP Début]]=0,0,MIN(Horaires3567[[#This Row],[PNP Fin corrigée]],fin_nuit)-MAX(Horaires3567[[#This Row],[PNP Début corrigé]],deb_nuit)))*24</f>
        <v>0</v>
      </c>
      <c r="P44" s="62">
        <f>(IF(WEEKDAY(Horaires3567[[#This Row],[Date]],2)=7,MAX(0,MIN(fin_dimJF,Horaires3567[[#This Row],[Fin corrigée si nuit]])-MAX(deb_dimJF,Horaires3567[[#This Row],[début]])),0)+IF(WEEKDAY(Horaires3567[[#This Row],[Date]],2)=6,MAX(0,Horaires3567[[#This Row],[Fin corrigée si nuit]]-(1+deb_dimJF)),0))*24</f>
        <v>0</v>
      </c>
      <c r="Q44"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4" s="62">
        <f>(IF(COUNTIF(JF,Horaires3567[[#This Row],[Date]]),MAX(0,MIN(fin_dimJF,Horaires3567[[#This Row],[Fin corrigée si nuit]])-MAX(deb_dimJF,Horaires3567[[#This Row],[début]])),0)+IF(COUNTIF(JF,Horaires3567[[#This Row],[Date]]+1),MAX(0,Horaires3567[[#This Row],[Fin corrigée si nuit]]-(1+deb_dimJF)),0))*24</f>
        <v>0</v>
      </c>
      <c r="S44"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5" spans="1:19" x14ac:dyDescent="0.35">
      <c r="A45" s="9"/>
      <c r="B45" s="1"/>
      <c r="C45" s="2"/>
      <c r="D45" s="2"/>
      <c r="E45" s="3"/>
      <c r="F45" s="3"/>
      <c r="G45" s="3"/>
      <c r="H45" s="3"/>
      <c r="I45" s="57">
        <f>0.1*(Horaires3567[[#This Row],[Heures de nuit]]+Horaires3567[[#This Row],[heures jour dimanche]]+Horaires3567[[#This Row],[heures jour fériés]])</f>
        <v>0</v>
      </c>
      <c r="J45" s="58">
        <f>(MOD(Horaires3567[[#This Row],[Fin]]-Horaires3567[[#This Row],[début]],1)-MOD(Horaires3567[[#This Row],[PNP Fin]]-Horaires3567[[#This Row],[PNP Début]],1))*24</f>
        <v>0</v>
      </c>
      <c r="K45" s="59">
        <f>IF(Horaires3567[[#This Row],[PNP Début]]=0,0,IF(Horaires3567[[#This Row],[PNP Début]]&lt;Horaires3567[[#This Row],[début]],1,0)+Horaires3567[[#This Row],[PNP Début]])</f>
        <v>0</v>
      </c>
      <c r="L45" s="60">
        <f>IF(Horaires3567[[#This Row],[PNP Fin]]=0,0,IF(Horaires3567[[#This Row],[PNP Fin]]&lt;Horaires3567[[#This Row],[début]],1,0)+Horaires3567[[#This Row],[PNP Fin]])</f>
        <v>0</v>
      </c>
      <c r="M45" s="60">
        <f>IF(Horaires3567[[#This Row],[Fin]]&lt;Horaires3567[[#This Row],[début]],1,0)+Horaires3567[[#This Row],[Fin]]</f>
        <v>0</v>
      </c>
      <c r="N45" s="61">
        <f>MAX(0,MIN(Horaires3567[[#This Row],[Fin corrigée si nuit]],fin_nuit)-MAX(Horaires3567[[#This Row],[début]],deb_nuit))*24</f>
        <v>0</v>
      </c>
      <c r="O45" s="62">
        <f>(MAX(0,MIN(Horaires3567[[#This Row],[Fin corrigée si nuit]],fin_nuit)-MAX(Horaires3567[[#This Row],[début]],deb_nuit))-IF(Horaires3567[[#This Row],[PNP Début]]=0,0,MIN(Horaires3567[[#This Row],[PNP Fin corrigée]],fin_nuit)-MAX(Horaires3567[[#This Row],[PNP Début corrigé]],deb_nuit)))*24</f>
        <v>0</v>
      </c>
      <c r="P45" s="62">
        <f>(IF(WEEKDAY(Horaires3567[[#This Row],[Date]],2)=7,MAX(0,MIN(fin_dimJF,Horaires3567[[#This Row],[Fin corrigée si nuit]])-MAX(deb_dimJF,Horaires3567[[#This Row],[début]])),0)+IF(WEEKDAY(Horaires3567[[#This Row],[Date]],2)=6,MAX(0,Horaires3567[[#This Row],[Fin corrigée si nuit]]-(1+deb_dimJF)),0))*24</f>
        <v>0</v>
      </c>
      <c r="Q45"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5" s="62">
        <f>(IF(COUNTIF(JF,Horaires3567[[#This Row],[Date]]),MAX(0,MIN(fin_dimJF,Horaires3567[[#This Row],[Fin corrigée si nuit]])-MAX(deb_dimJF,Horaires3567[[#This Row],[début]])),0)+IF(COUNTIF(JF,Horaires3567[[#This Row],[Date]]+1),MAX(0,Horaires3567[[#This Row],[Fin corrigée si nuit]]-(1+deb_dimJF)),0))*24</f>
        <v>0</v>
      </c>
      <c r="S45"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6" spans="1:19" x14ac:dyDescent="0.35">
      <c r="A46" s="9"/>
      <c r="B46" s="1"/>
      <c r="C46" s="2"/>
      <c r="D46" s="2"/>
      <c r="E46" s="3"/>
      <c r="F46" s="3"/>
      <c r="G46" s="3"/>
      <c r="H46" s="3"/>
      <c r="I46" s="57">
        <f>0.1*(Horaires3567[[#This Row],[Heures de nuit]]+Horaires3567[[#This Row],[heures jour dimanche]]+Horaires3567[[#This Row],[heures jour fériés]])</f>
        <v>0</v>
      </c>
      <c r="J46" s="58">
        <f>(MOD(Horaires3567[[#This Row],[Fin]]-Horaires3567[[#This Row],[début]],1)-MOD(Horaires3567[[#This Row],[PNP Fin]]-Horaires3567[[#This Row],[PNP Début]],1))*24</f>
        <v>0</v>
      </c>
      <c r="K46" s="59">
        <f>IF(Horaires3567[[#This Row],[PNP Début]]=0,0,IF(Horaires3567[[#This Row],[PNP Début]]&lt;Horaires3567[[#This Row],[début]],1,0)+Horaires3567[[#This Row],[PNP Début]])</f>
        <v>0</v>
      </c>
      <c r="L46" s="60">
        <f>IF(Horaires3567[[#This Row],[PNP Fin]]=0,0,IF(Horaires3567[[#This Row],[PNP Fin]]&lt;Horaires3567[[#This Row],[début]],1,0)+Horaires3567[[#This Row],[PNP Fin]])</f>
        <v>0</v>
      </c>
      <c r="M46" s="60">
        <f>IF(Horaires3567[[#This Row],[Fin]]&lt;Horaires3567[[#This Row],[début]],1,0)+Horaires3567[[#This Row],[Fin]]</f>
        <v>0</v>
      </c>
      <c r="N46" s="61">
        <f>MAX(0,MIN(Horaires3567[[#This Row],[Fin corrigée si nuit]],fin_nuit)-MAX(Horaires3567[[#This Row],[début]],deb_nuit))*24</f>
        <v>0</v>
      </c>
      <c r="O46" s="62">
        <f>(MAX(0,MIN(Horaires3567[[#This Row],[Fin corrigée si nuit]],fin_nuit)-MAX(Horaires3567[[#This Row],[début]],deb_nuit))-IF(Horaires3567[[#This Row],[PNP Début]]=0,0,MIN(Horaires3567[[#This Row],[PNP Fin corrigée]],fin_nuit)-MAX(Horaires3567[[#This Row],[PNP Début corrigé]],deb_nuit)))*24</f>
        <v>0</v>
      </c>
      <c r="P46" s="62">
        <f>(IF(WEEKDAY(Horaires3567[[#This Row],[Date]],2)=7,MAX(0,MIN(fin_dimJF,Horaires3567[[#This Row],[Fin corrigée si nuit]])-MAX(deb_dimJF,Horaires3567[[#This Row],[début]])),0)+IF(WEEKDAY(Horaires3567[[#This Row],[Date]],2)=6,MAX(0,Horaires3567[[#This Row],[Fin corrigée si nuit]]-(1+deb_dimJF)),0))*24</f>
        <v>0</v>
      </c>
      <c r="Q46"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6" s="62">
        <f>(IF(COUNTIF(JF,Horaires3567[[#This Row],[Date]]),MAX(0,MIN(fin_dimJF,Horaires3567[[#This Row],[Fin corrigée si nuit]])-MAX(deb_dimJF,Horaires3567[[#This Row],[début]])),0)+IF(COUNTIF(JF,Horaires3567[[#This Row],[Date]]+1),MAX(0,Horaires3567[[#This Row],[Fin corrigée si nuit]]-(1+deb_dimJF)),0))*24</f>
        <v>0</v>
      </c>
      <c r="S46"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7" spans="1:19" x14ac:dyDescent="0.35">
      <c r="A47" s="9"/>
      <c r="B47" s="1"/>
      <c r="C47" s="2"/>
      <c r="D47" s="2"/>
      <c r="E47" s="3"/>
      <c r="F47" s="3"/>
      <c r="G47" s="3"/>
      <c r="H47" s="3"/>
      <c r="I47" s="57">
        <f>0.1*(Horaires3567[[#This Row],[Heures de nuit]]+Horaires3567[[#This Row],[heures jour dimanche]]+Horaires3567[[#This Row],[heures jour fériés]])</f>
        <v>0</v>
      </c>
      <c r="J47" s="58">
        <f>(MOD(Horaires3567[[#This Row],[Fin]]-Horaires3567[[#This Row],[début]],1)-MOD(Horaires3567[[#This Row],[PNP Fin]]-Horaires3567[[#This Row],[PNP Début]],1))*24</f>
        <v>0</v>
      </c>
      <c r="K47" s="59">
        <f>IF(Horaires3567[[#This Row],[PNP Début]]=0,0,IF(Horaires3567[[#This Row],[PNP Début]]&lt;Horaires3567[[#This Row],[début]],1,0)+Horaires3567[[#This Row],[PNP Début]])</f>
        <v>0</v>
      </c>
      <c r="L47" s="60">
        <f>IF(Horaires3567[[#This Row],[PNP Fin]]=0,0,IF(Horaires3567[[#This Row],[PNP Fin]]&lt;Horaires3567[[#This Row],[début]],1,0)+Horaires3567[[#This Row],[PNP Fin]])</f>
        <v>0</v>
      </c>
      <c r="M47" s="60">
        <f>IF(Horaires3567[[#This Row],[Fin]]&lt;Horaires3567[[#This Row],[début]],1,0)+Horaires3567[[#This Row],[Fin]]</f>
        <v>0</v>
      </c>
      <c r="N47" s="61">
        <f>MAX(0,MIN(Horaires3567[[#This Row],[Fin corrigée si nuit]],fin_nuit)-MAX(Horaires3567[[#This Row],[début]],deb_nuit))*24</f>
        <v>0</v>
      </c>
      <c r="O47" s="62">
        <f>(MAX(0,MIN(Horaires3567[[#This Row],[Fin corrigée si nuit]],fin_nuit)-MAX(Horaires3567[[#This Row],[début]],deb_nuit))-IF(Horaires3567[[#This Row],[PNP Début]]=0,0,MIN(Horaires3567[[#This Row],[PNP Fin corrigée]],fin_nuit)-MAX(Horaires3567[[#This Row],[PNP Début corrigé]],deb_nuit)))*24</f>
        <v>0</v>
      </c>
      <c r="P47" s="62">
        <f>(IF(WEEKDAY(Horaires3567[[#This Row],[Date]],2)=7,MAX(0,MIN(fin_dimJF,Horaires3567[[#This Row],[Fin corrigée si nuit]])-MAX(deb_dimJF,Horaires3567[[#This Row],[début]])),0)+IF(WEEKDAY(Horaires3567[[#This Row],[Date]],2)=6,MAX(0,Horaires3567[[#This Row],[Fin corrigée si nuit]]-(1+deb_dimJF)),0))*24</f>
        <v>0</v>
      </c>
      <c r="Q47"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7" s="62">
        <f>(IF(COUNTIF(JF,Horaires3567[[#This Row],[Date]]),MAX(0,MIN(fin_dimJF,Horaires3567[[#This Row],[Fin corrigée si nuit]])-MAX(deb_dimJF,Horaires3567[[#This Row],[début]])),0)+IF(COUNTIF(JF,Horaires3567[[#This Row],[Date]]+1),MAX(0,Horaires3567[[#This Row],[Fin corrigée si nuit]]-(1+deb_dimJF)),0))*24</f>
        <v>0</v>
      </c>
      <c r="S47"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8" spans="1:19" x14ac:dyDescent="0.35">
      <c r="A48" s="9"/>
      <c r="B48" s="1"/>
      <c r="C48" s="2"/>
      <c r="D48" s="2"/>
      <c r="E48" s="3"/>
      <c r="F48" s="3"/>
      <c r="G48" s="3"/>
      <c r="H48" s="3"/>
      <c r="I48" s="57">
        <f>0.1*(Horaires3567[[#This Row],[Heures de nuit]]+Horaires3567[[#This Row],[heures jour dimanche]]+Horaires3567[[#This Row],[heures jour fériés]])</f>
        <v>0</v>
      </c>
      <c r="J48" s="58">
        <f>(MOD(Horaires3567[[#This Row],[Fin]]-Horaires3567[[#This Row],[début]],1)-MOD(Horaires3567[[#This Row],[PNP Fin]]-Horaires3567[[#This Row],[PNP Début]],1))*24</f>
        <v>0</v>
      </c>
      <c r="K48" s="59">
        <f>IF(Horaires3567[[#This Row],[PNP Début]]=0,0,IF(Horaires3567[[#This Row],[PNP Début]]&lt;Horaires3567[[#This Row],[début]],1,0)+Horaires3567[[#This Row],[PNP Début]])</f>
        <v>0</v>
      </c>
      <c r="L48" s="60">
        <f>IF(Horaires3567[[#This Row],[PNP Fin]]=0,0,IF(Horaires3567[[#This Row],[PNP Fin]]&lt;Horaires3567[[#This Row],[début]],1,0)+Horaires3567[[#This Row],[PNP Fin]])</f>
        <v>0</v>
      </c>
      <c r="M48" s="60">
        <f>IF(Horaires3567[[#This Row],[Fin]]&lt;Horaires3567[[#This Row],[début]],1,0)+Horaires3567[[#This Row],[Fin]]</f>
        <v>0</v>
      </c>
      <c r="N48" s="61">
        <f>MAX(0,MIN(Horaires3567[[#This Row],[Fin corrigée si nuit]],fin_nuit)-MAX(Horaires3567[[#This Row],[début]],deb_nuit))*24</f>
        <v>0</v>
      </c>
      <c r="O48" s="62">
        <f>(MAX(0,MIN(Horaires3567[[#This Row],[Fin corrigée si nuit]],fin_nuit)-MAX(Horaires3567[[#This Row],[début]],deb_nuit))-IF(Horaires3567[[#This Row],[PNP Début]]=0,0,MIN(Horaires3567[[#This Row],[PNP Fin corrigée]],fin_nuit)-MAX(Horaires3567[[#This Row],[PNP Début corrigé]],deb_nuit)))*24</f>
        <v>0</v>
      </c>
      <c r="P48" s="62">
        <f>(IF(WEEKDAY(Horaires3567[[#This Row],[Date]],2)=7,MAX(0,MIN(fin_dimJF,Horaires3567[[#This Row],[Fin corrigée si nuit]])-MAX(deb_dimJF,Horaires3567[[#This Row],[début]])),0)+IF(WEEKDAY(Horaires3567[[#This Row],[Date]],2)=6,MAX(0,Horaires3567[[#This Row],[Fin corrigée si nuit]]-(1+deb_dimJF)),0))*24</f>
        <v>0</v>
      </c>
      <c r="Q48"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8" s="62">
        <f>(IF(COUNTIF(JF,Horaires3567[[#This Row],[Date]]),MAX(0,MIN(fin_dimJF,Horaires3567[[#This Row],[Fin corrigée si nuit]])-MAX(deb_dimJF,Horaires3567[[#This Row],[début]])),0)+IF(COUNTIF(JF,Horaires3567[[#This Row],[Date]]+1),MAX(0,Horaires3567[[#This Row],[Fin corrigée si nuit]]-(1+deb_dimJF)),0))*24</f>
        <v>0</v>
      </c>
      <c r="S48"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49" spans="1:19" ht="15" thickBot="1" x14ac:dyDescent="0.4">
      <c r="A49" s="9"/>
      <c r="B49" s="1"/>
      <c r="C49" s="2"/>
      <c r="D49" s="2"/>
      <c r="E49" s="3"/>
      <c r="F49" s="3"/>
      <c r="G49" s="3"/>
      <c r="H49" s="3"/>
      <c r="I49" s="57">
        <f>0.1*(Horaires3567[[#This Row],[Heures de nuit]]+Horaires3567[[#This Row],[heures jour dimanche]]+Horaires3567[[#This Row],[heures jour fériés]])</f>
        <v>0</v>
      </c>
      <c r="J49" s="58">
        <f>(MOD(Horaires3567[[#This Row],[Fin]]-Horaires3567[[#This Row],[début]],1)-MOD(Horaires3567[[#This Row],[PNP Fin]]-Horaires3567[[#This Row],[PNP Début]],1))*24</f>
        <v>0</v>
      </c>
      <c r="K49" s="59">
        <f>IF(Horaires3567[[#This Row],[PNP Début]]=0,0,IF(Horaires3567[[#This Row],[PNP Début]]&lt;Horaires3567[[#This Row],[début]],1,0)+Horaires3567[[#This Row],[PNP Début]])</f>
        <v>0</v>
      </c>
      <c r="L49" s="60">
        <f>IF(Horaires3567[[#This Row],[PNP Fin]]=0,0,IF(Horaires3567[[#This Row],[PNP Fin]]&lt;Horaires3567[[#This Row],[début]],1,0)+Horaires3567[[#This Row],[PNP Fin]])</f>
        <v>0</v>
      </c>
      <c r="M49" s="60">
        <f>IF(Horaires3567[[#This Row],[Fin]]&lt;Horaires3567[[#This Row],[début]],1,0)+Horaires3567[[#This Row],[Fin]]</f>
        <v>0</v>
      </c>
      <c r="N49" s="61">
        <f>MAX(0,MIN(Horaires3567[[#This Row],[Fin corrigée si nuit]],fin_nuit)-MAX(Horaires3567[[#This Row],[début]],deb_nuit))*24</f>
        <v>0</v>
      </c>
      <c r="O49" s="62">
        <f>(MAX(0,MIN(Horaires3567[[#This Row],[Fin corrigée si nuit]],fin_nuit)-MAX(Horaires3567[[#This Row],[début]],deb_nuit))-IF(Horaires3567[[#This Row],[PNP Début]]=0,0,MIN(Horaires3567[[#This Row],[PNP Fin corrigée]],fin_nuit)-MAX(Horaires3567[[#This Row],[PNP Début corrigé]],deb_nuit)))*24</f>
        <v>0</v>
      </c>
      <c r="P49" s="62">
        <f>(IF(WEEKDAY(Horaires3567[[#This Row],[Date]],2)=7,MAX(0,MIN(fin_dimJF,Horaires3567[[#This Row],[Fin corrigée si nuit]])-MAX(deb_dimJF,Horaires3567[[#This Row],[début]])),0)+IF(WEEKDAY(Horaires3567[[#This Row],[Date]],2)=6,MAX(0,Horaires3567[[#This Row],[Fin corrigée si nuit]]-(1+deb_dimJF)),0))*24</f>
        <v>0</v>
      </c>
      <c r="Q49" s="62">
        <f>(IF(WEEKDAY(Horaires3567[[#This Row],[Date]],2)=7,MAX(0,MIN(fin_dimJF,Horaires3567[[#This Row],[Fin corrigée si nuit]])-MAX(deb_dimJF,Horaires3567[[#This Row],[début]])),0)+IF(WEEKDAY(Horaires3567[[#This Row],[Date]],2)=6,MAX(0,Horaires3567[[#This Row],[Fin corrigée si nuit]]-(1+deb_dimJF)),0))*24-
(IF(WEEKDAY(Horaires3567[[#This Row],[Date]],2)=7,MAX(0,MIN(fin_dimJF,Horaires3567[[#This Row],[PNP Fin corrigée]])-MAX(deb_dimJF,Horaires3567[[#This Row],[PNP Début corrigé]])),0)+IF(WEEKDAY(Horaires3567[[#This Row],[Date]],2)=6,MAX(0,Horaires3567[[#This Row],[PNP Fin corrigée]]-(1+deb_dimJF)),0))*24</f>
        <v>0</v>
      </c>
      <c r="R49" s="62">
        <f>(IF(COUNTIF(JF,Horaires3567[[#This Row],[Date]]),MAX(0,MIN(fin_dimJF,Horaires3567[[#This Row],[Fin corrigée si nuit]])-MAX(deb_dimJF,Horaires3567[[#This Row],[début]])),0)+IF(COUNTIF(JF,Horaires3567[[#This Row],[Date]]+1),MAX(0,Horaires3567[[#This Row],[Fin corrigée si nuit]]-(1+deb_dimJF)),0))*24</f>
        <v>0</v>
      </c>
      <c r="S49" s="62">
        <f>(IF(COUNTIF(JF,Horaires3567[[#This Row],[Date]]),MAX(0,MIN(fin_dimJF,Horaires3567[[#This Row],[Fin corrigée si nuit]])-MAX(deb_dimJF,Horaires3567[[#This Row],[début]])),0)+IF(COUNTIF(JF,Horaires3567[[#This Row],[Date]]+1),MAX(0,Horaires3567[[#This Row],[Fin corrigée si nuit]]-(1+deb_dimJF)),0))*24-
(IF(COUNTIF(JF,Horaires3567[[#This Row],[Date]]),MAX(0,MIN(fin_dimJF,Horaires3567[[#This Row],[PNP Fin corrigée]])-MAX(deb_dimJF,Horaires3567[[#This Row],[PNP Début corrigé]])),0)+IF(COUNTIF(JF,Horaires3567[[#This Row],[Date]]+1),MAX(0,Horaires3567[[#This Row],[PNP Fin corrigée]]-(1+deb_dimJF)),0))*24</f>
        <v>0</v>
      </c>
    </row>
    <row r="50" spans="1:19" ht="16" thickBot="1" x14ac:dyDescent="0.4">
      <c r="A50" s="63"/>
      <c r="B50" s="25"/>
      <c r="C50" s="25"/>
      <c r="D50" s="25"/>
      <c r="E50" s="106" t="s">
        <v>32</v>
      </c>
      <c r="F50" s="107"/>
      <c r="G50" s="107"/>
      <c r="H50" s="108"/>
      <c r="I50" s="64">
        <f>SUM(Horaires3567[Majoration])</f>
        <v>0</v>
      </c>
      <c r="J50" s="65">
        <f>SUM(Horaires3567[Heures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0"/>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K12:N49"/>
  </dataValidations>
  <printOptions horizontalCentered="1"/>
  <pageMargins left="0" right="0" top="0" bottom="0" header="0" footer="0"/>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00B050"/>
  </sheetPr>
  <dimension ref="A1:B4"/>
  <sheetViews>
    <sheetView workbookViewId="0">
      <selection activeCell="H11" sqref="H11"/>
    </sheetView>
  </sheetViews>
  <sheetFormatPr baseColWidth="10" defaultRowHeight="14.5" x14ac:dyDescent="0.35"/>
  <cols>
    <col min="1" max="1" width="21.81640625" customWidth="1"/>
  </cols>
  <sheetData>
    <row r="1" spans="1:2" x14ac:dyDescent="0.35">
      <c r="A1" t="s">
        <v>15</v>
      </c>
      <c r="B1" s="13">
        <v>0.95833333333333337</v>
      </c>
    </row>
    <row r="2" spans="1:2" x14ac:dyDescent="0.35">
      <c r="A2" t="s">
        <v>16</v>
      </c>
      <c r="B2" s="14">
        <v>1.25</v>
      </c>
    </row>
    <row r="3" spans="1:2" x14ac:dyDescent="0.35">
      <c r="A3" t="s">
        <v>17</v>
      </c>
      <c r="B3" s="13">
        <v>0.25</v>
      </c>
    </row>
    <row r="4" spans="1:2" x14ac:dyDescent="0.35">
      <c r="A4" t="s">
        <v>18</v>
      </c>
      <c r="B4" s="13">
        <v>0.95833333333333337</v>
      </c>
    </row>
  </sheetData>
  <sheetProtection selectLockedCells="1" selectUnlockedCells="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anchor moveWithCells="1" sizeWithCells="1">
                  <from>
                    <xdr:col>1</xdr:col>
                    <xdr:colOff>0</xdr:colOff>
                    <xdr:row>6</xdr:row>
                    <xdr:rowOff>158750</xdr:rowOff>
                  </from>
                  <to>
                    <xdr:col>3</xdr:col>
                    <xdr:colOff>12700</xdr:colOff>
                    <xdr:row>9</xdr:row>
                    <xdr:rowOff>177800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FF00"/>
  </sheetPr>
  <dimension ref="A1:F21"/>
  <sheetViews>
    <sheetView showZeros="0" workbookViewId="0">
      <selection activeCell="J25" sqref="J25"/>
    </sheetView>
  </sheetViews>
  <sheetFormatPr baseColWidth="10" defaultRowHeight="14.5" x14ac:dyDescent="0.35"/>
  <cols>
    <col min="1" max="1" width="10" customWidth="1"/>
    <col min="2" max="2" width="23.08984375" style="7" customWidth="1"/>
    <col min="3" max="3" width="17.08984375" customWidth="1"/>
    <col min="4" max="4" width="19.1796875" customWidth="1"/>
  </cols>
  <sheetData>
    <row r="1" spans="1:4" x14ac:dyDescent="0.35">
      <c r="A1" s="4">
        <v>2017</v>
      </c>
      <c r="B1" s="6" t="s">
        <v>57</v>
      </c>
      <c r="C1" s="15">
        <v>43101</v>
      </c>
      <c r="D1" s="8">
        <f>IF(WEEKDAY(C1,2)=7,0,C1)</f>
        <v>43101</v>
      </c>
    </row>
    <row r="2" spans="1:4" x14ac:dyDescent="0.35">
      <c r="A2" s="5"/>
      <c r="B2" s="6" t="s">
        <v>54</v>
      </c>
      <c r="C2" s="15">
        <v>43189</v>
      </c>
      <c r="D2" s="8">
        <f t="shared" ref="D2:D12" si="0">IF(WEEKDAY(C2,2)=7,0,C2)</f>
        <v>43189</v>
      </c>
    </row>
    <row r="3" spans="1:4" x14ac:dyDescent="0.35">
      <c r="A3" s="5"/>
      <c r="B3" s="6" t="s">
        <v>9</v>
      </c>
      <c r="C3" s="15">
        <v>43192</v>
      </c>
      <c r="D3" s="8">
        <f t="shared" si="0"/>
        <v>43192</v>
      </c>
    </row>
    <row r="4" spans="1:4" x14ac:dyDescent="0.35">
      <c r="A4" s="5"/>
      <c r="B4" s="6" t="s">
        <v>58</v>
      </c>
      <c r="C4" s="15">
        <v>43230</v>
      </c>
      <c r="D4" s="8">
        <f t="shared" si="0"/>
        <v>43230</v>
      </c>
    </row>
    <row r="5" spans="1:4" x14ac:dyDescent="0.35">
      <c r="A5" s="5"/>
      <c r="B5" s="6" t="s">
        <v>59</v>
      </c>
      <c r="C5" s="15">
        <v>43241</v>
      </c>
      <c r="D5" s="8">
        <f t="shared" si="0"/>
        <v>43241</v>
      </c>
    </row>
    <row r="6" spans="1:4" x14ac:dyDescent="0.35">
      <c r="A6" s="5"/>
      <c r="B6" s="6" t="s">
        <v>60</v>
      </c>
      <c r="C6" s="15">
        <v>43313</v>
      </c>
      <c r="D6" s="8">
        <f t="shared" si="0"/>
        <v>43313</v>
      </c>
    </row>
    <row r="7" spans="1:4" x14ac:dyDescent="0.35">
      <c r="A7" s="5"/>
      <c r="B7" s="6" t="s">
        <v>61</v>
      </c>
      <c r="C7" s="15">
        <v>43349</v>
      </c>
      <c r="D7" s="8">
        <f t="shared" si="0"/>
        <v>43349</v>
      </c>
    </row>
    <row r="8" spans="1:4" x14ac:dyDescent="0.35">
      <c r="A8" s="5"/>
      <c r="B8" s="6" t="s">
        <v>62</v>
      </c>
      <c r="C8" s="15">
        <v>43459</v>
      </c>
      <c r="D8" s="8">
        <f t="shared" si="0"/>
        <v>43459</v>
      </c>
    </row>
    <row r="9" spans="1:4" x14ac:dyDescent="0.35">
      <c r="A9" s="5"/>
      <c r="B9" s="6" t="s">
        <v>55</v>
      </c>
      <c r="C9" s="15">
        <v>43465</v>
      </c>
      <c r="D9" s="8">
        <f t="shared" si="0"/>
        <v>43465</v>
      </c>
    </row>
    <row r="10" spans="1:4" x14ac:dyDescent="0.35">
      <c r="A10" s="5"/>
      <c r="B10" s="6" t="s">
        <v>56</v>
      </c>
      <c r="C10" s="15"/>
      <c r="D10" s="8">
        <f t="shared" si="0"/>
        <v>0</v>
      </c>
    </row>
    <row r="11" spans="1:4" x14ac:dyDescent="0.35">
      <c r="A11" s="5"/>
      <c r="B11" s="6" t="s">
        <v>56</v>
      </c>
      <c r="C11" s="15"/>
      <c r="D11" s="8">
        <f t="shared" si="0"/>
        <v>0</v>
      </c>
    </row>
    <row r="12" spans="1:4" x14ac:dyDescent="0.35">
      <c r="A12" s="5"/>
      <c r="B12" s="6" t="s">
        <v>56</v>
      </c>
      <c r="C12" s="15"/>
      <c r="D12" s="8">
        <f t="shared" si="0"/>
        <v>0</v>
      </c>
    </row>
    <row r="17" spans="1:6" x14ac:dyDescent="0.35">
      <c r="F17" s="13"/>
    </row>
    <row r="19" spans="1:6" x14ac:dyDescent="0.35">
      <c r="A19" s="88" t="s">
        <v>66</v>
      </c>
      <c r="B19" s="89">
        <v>0.33333333333333331</v>
      </c>
      <c r="C19" s="90">
        <v>0.66666666666666663</v>
      </c>
    </row>
    <row r="21" spans="1:6" x14ac:dyDescent="0.35">
      <c r="B21" s="87"/>
    </row>
  </sheetData>
  <sheetProtection selectLockedCells="1" selectUnlockedCell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S60"/>
  <sheetViews>
    <sheetView workbookViewId="0">
      <selection activeCell="I5" sqref="I5:J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t="s">
        <v>65</v>
      </c>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0.1*(Horaires35673[[#This Row],[Heures de nuit]]+Horaires35673[[#This Row],[heures jour dimanche]]+Horaires35673[[#This Row],[heures jour fériés]])</f>
        <v>0</v>
      </c>
      <c r="J13" s="39">
        <f>(MOD(Horaires35673[[#This Row],[Fin]]-Horaires35673[[#This Row],[début]],1)-MOD(Horaires35673[[#This Row],[PNP Fin]]-Horaires35673[[#This Row],[PNP Début]],1))*24</f>
        <v>0</v>
      </c>
      <c r="K13" s="40">
        <f>IF(Horaires35673[[#This Row],[PNP Début]]=0,0,IF(Horaires35673[[#This Row],[PNP Début]]&lt;Horaires35673[[#This Row],[début]],1,0)+Horaires35673[[#This Row],[PNP Début]])</f>
        <v>0</v>
      </c>
      <c r="L13" s="40">
        <f>IF(Horaires35673[[#This Row],[PNP Fin]]=0,0,IF(Horaires35673[[#This Row],[PNP Fin]]&lt;Horaires35673[[#This Row],[début]],1,0)+Horaires35673[[#This Row],[PNP Fin]])</f>
        <v>0</v>
      </c>
      <c r="M13" s="40">
        <f>IF(Horaires35673[[#This Row],[Fin]]&lt;Horaires35673[[#This Row],[début]],1,0)+Horaires35673[[#This Row],[Fin]]</f>
        <v>0</v>
      </c>
      <c r="N13" s="41">
        <f>MAX(0,MIN(Horaires35673[[#This Row],[Fin corrigée si nuit]],fin_nuit)-MAX(Horaires35673[[#This Row],[début]],deb_nuit))*24</f>
        <v>0</v>
      </c>
      <c r="O13" s="41">
        <f>(MAX(0,MIN(Horaires35673[[#This Row],[Fin corrigée si nuit]],fin_nuit)-MAX(Horaires35673[[#This Row],[début]],deb_nuit))-IF(Horaires35673[[#This Row],[PNP Début]]=0,0,MIN(Horaires35673[[#This Row],[PNP Fin corrigée]],fin_nuit)-MAX(Horaires35673[[#This Row],[PNP Début corrigé]],deb_nuit)))*24</f>
        <v>0</v>
      </c>
      <c r="P13" s="41">
        <f>(IF(WEEKDAY(Horaires35673[[#This Row],[Date]],2)=7,MAX(0,MIN(fin_dimJF,Horaires35673[[#This Row],[Fin corrigée si nuit]])-MAX(deb_dimJF,Horaires35673[[#This Row],[début]])),0)+IF(WEEKDAY(Horaires35673[[#This Row],[Date]],2)=6,MAX(0,Horaires35673[[#This Row],[Fin corrigée si nuit]]-(1+deb_dimJF)),0))*24</f>
        <v>0</v>
      </c>
      <c r="Q13" s="4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13" s="42">
        <f>(IF(COUNTIF(JF,Horaires35673[[#This Row],[Date]]),MAX(0,MIN(fin_dimJF,Horaires35673[[#This Row],[Fin corrigée si nuit]])-MAX(deb_dimJF,Horaires35673[[#This Row],[début]])),0)+IF(COUNTIF(JF,Horaires35673[[#This Row],[Date]]+1),MAX(0,Horaires35673[[#This Row],[Fin corrigée si nuit]]-(1+deb_dimJF)),0))*24</f>
        <v>0</v>
      </c>
      <c r="S13" s="4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14" spans="1:19" x14ac:dyDescent="0.35">
      <c r="A14" s="9"/>
      <c r="B14" s="1"/>
      <c r="C14" s="2"/>
      <c r="D14" s="2"/>
      <c r="E14" s="3"/>
      <c r="F14" s="3"/>
      <c r="G14" s="3"/>
      <c r="H14" s="3"/>
      <c r="I14" s="38">
        <f>0.1*(Horaires35673[[#This Row],[Heures de nuit]]+Horaires35673[[#This Row],[heures jour dimanche]]+Horaires35673[[#This Row],[heures jour fériés]])</f>
        <v>0</v>
      </c>
      <c r="J14" s="39">
        <f>(MOD(Horaires35673[[#This Row],[Fin]]-Horaires35673[[#This Row],[début]],1)-MOD(Horaires35673[[#This Row],[PNP Fin]]-Horaires35673[[#This Row],[PNP Début]],1))*24</f>
        <v>0</v>
      </c>
      <c r="K14" s="40">
        <f>IF(Horaires35673[[#This Row],[PNP Début]]=0,0,IF(Horaires35673[[#This Row],[PNP Début]]&lt;Horaires35673[[#This Row],[début]],1,0)+Horaires35673[[#This Row],[PNP Début]])</f>
        <v>0</v>
      </c>
      <c r="L14" s="40">
        <f>IF(Horaires35673[[#This Row],[PNP Fin]]=0,0,IF(Horaires35673[[#This Row],[PNP Fin]]&lt;Horaires35673[[#This Row],[début]],1,0)+Horaires35673[[#This Row],[PNP Fin]])</f>
        <v>0</v>
      </c>
      <c r="M14" s="40">
        <f>IF(Horaires35673[[#This Row],[Fin]]&lt;Horaires35673[[#This Row],[début]],1,0)+Horaires35673[[#This Row],[Fin]]</f>
        <v>0</v>
      </c>
      <c r="N14" s="41">
        <f>MAX(0,MIN(Horaires35673[[#This Row],[Fin corrigée si nuit]],fin_nuit)-MAX(Horaires35673[[#This Row],[début]],deb_nuit))*24</f>
        <v>0</v>
      </c>
      <c r="O14" s="41">
        <f>(MAX(0,MIN(Horaires35673[[#This Row],[Fin corrigée si nuit]],fin_nuit)-MAX(Horaires35673[[#This Row],[début]],deb_nuit))-IF(Horaires35673[[#This Row],[PNP Début]]=0,0,MIN(Horaires35673[[#This Row],[PNP Fin corrigée]],fin_nuit)-MAX(Horaires35673[[#This Row],[PNP Début corrigé]],deb_nuit)))*24</f>
        <v>0</v>
      </c>
      <c r="P14" s="41">
        <f>(IF(WEEKDAY(Horaires35673[[#This Row],[Date]],2)=7,MAX(0,MIN(fin_dimJF,Horaires35673[[#This Row],[Fin corrigée si nuit]])-MAX(deb_dimJF,Horaires35673[[#This Row],[début]])),0)+IF(WEEKDAY(Horaires35673[[#This Row],[Date]],2)=6,MAX(0,Horaires35673[[#This Row],[Fin corrigée si nuit]]-(1+deb_dimJF)),0))*24</f>
        <v>0</v>
      </c>
      <c r="Q14" s="4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14" s="42">
        <f>(IF(COUNTIF(JF,Horaires35673[[#This Row],[Date]]),MAX(0,MIN(fin_dimJF,Horaires35673[[#This Row],[Fin corrigée si nuit]])-MAX(deb_dimJF,Horaires35673[[#This Row],[début]])),0)+IF(COUNTIF(JF,Horaires35673[[#This Row],[Date]]+1),MAX(0,Horaires35673[[#This Row],[Fin corrigée si nuit]]-(1+deb_dimJF)),0))*24</f>
        <v>0</v>
      </c>
      <c r="S14" s="4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15" spans="1:19" x14ac:dyDescent="0.35">
      <c r="A15" s="9"/>
      <c r="B15" s="1"/>
      <c r="C15" s="2"/>
      <c r="D15" s="2"/>
      <c r="E15" s="3"/>
      <c r="F15" s="3"/>
      <c r="G15" s="3"/>
      <c r="H15" s="3"/>
      <c r="I15" s="38">
        <f>0.1*(Horaires35673[[#This Row],[Heures de nuit]]+Horaires35673[[#This Row],[heures jour dimanche]]+Horaires35673[[#This Row],[heures jour fériés]])</f>
        <v>0</v>
      </c>
      <c r="J15" s="39">
        <f>(MOD(Horaires35673[[#This Row],[Fin]]-Horaires35673[[#This Row],[début]],1)-MOD(Horaires35673[[#This Row],[PNP Fin]]-Horaires35673[[#This Row],[PNP Début]],1))*24</f>
        <v>0</v>
      </c>
      <c r="K15" s="40">
        <f>IF(Horaires35673[[#This Row],[PNP Début]]=0,0,IF(Horaires35673[[#This Row],[PNP Début]]&lt;Horaires35673[[#This Row],[début]],1,0)+Horaires35673[[#This Row],[PNP Début]])</f>
        <v>0</v>
      </c>
      <c r="L15" s="40">
        <f>IF(Horaires35673[[#This Row],[PNP Fin]]=0,0,IF(Horaires35673[[#This Row],[PNP Fin]]&lt;Horaires35673[[#This Row],[début]],1,0)+Horaires35673[[#This Row],[PNP Fin]])</f>
        <v>0</v>
      </c>
      <c r="M15" s="40">
        <f>IF(Horaires35673[[#This Row],[Fin]]&lt;Horaires35673[[#This Row],[début]],1,0)+Horaires35673[[#This Row],[Fin]]</f>
        <v>0</v>
      </c>
      <c r="N15" s="41">
        <f>MAX(0,MIN(Horaires35673[[#This Row],[Fin corrigée si nuit]],fin_nuit)-MAX(Horaires35673[[#This Row],[début]],deb_nuit))*24</f>
        <v>0</v>
      </c>
      <c r="O15" s="41">
        <f>(MAX(0,MIN(Horaires35673[[#This Row],[Fin corrigée si nuit]],fin_nuit)-MAX(Horaires35673[[#This Row],[début]],deb_nuit))-IF(Horaires35673[[#This Row],[PNP Début]]=0,0,MIN(Horaires35673[[#This Row],[PNP Fin corrigée]],fin_nuit)-MAX(Horaires35673[[#This Row],[PNP Début corrigé]],deb_nuit)))*24</f>
        <v>0</v>
      </c>
      <c r="P15" s="41">
        <f>(IF(WEEKDAY(Horaires35673[[#This Row],[Date]],2)=7,MAX(0,MIN(fin_dimJF,Horaires35673[[#This Row],[Fin corrigée si nuit]])-MAX(deb_dimJF,Horaires35673[[#This Row],[début]])),0)+IF(WEEKDAY(Horaires35673[[#This Row],[Date]],2)=6,MAX(0,Horaires35673[[#This Row],[Fin corrigée si nuit]]-(1+deb_dimJF)),0))*24</f>
        <v>0</v>
      </c>
      <c r="Q15" s="4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15" s="42">
        <f>(IF(COUNTIF(JF,Horaires35673[[#This Row],[Date]]),MAX(0,MIN(fin_dimJF,Horaires35673[[#This Row],[Fin corrigée si nuit]])-MAX(deb_dimJF,Horaires35673[[#This Row],[début]])),0)+IF(COUNTIF(JF,Horaires35673[[#This Row],[Date]]+1),MAX(0,Horaires35673[[#This Row],[Fin corrigée si nuit]]-(1+deb_dimJF)),0))*24</f>
        <v>0</v>
      </c>
      <c r="S15" s="4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16" spans="1:19" x14ac:dyDescent="0.35">
      <c r="A16" s="9"/>
      <c r="B16" s="10"/>
      <c r="C16" s="2"/>
      <c r="D16" s="2"/>
      <c r="E16" s="3"/>
      <c r="F16" s="3"/>
      <c r="G16" s="11"/>
      <c r="H16" s="11"/>
      <c r="I16" s="38">
        <f>0.1*(Horaires35673[[#This Row],[Heures de nuit]]+Horaires35673[[#This Row],[heures jour dimanche]]+Horaires35673[[#This Row],[heures jour fériés]])</f>
        <v>0</v>
      </c>
      <c r="J16" s="43">
        <f>(MOD(Horaires35673[[#This Row],[Fin]]-Horaires35673[[#This Row],[début]],1)-MOD(Horaires35673[[#This Row],[PNP Fin]]-Horaires35673[[#This Row],[PNP Début]],1))*24</f>
        <v>0</v>
      </c>
      <c r="K16" s="40">
        <f>IF(Horaires35673[[#This Row],[PNP Début]]=0,0,IF(Horaires35673[[#This Row],[PNP Début]]&lt;Horaires35673[[#This Row],[début]],1,0)+Horaires35673[[#This Row],[PNP Début]])</f>
        <v>0</v>
      </c>
      <c r="L16" s="40">
        <f>IF(Horaires35673[[#This Row],[PNP Fin]]=0,0,IF(Horaires35673[[#This Row],[PNP Fin]]&lt;Horaires35673[[#This Row],[début]],1,0)+Horaires35673[[#This Row],[PNP Fin]])</f>
        <v>0</v>
      </c>
      <c r="M16" s="44">
        <f>IF(Horaires35673[[#This Row],[Fin]]&lt;Horaires35673[[#This Row],[début]],1,0)+Horaires35673[[#This Row],[Fin]]</f>
        <v>0</v>
      </c>
      <c r="N16" s="41">
        <f>MAX(0,MIN(Horaires35673[[#This Row],[Fin corrigée si nuit]],fin_nuit)-MAX(Horaires35673[[#This Row],[début]],deb_nuit))*24</f>
        <v>0</v>
      </c>
      <c r="O16" s="45">
        <f>(MAX(0,MIN(Horaires35673[[#This Row],[Fin corrigée si nuit]],fin_nuit)-MAX(Horaires35673[[#This Row],[début]],deb_nuit))-IF(Horaires35673[[#This Row],[PNP Début]]=0,0,MIN(Horaires35673[[#This Row],[PNP Fin corrigée]],fin_nuit)-MAX(Horaires35673[[#This Row],[PNP Début corrigé]],deb_nuit)))*24</f>
        <v>0</v>
      </c>
      <c r="P16" s="45">
        <f>(IF(WEEKDAY(Horaires35673[[#This Row],[Date]],2)=7,MAX(0,MIN(fin_dimJF,Horaires35673[[#This Row],[Fin corrigée si nuit]])-MAX(deb_dimJF,Horaires35673[[#This Row],[début]])),0)+IF(WEEKDAY(Horaires35673[[#This Row],[Date]],2)=6,MAX(0,Horaires35673[[#This Row],[Fin corrigée si nuit]]-(1+deb_dimJF)),0))*24</f>
        <v>0</v>
      </c>
      <c r="Q16" s="4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16" s="46">
        <f>(IF(COUNTIF(JF,Horaires35673[[#This Row],[Date]]),MAX(0,MIN(fin_dimJF,Horaires35673[[#This Row],[Fin corrigée si nuit]])-MAX(deb_dimJF,Horaires35673[[#This Row],[début]])),0)+IF(COUNTIF(JF,Horaires35673[[#This Row],[Date]]+1),MAX(0,Horaires35673[[#This Row],[Fin corrigée si nuit]]-(1+deb_dimJF)),0))*24</f>
        <v>0</v>
      </c>
      <c r="S16" s="46">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17" spans="1:19" x14ac:dyDescent="0.35">
      <c r="A17" s="9"/>
      <c r="B17" s="1"/>
      <c r="C17" s="2"/>
      <c r="D17" s="2"/>
      <c r="E17" s="3"/>
      <c r="F17" s="3"/>
      <c r="G17" s="17"/>
      <c r="H17" s="17"/>
      <c r="I17" s="47">
        <f>0.1*(Horaires35673[[#This Row],[Heures de nuit]]+Horaires35673[[#This Row],[heures jour dimanche]]+Horaires35673[[#This Row],[heures jour fériés]])</f>
        <v>0</v>
      </c>
      <c r="J17" s="48">
        <f>(MOD(Horaires35673[[#This Row],[Fin]]-Horaires35673[[#This Row],[début]],1)-MOD(Horaires35673[[#This Row],[PNP Fin]]-Horaires35673[[#This Row],[PNP Début]],1))*24</f>
        <v>0</v>
      </c>
      <c r="K17" s="49">
        <f>IF(Horaires35673[[#This Row],[PNP Début]]=0,0,IF(Horaires35673[[#This Row],[PNP Début]]&lt;Horaires35673[[#This Row],[début]],1,0)+Horaires35673[[#This Row],[PNP Début]])</f>
        <v>0</v>
      </c>
      <c r="L17" s="50">
        <f>IF(Horaires35673[[#This Row],[PNP Fin]]=0,0,IF(Horaires35673[[#This Row],[PNP Fin]]&lt;Horaires35673[[#This Row],[début]],1,0)+Horaires35673[[#This Row],[PNP Fin]])</f>
        <v>0</v>
      </c>
      <c r="M17" s="50">
        <f>IF(Horaires35673[[#This Row],[Fin]]&lt;Horaires35673[[#This Row],[début]],1,0)+Horaires35673[[#This Row],[Fin]]</f>
        <v>0</v>
      </c>
      <c r="N17" s="41">
        <f>MAX(0,MIN(Horaires35673[[#This Row],[Fin corrigée si nuit]],fin_nuit)-MAX(Horaires35673[[#This Row],[début]],deb_nuit))*24</f>
        <v>0</v>
      </c>
      <c r="O17" s="51">
        <f>(MAX(0,MIN(Horaires35673[[#This Row],[Fin corrigée si nuit]],fin_nuit)-MAX(Horaires35673[[#This Row],[début]],deb_nuit))-IF(Horaires35673[[#This Row],[PNP Début]]=0,0,MIN(Horaires35673[[#This Row],[PNP Fin corrigée]],fin_nuit)-MAX(Horaires35673[[#This Row],[PNP Début corrigé]],deb_nuit)))*24</f>
        <v>0</v>
      </c>
      <c r="P17" s="51">
        <f>(IF(WEEKDAY(Horaires35673[[#This Row],[Date]],2)=7,MAX(0,MIN(fin_dimJF,Horaires35673[[#This Row],[Fin corrigée si nuit]])-MAX(deb_dimJF,Horaires35673[[#This Row],[début]])),0)+IF(WEEKDAY(Horaires35673[[#This Row],[Date]],2)=6,MAX(0,Horaires35673[[#This Row],[Fin corrigée si nuit]]-(1+deb_dimJF)),0))*24</f>
        <v>0</v>
      </c>
      <c r="Q17" s="5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17" s="51">
        <f>(IF(COUNTIF(JF,Horaires35673[[#This Row],[Date]]),MAX(0,MIN(fin_dimJF,Horaires35673[[#This Row],[Fin corrigée si nuit]])-MAX(deb_dimJF,Horaires35673[[#This Row],[début]])),0)+IF(COUNTIF(JF,Horaires35673[[#This Row],[Date]]+1),MAX(0,Horaires35673[[#This Row],[Fin corrigée si nuit]]-(1+deb_dimJF)),0))*24</f>
        <v>0</v>
      </c>
      <c r="S17" s="51">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18" spans="1:19" x14ac:dyDescent="0.35">
      <c r="A18" s="9"/>
      <c r="B18" s="69"/>
      <c r="C18" s="16"/>
      <c r="D18" s="16"/>
      <c r="E18" s="17"/>
      <c r="F18" s="17"/>
      <c r="G18" s="17"/>
      <c r="H18" s="17"/>
      <c r="I18" s="47">
        <f>0.1*(Horaires35673[[#This Row],[Heures de nuit]]+Horaires35673[[#This Row],[heures jour dimanche]]+Horaires35673[[#This Row],[heures jour fériés]])</f>
        <v>0</v>
      </c>
      <c r="J18" s="48">
        <f>(MOD(Horaires35673[[#This Row],[Fin]]-Horaires35673[[#This Row],[début]],1)-MOD(Horaires35673[[#This Row],[PNP Fin]]-Horaires35673[[#This Row],[PNP Début]],1))*24</f>
        <v>0</v>
      </c>
      <c r="K18" s="49">
        <f>IF(Horaires35673[[#This Row],[PNP Début]]=0,0,IF(Horaires35673[[#This Row],[PNP Début]]&lt;Horaires35673[[#This Row],[début]],1,0)+Horaires35673[[#This Row],[PNP Début]])</f>
        <v>0</v>
      </c>
      <c r="L18" s="50">
        <f>IF(Horaires35673[[#This Row],[PNP Fin]]=0,0,IF(Horaires35673[[#This Row],[PNP Fin]]&lt;Horaires35673[[#This Row],[début]],1,0)+Horaires35673[[#This Row],[PNP Fin]])</f>
        <v>0</v>
      </c>
      <c r="M18" s="50">
        <f>IF(Horaires35673[[#This Row],[Fin]]&lt;Horaires35673[[#This Row],[début]],1,0)+Horaires35673[[#This Row],[Fin]]</f>
        <v>0</v>
      </c>
      <c r="N18" s="41">
        <f>MAX(0,MIN(Horaires35673[[#This Row],[Fin corrigée si nuit]],fin_nuit)-MAX(Horaires35673[[#This Row],[début]],deb_nuit))*24</f>
        <v>0</v>
      </c>
      <c r="O18" s="51">
        <f>(MAX(0,MIN(Horaires35673[[#This Row],[Fin corrigée si nuit]],fin_nuit)-MAX(Horaires35673[[#This Row],[début]],deb_nuit))-IF(Horaires35673[[#This Row],[PNP Début]]=0,0,MIN(Horaires35673[[#This Row],[PNP Fin corrigée]],fin_nuit)-MAX(Horaires35673[[#This Row],[PNP Début corrigé]],deb_nuit)))*24</f>
        <v>0</v>
      </c>
      <c r="P18" s="51">
        <f>(IF(WEEKDAY(Horaires35673[[#This Row],[Date]],2)=7,MAX(0,MIN(fin_dimJF,Horaires35673[[#This Row],[Fin corrigée si nuit]])-MAX(deb_dimJF,Horaires35673[[#This Row],[début]])),0)+IF(WEEKDAY(Horaires35673[[#This Row],[Date]],2)=6,MAX(0,Horaires35673[[#This Row],[Fin corrigée si nuit]]-(1+deb_dimJF)),0))*24</f>
        <v>0</v>
      </c>
      <c r="Q18" s="5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18" s="51">
        <f>(IF(COUNTIF(JF,Horaires35673[[#This Row],[Date]]),MAX(0,MIN(fin_dimJF,Horaires35673[[#This Row],[Fin corrigée si nuit]])-MAX(deb_dimJF,Horaires35673[[#This Row],[début]])),0)+IF(COUNTIF(JF,Horaires35673[[#This Row],[Date]]+1),MAX(0,Horaires35673[[#This Row],[Fin corrigée si nuit]]-(1+deb_dimJF)),0))*24</f>
        <v>0</v>
      </c>
      <c r="S18" s="51">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19" spans="1:19" x14ac:dyDescent="0.35">
      <c r="A19" s="9"/>
      <c r="B19" s="1"/>
      <c r="C19" s="16"/>
      <c r="D19" s="16"/>
      <c r="E19" s="3"/>
      <c r="F19" s="3"/>
      <c r="G19" s="17"/>
      <c r="H19" s="17"/>
      <c r="I19" s="47">
        <f>0.1*(Horaires35673[[#This Row],[Heures de nuit]]+Horaires35673[[#This Row],[heures jour dimanche]]+Horaires35673[[#This Row],[heures jour fériés]])</f>
        <v>0</v>
      </c>
      <c r="J19" s="48">
        <f>(MOD(Horaires35673[[#This Row],[Fin]]-Horaires35673[[#This Row],[début]],1)-MOD(Horaires35673[[#This Row],[PNP Fin]]-Horaires35673[[#This Row],[PNP Début]],1))*24</f>
        <v>0</v>
      </c>
      <c r="K19" s="49">
        <f>IF(Horaires35673[[#This Row],[PNP Début]]=0,0,IF(Horaires35673[[#This Row],[PNP Début]]&lt;Horaires35673[[#This Row],[début]],1,0)+Horaires35673[[#This Row],[PNP Début]])</f>
        <v>0</v>
      </c>
      <c r="L19" s="50">
        <f>IF(Horaires35673[[#This Row],[PNP Fin]]=0,0,IF(Horaires35673[[#This Row],[PNP Fin]]&lt;Horaires35673[[#This Row],[début]],1,0)+Horaires35673[[#This Row],[PNP Fin]])</f>
        <v>0</v>
      </c>
      <c r="M19" s="50">
        <f>IF(Horaires35673[[#This Row],[Fin]]&lt;Horaires35673[[#This Row],[début]],1,0)+Horaires35673[[#This Row],[Fin]]</f>
        <v>0</v>
      </c>
      <c r="N19" s="41">
        <f>MAX(0,MIN(Horaires35673[[#This Row],[Fin corrigée si nuit]],fin_nuit)-MAX(Horaires35673[[#This Row],[début]],deb_nuit))*24</f>
        <v>0</v>
      </c>
      <c r="O19" s="51">
        <f>(MAX(0,MIN(Horaires35673[[#This Row],[Fin corrigée si nuit]],fin_nuit)-MAX(Horaires35673[[#This Row],[début]],deb_nuit))-IF(Horaires35673[[#This Row],[PNP Début]]=0,0,MIN(Horaires35673[[#This Row],[PNP Fin corrigée]],fin_nuit)-MAX(Horaires35673[[#This Row],[PNP Début corrigé]],deb_nuit)))*24</f>
        <v>0</v>
      </c>
      <c r="P19" s="51">
        <f>(IF(WEEKDAY(Horaires35673[[#This Row],[Date]],2)=7,MAX(0,MIN(fin_dimJF,Horaires35673[[#This Row],[Fin corrigée si nuit]])-MAX(deb_dimJF,Horaires35673[[#This Row],[début]])),0)+IF(WEEKDAY(Horaires35673[[#This Row],[Date]],2)=6,MAX(0,Horaires35673[[#This Row],[Fin corrigée si nuit]]-(1+deb_dimJF)),0))*24</f>
        <v>0</v>
      </c>
      <c r="Q19" s="5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19" s="51">
        <f>(IF(COUNTIF(JF,Horaires35673[[#This Row],[Date]]),MAX(0,MIN(fin_dimJF,Horaires35673[[#This Row],[Fin corrigée si nuit]])-MAX(deb_dimJF,Horaires35673[[#This Row],[début]])),0)+IF(COUNTIF(JF,Horaires35673[[#This Row],[Date]]+1),MAX(0,Horaires35673[[#This Row],[Fin corrigée si nuit]]-(1+deb_dimJF)),0))*24</f>
        <v>0</v>
      </c>
      <c r="S19" s="51">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0" spans="1:19" x14ac:dyDescent="0.35">
      <c r="A20" s="9"/>
      <c r="B20" s="1"/>
      <c r="C20" s="16"/>
      <c r="D20" s="16"/>
      <c r="E20" s="17"/>
      <c r="F20" s="17"/>
      <c r="G20" s="17"/>
      <c r="H20" s="17"/>
      <c r="I20" s="47">
        <f>0.1*(Horaires35673[[#This Row],[Heures de nuit]]+Horaires35673[[#This Row],[heures jour dimanche]]+Horaires35673[[#This Row],[heures jour fériés]])</f>
        <v>0</v>
      </c>
      <c r="J20" s="48">
        <f>(MOD(Horaires35673[[#This Row],[Fin]]-Horaires35673[[#This Row],[début]],1)-MOD(Horaires35673[[#This Row],[PNP Fin]]-Horaires35673[[#This Row],[PNP Début]],1))*24</f>
        <v>0</v>
      </c>
      <c r="K20" s="49">
        <f>IF(Horaires35673[[#This Row],[PNP Début]]=0,0,IF(Horaires35673[[#This Row],[PNP Début]]&lt;Horaires35673[[#This Row],[début]],1,0)+Horaires35673[[#This Row],[PNP Début]])</f>
        <v>0</v>
      </c>
      <c r="L20" s="50">
        <f>IF(Horaires35673[[#This Row],[PNP Fin]]=0,0,IF(Horaires35673[[#This Row],[PNP Fin]]&lt;Horaires35673[[#This Row],[début]],1,0)+Horaires35673[[#This Row],[PNP Fin]])</f>
        <v>0</v>
      </c>
      <c r="M20" s="50">
        <f>IF(Horaires35673[[#This Row],[Fin]]&lt;Horaires35673[[#This Row],[début]],1,0)+Horaires35673[[#This Row],[Fin]]</f>
        <v>0</v>
      </c>
      <c r="N20" s="41">
        <f>MAX(0,MIN(Horaires35673[[#This Row],[Fin corrigée si nuit]],fin_nuit)-MAX(Horaires35673[[#This Row],[début]],deb_nuit))*24</f>
        <v>0</v>
      </c>
      <c r="O20" s="51">
        <f>(MAX(0,MIN(Horaires35673[[#This Row],[Fin corrigée si nuit]],fin_nuit)-MAX(Horaires35673[[#This Row],[début]],deb_nuit))-IF(Horaires35673[[#This Row],[PNP Début]]=0,0,MIN(Horaires35673[[#This Row],[PNP Fin corrigée]],fin_nuit)-MAX(Horaires35673[[#This Row],[PNP Début corrigé]],deb_nuit)))*24</f>
        <v>0</v>
      </c>
      <c r="P20" s="51">
        <f>(IF(WEEKDAY(Horaires35673[[#This Row],[Date]],2)=7,MAX(0,MIN(fin_dimJF,Horaires35673[[#This Row],[Fin corrigée si nuit]])-MAX(deb_dimJF,Horaires35673[[#This Row],[début]])),0)+IF(WEEKDAY(Horaires35673[[#This Row],[Date]],2)=6,MAX(0,Horaires35673[[#This Row],[Fin corrigée si nuit]]-(1+deb_dimJF)),0))*24</f>
        <v>0</v>
      </c>
      <c r="Q20" s="51">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0" s="51">
        <f>(IF(COUNTIF(JF,Horaires35673[[#This Row],[Date]]),MAX(0,MIN(fin_dimJF,Horaires35673[[#This Row],[Fin corrigée si nuit]])-MAX(deb_dimJF,Horaires35673[[#This Row],[début]])),0)+IF(COUNTIF(JF,Horaires35673[[#This Row],[Date]]+1),MAX(0,Horaires35673[[#This Row],[Fin corrigée si nuit]]-(1+deb_dimJF)),0))*24</f>
        <v>0</v>
      </c>
      <c r="S20" s="51">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1" spans="1:19" x14ac:dyDescent="0.35">
      <c r="A21" s="9"/>
      <c r="B21" s="10"/>
      <c r="C21" s="18"/>
      <c r="D21" s="18"/>
      <c r="E21" s="3"/>
      <c r="F21" s="3"/>
      <c r="G21" s="19"/>
      <c r="H21" s="19"/>
      <c r="I21" s="52">
        <f>0.1*(Horaires35673[[#This Row],[Heures de nuit]]+Horaires35673[[#This Row],[heures jour dimanche]]+Horaires35673[[#This Row],[heures jour fériés]])</f>
        <v>0</v>
      </c>
      <c r="J21" s="53">
        <f>(MOD(Horaires35673[[#This Row],[Fin]]-Horaires35673[[#This Row],[début]],1)-MOD(Horaires35673[[#This Row],[PNP Fin]]-Horaires35673[[#This Row],[PNP Début]],1))*24</f>
        <v>0</v>
      </c>
      <c r="K21" s="54">
        <f>IF(Horaires35673[[#This Row],[PNP Début]]=0,0,IF(Horaires35673[[#This Row],[PNP Début]]&lt;Horaires35673[[#This Row],[début]],1,0)+Horaires35673[[#This Row],[PNP Début]])</f>
        <v>0</v>
      </c>
      <c r="L21" s="55">
        <f>IF(Horaires35673[[#This Row],[PNP Fin]]=0,0,IF(Horaires35673[[#This Row],[PNP Fin]]&lt;Horaires35673[[#This Row],[début]],1,0)+Horaires35673[[#This Row],[PNP Fin]])</f>
        <v>0</v>
      </c>
      <c r="M21" s="55">
        <f>IF(Horaires35673[[#This Row],[Fin]]&lt;Horaires35673[[#This Row],[début]],1,0)+Horaires35673[[#This Row],[Fin]]</f>
        <v>0</v>
      </c>
      <c r="N21" s="41">
        <f>MAX(0,MIN(Horaires35673[[#This Row],[Fin corrigée si nuit]],fin_nuit)-MAX(Horaires35673[[#This Row],[début]],deb_nuit))*24</f>
        <v>0</v>
      </c>
      <c r="O21" s="56">
        <f>(MAX(0,MIN(Horaires35673[[#This Row],[Fin corrigée si nuit]],fin_nuit)-MAX(Horaires35673[[#This Row],[début]],deb_nuit))-IF(Horaires35673[[#This Row],[PNP Début]]=0,0,MIN(Horaires35673[[#This Row],[PNP Fin corrigée]],fin_nuit)-MAX(Horaires35673[[#This Row],[PNP Début corrigé]],deb_nuit)))*24</f>
        <v>0</v>
      </c>
      <c r="P21" s="56">
        <f>(IF(WEEKDAY(Horaires35673[[#This Row],[Date]],2)=7,MAX(0,MIN(fin_dimJF,Horaires35673[[#This Row],[Fin corrigée si nuit]])-MAX(deb_dimJF,Horaires35673[[#This Row],[début]])),0)+IF(WEEKDAY(Horaires35673[[#This Row],[Date]],2)=6,MAX(0,Horaires35673[[#This Row],[Fin corrigée si nuit]]-(1+deb_dimJF)),0))*24</f>
        <v>0</v>
      </c>
      <c r="Q21" s="56">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1" s="56">
        <f>(IF(COUNTIF(JF,Horaires35673[[#This Row],[Date]]),MAX(0,MIN(fin_dimJF,Horaires35673[[#This Row],[Fin corrigée si nuit]])-MAX(deb_dimJF,Horaires35673[[#This Row],[début]])),0)+IF(COUNTIF(JF,Horaires35673[[#This Row],[Date]]+1),MAX(0,Horaires35673[[#This Row],[Fin corrigée si nuit]]-(1+deb_dimJF)),0))*24</f>
        <v>0</v>
      </c>
      <c r="S21" s="56">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2" spans="1:19" x14ac:dyDescent="0.35">
      <c r="A22" s="9"/>
      <c r="B22" s="1"/>
      <c r="C22" s="18"/>
      <c r="D22" s="18"/>
      <c r="E22" s="3"/>
      <c r="F22" s="3"/>
      <c r="G22" s="3"/>
      <c r="H22" s="3"/>
      <c r="I22" s="57">
        <f>0.1*(Horaires35673[[#This Row],[Heures de nuit]]+Horaires35673[[#This Row],[heures jour dimanche]]+Horaires35673[[#This Row],[heures jour fériés]])</f>
        <v>0</v>
      </c>
      <c r="J22" s="58">
        <f>(MOD(Horaires35673[[#This Row],[Fin]]-Horaires35673[[#This Row],[début]],1)-MOD(Horaires35673[[#This Row],[PNP Fin]]-Horaires35673[[#This Row],[PNP Début]],1))*24</f>
        <v>0</v>
      </c>
      <c r="K22" s="59">
        <f>IF(Horaires35673[[#This Row],[PNP Début]]=0,0,IF(Horaires35673[[#This Row],[PNP Début]]&lt;Horaires35673[[#This Row],[début]],1,0)+Horaires35673[[#This Row],[PNP Début]])</f>
        <v>0</v>
      </c>
      <c r="L22" s="60">
        <f>IF(Horaires35673[[#This Row],[PNP Fin]]=0,0,IF(Horaires35673[[#This Row],[PNP Fin]]&lt;Horaires35673[[#This Row],[début]],1,0)+Horaires35673[[#This Row],[PNP Fin]])</f>
        <v>0</v>
      </c>
      <c r="M22" s="60">
        <f>IF(Horaires35673[[#This Row],[Fin]]&lt;Horaires35673[[#This Row],[début]],1,0)+Horaires35673[[#This Row],[Fin]]</f>
        <v>0</v>
      </c>
      <c r="N22" s="61">
        <f>MAX(0,MIN(Horaires35673[[#This Row],[Fin corrigée si nuit]],fin_nuit)-MAX(Horaires35673[[#This Row],[début]],deb_nuit))*24</f>
        <v>0</v>
      </c>
      <c r="O22" s="62">
        <f>(MAX(0,MIN(Horaires35673[[#This Row],[Fin corrigée si nuit]],fin_nuit)-MAX(Horaires35673[[#This Row],[début]],deb_nuit))-IF(Horaires35673[[#This Row],[PNP Début]]=0,0,MIN(Horaires35673[[#This Row],[PNP Fin corrigée]],fin_nuit)-MAX(Horaires35673[[#This Row],[PNP Début corrigé]],deb_nuit)))*24</f>
        <v>0</v>
      </c>
      <c r="P22" s="62">
        <f>(IF(WEEKDAY(Horaires35673[[#This Row],[Date]],2)=7,MAX(0,MIN(fin_dimJF,Horaires35673[[#This Row],[Fin corrigée si nuit]])-MAX(deb_dimJF,Horaires35673[[#This Row],[début]])),0)+IF(WEEKDAY(Horaires35673[[#This Row],[Date]],2)=6,MAX(0,Horaires35673[[#This Row],[Fin corrigée si nuit]]-(1+deb_dimJF)),0))*24</f>
        <v>0</v>
      </c>
      <c r="Q22"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2" s="62">
        <f>(IF(COUNTIF(JF,Horaires35673[[#This Row],[Date]]),MAX(0,MIN(fin_dimJF,Horaires35673[[#This Row],[Fin corrigée si nuit]])-MAX(deb_dimJF,Horaires35673[[#This Row],[début]])),0)+IF(COUNTIF(JF,Horaires35673[[#This Row],[Date]]+1),MAX(0,Horaires35673[[#This Row],[Fin corrigée si nuit]]-(1+deb_dimJF)),0))*24</f>
        <v>0</v>
      </c>
      <c r="S22"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3" spans="1:19" x14ac:dyDescent="0.35">
      <c r="A23" s="9"/>
      <c r="B23" s="1"/>
      <c r="C23" s="18"/>
      <c r="D23" s="18"/>
      <c r="E23" s="3"/>
      <c r="F23" s="3"/>
      <c r="G23" s="3"/>
      <c r="H23" s="3"/>
      <c r="I23" s="57">
        <f>0.1*(Horaires35673[[#This Row],[Heures de nuit]]+Horaires35673[[#This Row],[heures jour dimanche]]+Horaires35673[[#This Row],[heures jour fériés]])</f>
        <v>0</v>
      </c>
      <c r="J23" s="58">
        <f>(MOD(Horaires35673[[#This Row],[Fin]]-Horaires35673[[#This Row],[début]],1)-MOD(Horaires35673[[#This Row],[PNP Fin]]-Horaires35673[[#This Row],[PNP Début]],1))*24</f>
        <v>0</v>
      </c>
      <c r="K23" s="59">
        <f>IF(Horaires35673[[#This Row],[PNP Début]]=0,0,IF(Horaires35673[[#This Row],[PNP Début]]&lt;Horaires35673[[#This Row],[début]],1,0)+Horaires35673[[#This Row],[PNP Début]])</f>
        <v>0</v>
      </c>
      <c r="L23" s="60">
        <f>IF(Horaires35673[[#This Row],[PNP Fin]]=0,0,IF(Horaires35673[[#This Row],[PNP Fin]]&lt;Horaires35673[[#This Row],[début]],1,0)+Horaires35673[[#This Row],[PNP Fin]])</f>
        <v>0</v>
      </c>
      <c r="M23" s="60">
        <f>IF(Horaires35673[[#This Row],[Fin]]&lt;Horaires35673[[#This Row],[début]],1,0)+Horaires35673[[#This Row],[Fin]]</f>
        <v>0</v>
      </c>
      <c r="N23" s="61">
        <f>MAX(0,MIN(Horaires35673[[#This Row],[Fin corrigée si nuit]],fin_nuit)-MAX(Horaires35673[[#This Row],[début]],deb_nuit))*24</f>
        <v>0</v>
      </c>
      <c r="O23" s="62">
        <f>(MAX(0,MIN(Horaires35673[[#This Row],[Fin corrigée si nuit]],fin_nuit)-MAX(Horaires35673[[#This Row],[début]],deb_nuit))-IF(Horaires35673[[#This Row],[PNP Début]]=0,0,MIN(Horaires35673[[#This Row],[PNP Fin corrigée]],fin_nuit)-MAX(Horaires35673[[#This Row],[PNP Début corrigé]],deb_nuit)))*24</f>
        <v>0</v>
      </c>
      <c r="P23" s="62">
        <f>(IF(WEEKDAY(Horaires35673[[#This Row],[Date]],2)=7,MAX(0,MIN(fin_dimJF,Horaires35673[[#This Row],[Fin corrigée si nuit]])-MAX(deb_dimJF,Horaires35673[[#This Row],[début]])),0)+IF(WEEKDAY(Horaires35673[[#This Row],[Date]],2)=6,MAX(0,Horaires35673[[#This Row],[Fin corrigée si nuit]]-(1+deb_dimJF)),0))*24</f>
        <v>0</v>
      </c>
      <c r="Q23"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3" s="62">
        <f>(IF(COUNTIF(JF,Horaires35673[[#This Row],[Date]]),MAX(0,MIN(fin_dimJF,Horaires35673[[#This Row],[Fin corrigée si nuit]])-MAX(deb_dimJF,Horaires35673[[#This Row],[début]])),0)+IF(COUNTIF(JF,Horaires35673[[#This Row],[Date]]+1),MAX(0,Horaires35673[[#This Row],[Fin corrigée si nuit]]-(1+deb_dimJF)),0))*24</f>
        <v>0</v>
      </c>
      <c r="S23"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4" spans="1:19" x14ac:dyDescent="0.35">
      <c r="A24" s="9"/>
      <c r="B24" s="1"/>
      <c r="C24" s="2"/>
      <c r="D24" s="2"/>
      <c r="E24" s="3"/>
      <c r="F24" s="3"/>
      <c r="G24" s="3"/>
      <c r="H24" s="3"/>
      <c r="I24" s="57">
        <f>0.1*(Horaires35673[[#This Row],[Heures de nuit]]+Horaires35673[[#This Row],[heures jour dimanche]]+Horaires35673[[#This Row],[heures jour fériés]])</f>
        <v>0</v>
      </c>
      <c r="J24" s="58">
        <f>(MOD(Horaires35673[[#This Row],[Fin]]-Horaires35673[[#This Row],[début]],1)-MOD(Horaires35673[[#This Row],[PNP Fin]]-Horaires35673[[#This Row],[PNP Début]],1))*24</f>
        <v>0</v>
      </c>
      <c r="K24" s="59">
        <f>IF(Horaires35673[[#This Row],[PNP Début]]=0,0,IF(Horaires35673[[#This Row],[PNP Début]]&lt;Horaires35673[[#This Row],[début]],1,0)+Horaires35673[[#This Row],[PNP Début]])</f>
        <v>0</v>
      </c>
      <c r="L24" s="60">
        <f>IF(Horaires35673[[#This Row],[PNP Fin]]=0,0,IF(Horaires35673[[#This Row],[PNP Fin]]&lt;Horaires35673[[#This Row],[début]],1,0)+Horaires35673[[#This Row],[PNP Fin]])</f>
        <v>0</v>
      </c>
      <c r="M24" s="60">
        <f>IF(Horaires35673[[#This Row],[Fin]]&lt;Horaires35673[[#This Row],[début]],1,0)+Horaires35673[[#This Row],[Fin]]</f>
        <v>0</v>
      </c>
      <c r="N24" s="61">
        <f>MAX(0,MIN(Horaires35673[[#This Row],[Fin corrigée si nuit]],fin_nuit)-MAX(Horaires35673[[#This Row],[début]],deb_nuit))*24</f>
        <v>0</v>
      </c>
      <c r="O24" s="62">
        <f>(MAX(0,MIN(Horaires35673[[#This Row],[Fin corrigée si nuit]],fin_nuit)-MAX(Horaires35673[[#This Row],[début]],deb_nuit))-IF(Horaires35673[[#This Row],[PNP Début]]=0,0,MIN(Horaires35673[[#This Row],[PNP Fin corrigée]],fin_nuit)-MAX(Horaires35673[[#This Row],[PNP Début corrigé]],deb_nuit)))*24</f>
        <v>0</v>
      </c>
      <c r="P24" s="62">
        <f>(IF(WEEKDAY(Horaires35673[[#This Row],[Date]],2)=7,MAX(0,MIN(fin_dimJF,Horaires35673[[#This Row],[Fin corrigée si nuit]])-MAX(deb_dimJF,Horaires35673[[#This Row],[début]])),0)+IF(WEEKDAY(Horaires35673[[#This Row],[Date]],2)=6,MAX(0,Horaires35673[[#This Row],[Fin corrigée si nuit]]-(1+deb_dimJF)),0))*24</f>
        <v>0</v>
      </c>
      <c r="Q24"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4" s="62">
        <f>(IF(COUNTIF(JF,Horaires35673[[#This Row],[Date]]),MAX(0,MIN(fin_dimJF,Horaires35673[[#This Row],[Fin corrigée si nuit]])-MAX(deb_dimJF,Horaires35673[[#This Row],[début]])),0)+IF(COUNTIF(JF,Horaires35673[[#This Row],[Date]]+1),MAX(0,Horaires35673[[#This Row],[Fin corrigée si nuit]]-(1+deb_dimJF)),0))*24</f>
        <v>0</v>
      </c>
      <c r="S24"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5" spans="1:19" x14ac:dyDescent="0.35">
      <c r="A25" s="9"/>
      <c r="B25" s="1"/>
      <c r="C25" s="2"/>
      <c r="D25" s="2"/>
      <c r="E25" s="3"/>
      <c r="F25" s="3"/>
      <c r="G25" s="3"/>
      <c r="H25" s="3"/>
      <c r="I25" s="57">
        <f>0.1*(Horaires35673[[#This Row],[Heures de nuit]]+Horaires35673[[#This Row],[heures jour dimanche]]+Horaires35673[[#This Row],[heures jour fériés]])</f>
        <v>0</v>
      </c>
      <c r="J25" s="58">
        <f>(MOD(Horaires35673[[#This Row],[Fin]]-Horaires35673[[#This Row],[début]],1)-MOD(Horaires35673[[#This Row],[PNP Fin]]-Horaires35673[[#This Row],[PNP Début]],1))*24</f>
        <v>0</v>
      </c>
      <c r="K25" s="59">
        <f>IF(Horaires35673[[#This Row],[PNP Début]]=0,0,IF(Horaires35673[[#This Row],[PNP Début]]&lt;Horaires35673[[#This Row],[début]],1,0)+Horaires35673[[#This Row],[PNP Début]])</f>
        <v>0</v>
      </c>
      <c r="L25" s="60">
        <f>IF(Horaires35673[[#This Row],[PNP Fin]]=0,0,IF(Horaires35673[[#This Row],[PNP Fin]]&lt;Horaires35673[[#This Row],[début]],1,0)+Horaires35673[[#This Row],[PNP Fin]])</f>
        <v>0</v>
      </c>
      <c r="M25" s="60">
        <f>IF(Horaires35673[[#This Row],[Fin]]&lt;Horaires35673[[#This Row],[début]],1,0)+Horaires35673[[#This Row],[Fin]]</f>
        <v>0</v>
      </c>
      <c r="N25" s="61">
        <f>MAX(0,MIN(Horaires35673[[#This Row],[Fin corrigée si nuit]],fin_nuit)-MAX(Horaires35673[[#This Row],[début]],deb_nuit))*24</f>
        <v>0</v>
      </c>
      <c r="O25" s="62">
        <f>(MAX(0,MIN(Horaires35673[[#This Row],[Fin corrigée si nuit]],fin_nuit)-MAX(Horaires35673[[#This Row],[début]],deb_nuit))-IF(Horaires35673[[#This Row],[PNP Début]]=0,0,MIN(Horaires35673[[#This Row],[PNP Fin corrigée]],fin_nuit)-MAX(Horaires35673[[#This Row],[PNP Début corrigé]],deb_nuit)))*24</f>
        <v>0</v>
      </c>
      <c r="P25" s="62">
        <f>(IF(WEEKDAY(Horaires35673[[#This Row],[Date]],2)=7,MAX(0,MIN(fin_dimJF,Horaires35673[[#This Row],[Fin corrigée si nuit]])-MAX(deb_dimJF,Horaires35673[[#This Row],[début]])),0)+IF(WEEKDAY(Horaires35673[[#This Row],[Date]],2)=6,MAX(0,Horaires35673[[#This Row],[Fin corrigée si nuit]]-(1+deb_dimJF)),0))*24</f>
        <v>0</v>
      </c>
      <c r="Q25"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5" s="62">
        <f>(IF(COUNTIF(JF,Horaires35673[[#This Row],[Date]]),MAX(0,MIN(fin_dimJF,Horaires35673[[#This Row],[Fin corrigée si nuit]])-MAX(deb_dimJF,Horaires35673[[#This Row],[début]])),0)+IF(COUNTIF(JF,Horaires35673[[#This Row],[Date]]+1),MAX(0,Horaires35673[[#This Row],[Fin corrigée si nuit]]-(1+deb_dimJF)),0))*24</f>
        <v>0</v>
      </c>
      <c r="S25"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6" spans="1:19" ht="21" customHeight="1" x14ac:dyDescent="0.35">
      <c r="A26" s="9"/>
      <c r="B26" s="1"/>
      <c r="C26" s="2"/>
      <c r="D26" s="2"/>
      <c r="E26" s="3"/>
      <c r="F26" s="3"/>
      <c r="G26" s="3"/>
      <c r="H26" s="3"/>
      <c r="I26" s="57">
        <f>0.1*(Horaires35673[[#This Row],[Heures de nuit]]+Horaires35673[[#This Row],[heures jour dimanche]]+Horaires35673[[#This Row],[heures jour fériés]])</f>
        <v>0</v>
      </c>
      <c r="J26" s="58">
        <f>(MOD(Horaires35673[[#This Row],[Fin]]-Horaires35673[[#This Row],[début]],1)-MOD(Horaires35673[[#This Row],[PNP Fin]]-Horaires35673[[#This Row],[PNP Début]],1))*24</f>
        <v>0</v>
      </c>
      <c r="K26" s="59">
        <f>IF(Horaires35673[[#This Row],[PNP Début]]=0,0,IF(Horaires35673[[#This Row],[PNP Début]]&lt;Horaires35673[[#This Row],[début]],1,0)+Horaires35673[[#This Row],[PNP Début]])</f>
        <v>0</v>
      </c>
      <c r="L26" s="60">
        <f>IF(Horaires35673[[#This Row],[PNP Fin]]=0,0,IF(Horaires35673[[#This Row],[PNP Fin]]&lt;Horaires35673[[#This Row],[début]],1,0)+Horaires35673[[#This Row],[PNP Fin]])</f>
        <v>0</v>
      </c>
      <c r="M26" s="60">
        <f>IF(Horaires35673[[#This Row],[Fin]]&lt;Horaires35673[[#This Row],[début]],1,0)+Horaires35673[[#This Row],[Fin]]</f>
        <v>0</v>
      </c>
      <c r="N26" s="61">
        <f>MAX(0,MIN(Horaires35673[[#This Row],[Fin corrigée si nuit]],fin_nuit)-MAX(Horaires35673[[#This Row],[début]],deb_nuit))*24</f>
        <v>0</v>
      </c>
      <c r="O26" s="62">
        <f>(MAX(0,MIN(Horaires35673[[#This Row],[Fin corrigée si nuit]],fin_nuit)-MAX(Horaires35673[[#This Row],[début]],deb_nuit))-IF(Horaires35673[[#This Row],[PNP Début]]=0,0,MIN(Horaires35673[[#This Row],[PNP Fin corrigée]],fin_nuit)-MAX(Horaires35673[[#This Row],[PNP Début corrigé]],deb_nuit)))*24</f>
        <v>0</v>
      </c>
      <c r="P26" s="62">
        <f>(IF(WEEKDAY(Horaires35673[[#This Row],[Date]],2)=7,MAX(0,MIN(fin_dimJF,Horaires35673[[#This Row],[Fin corrigée si nuit]])-MAX(deb_dimJF,Horaires35673[[#This Row],[début]])),0)+IF(WEEKDAY(Horaires35673[[#This Row],[Date]],2)=6,MAX(0,Horaires35673[[#This Row],[Fin corrigée si nuit]]-(1+deb_dimJF)),0))*24</f>
        <v>0</v>
      </c>
      <c r="Q26"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6" s="62">
        <f>(IF(COUNTIF(JF,Horaires35673[[#This Row],[Date]]),MAX(0,MIN(fin_dimJF,Horaires35673[[#This Row],[Fin corrigée si nuit]])-MAX(deb_dimJF,Horaires35673[[#This Row],[début]])),0)+IF(COUNTIF(JF,Horaires35673[[#This Row],[Date]]+1),MAX(0,Horaires35673[[#This Row],[Fin corrigée si nuit]]-(1+deb_dimJF)),0))*24</f>
        <v>0</v>
      </c>
      <c r="S26"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7" spans="1:19" x14ac:dyDescent="0.35">
      <c r="A27" s="9"/>
      <c r="B27" s="1"/>
      <c r="C27" s="2"/>
      <c r="D27" s="2"/>
      <c r="E27" s="3"/>
      <c r="F27" s="3"/>
      <c r="G27" s="3"/>
      <c r="H27" s="3"/>
      <c r="I27" s="57">
        <f>0.1*(Horaires35673[[#This Row],[Heures de nuit]]+Horaires35673[[#This Row],[heures jour dimanche]]+Horaires35673[[#This Row],[heures jour fériés]])</f>
        <v>0</v>
      </c>
      <c r="J27" s="58">
        <f>(MOD(Horaires35673[[#This Row],[Fin]]-Horaires35673[[#This Row],[début]],1)-MOD(Horaires35673[[#This Row],[PNP Fin]]-Horaires35673[[#This Row],[PNP Début]],1))*24</f>
        <v>0</v>
      </c>
      <c r="K27" s="59">
        <f>IF(Horaires35673[[#This Row],[PNP Début]]=0,0,IF(Horaires35673[[#This Row],[PNP Début]]&lt;Horaires35673[[#This Row],[début]],1,0)+Horaires35673[[#This Row],[PNP Début]])</f>
        <v>0</v>
      </c>
      <c r="L27" s="60">
        <f>IF(Horaires35673[[#This Row],[PNP Fin]]=0,0,IF(Horaires35673[[#This Row],[PNP Fin]]&lt;Horaires35673[[#This Row],[début]],1,0)+Horaires35673[[#This Row],[PNP Fin]])</f>
        <v>0</v>
      </c>
      <c r="M27" s="60">
        <f>IF(Horaires35673[[#This Row],[Fin]]&lt;Horaires35673[[#This Row],[début]],1,0)+Horaires35673[[#This Row],[Fin]]</f>
        <v>0</v>
      </c>
      <c r="N27" s="61">
        <f>MAX(0,MIN(Horaires35673[[#This Row],[Fin corrigée si nuit]],fin_nuit)-MAX(Horaires35673[[#This Row],[début]],deb_nuit))*24</f>
        <v>0</v>
      </c>
      <c r="O27" s="62">
        <f>(MAX(0,MIN(Horaires35673[[#This Row],[Fin corrigée si nuit]],fin_nuit)-MAX(Horaires35673[[#This Row],[début]],deb_nuit))-IF(Horaires35673[[#This Row],[PNP Début]]=0,0,MIN(Horaires35673[[#This Row],[PNP Fin corrigée]],fin_nuit)-MAX(Horaires35673[[#This Row],[PNP Début corrigé]],deb_nuit)))*24</f>
        <v>0</v>
      </c>
      <c r="P27" s="62">
        <f>(IF(WEEKDAY(Horaires35673[[#This Row],[Date]],2)=7,MAX(0,MIN(fin_dimJF,Horaires35673[[#This Row],[Fin corrigée si nuit]])-MAX(deb_dimJF,Horaires35673[[#This Row],[début]])),0)+IF(WEEKDAY(Horaires35673[[#This Row],[Date]],2)=6,MAX(0,Horaires35673[[#This Row],[Fin corrigée si nuit]]-(1+deb_dimJF)),0))*24</f>
        <v>0</v>
      </c>
      <c r="Q27"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7" s="62">
        <f>(IF(COUNTIF(JF,Horaires35673[[#This Row],[Date]]),MAX(0,MIN(fin_dimJF,Horaires35673[[#This Row],[Fin corrigée si nuit]])-MAX(deb_dimJF,Horaires35673[[#This Row],[début]])),0)+IF(COUNTIF(JF,Horaires35673[[#This Row],[Date]]+1),MAX(0,Horaires35673[[#This Row],[Fin corrigée si nuit]]-(1+deb_dimJF)),0))*24</f>
        <v>0</v>
      </c>
      <c r="S27"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8" spans="1:19" x14ac:dyDescent="0.35">
      <c r="A28" s="9"/>
      <c r="B28" s="1"/>
      <c r="C28" s="2"/>
      <c r="D28" s="2"/>
      <c r="E28" s="3"/>
      <c r="F28" s="3"/>
      <c r="G28" s="3"/>
      <c r="H28" s="3"/>
      <c r="I28" s="57">
        <f>0.1*(Horaires35673[[#This Row],[Heures de nuit]]+Horaires35673[[#This Row],[heures jour dimanche]]+Horaires35673[[#This Row],[heures jour fériés]])</f>
        <v>0</v>
      </c>
      <c r="J28" s="58">
        <f>(MOD(Horaires35673[[#This Row],[Fin]]-Horaires35673[[#This Row],[début]],1)-MOD(Horaires35673[[#This Row],[PNP Fin]]-Horaires35673[[#This Row],[PNP Début]],1))*24</f>
        <v>0</v>
      </c>
      <c r="K28" s="59">
        <f>IF(Horaires35673[[#This Row],[PNP Début]]=0,0,IF(Horaires35673[[#This Row],[PNP Début]]&lt;Horaires35673[[#This Row],[début]],1,0)+Horaires35673[[#This Row],[PNP Début]])</f>
        <v>0</v>
      </c>
      <c r="L28" s="60">
        <f>IF(Horaires35673[[#This Row],[PNP Fin]]=0,0,IF(Horaires35673[[#This Row],[PNP Fin]]&lt;Horaires35673[[#This Row],[début]],1,0)+Horaires35673[[#This Row],[PNP Fin]])</f>
        <v>0</v>
      </c>
      <c r="M28" s="60">
        <f>IF(Horaires35673[[#This Row],[Fin]]&lt;Horaires35673[[#This Row],[début]],1,0)+Horaires35673[[#This Row],[Fin]]</f>
        <v>0</v>
      </c>
      <c r="N28" s="61">
        <f>MAX(0,MIN(Horaires35673[[#This Row],[Fin corrigée si nuit]],fin_nuit)-MAX(Horaires35673[[#This Row],[début]],deb_nuit))*24</f>
        <v>0</v>
      </c>
      <c r="O28" s="62">
        <f>(MAX(0,MIN(Horaires35673[[#This Row],[Fin corrigée si nuit]],fin_nuit)-MAX(Horaires35673[[#This Row],[début]],deb_nuit))-IF(Horaires35673[[#This Row],[PNP Début]]=0,0,MIN(Horaires35673[[#This Row],[PNP Fin corrigée]],fin_nuit)-MAX(Horaires35673[[#This Row],[PNP Début corrigé]],deb_nuit)))*24</f>
        <v>0</v>
      </c>
      <c r="P28" s="62">
        <f>(IF(WEEKDAY(Horaires35673[[#This Row],[Date]],2)=7,MAX(0,MIN(fin_dimJF,Horaires35673[[#This Row],[Fin corrigée si nuit]])-MAX(deb_dimJF,Horaires35673[[#This Row],[début]])),0)+IF(WEEKDAY(Horaires35673[[#This Row],[Date]],2)=6,MAX(0,Horaires35673[[#This Row],[Fin corrigée si nuit]]-(1+deb_dimJF)),0))*24</f>
        <v>0</v>
      </c>
      <c r="Q28"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8" s="62">
        <f>(IF(COUNTIF(JF,Horaires35673[[#This Row],[Date]]),MAX(0,MIN(fin_dimJF,Horaires35673[[#This Row],[Fin corrigée si nuit]])-MAX(deb_dimJF,Horaires35673[[#This Row],[début]])),0)+IF(COUNTIF(JF,Horaires35673[[#This Row],[Date]]+1),MAX(0,Horaires35673[[#This Row],[Fin corrigée si nuit]]-(1+deb_dimJF)),0))*24</f>
        <v>0</v>
      </c>
      <c r="S28"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29" spans="1:19" x14ac:dyDescent="0.35">
      <c r="A29" s="9"/>
      <c r="B29" s="1"/>
      <c r="C29" s="2"/>
      <c r="D29" s="2"/>
      <c r="E29" s="3"/>
      <c r="F29" s="3"/>
      <c r="G29" s="3"/>
      <c r="H29" s="3"/>
      <c r="I29" s="57">
        <f>0.1*(Horaires35673[[#This Row],[Heures de nuit]]+Horaires35673[[#This Row],[heures jour dimanche]]+Horaires35673[[#This Row],[heures jour fériés]])</f>
        <v>0</v>
      </c>
      <c r="J29" s="58">
        <f>(MOD(Horaires35673[[#This Row],[Fin]]-Horaires35673[[#This Row],[début]],1)-MOD(Horaires35673[[#This Row],[PNP Fin]]-Horaires35673[[#This Row],[PNP Début]],1))*24</f>
        <v>0</v>
      </c>
      <c r="K29" s="59">
        <f>IF(Horaires35673[[#This Row],[PNP Début]]=0,0,IF(Horaires35673[[#This Row],[PNP Début]]&lt;Horaires35673[[#This Row],[début]],1,0)+Horaires35673[[#This Row],[PNP Début]])</f>
        <v>0</v>
      </c>
      <c r="L29" s="60">
        <f>IF(Horaires35673[[#This Row],[PNP Fin]]=0,0,IF(Horaires35673[[#This Row],[PNP Fin]]&lt;Horaires35673[[#This Row],[début]],1,0)+Horaires35673[[#This Row],[PNP Fin]])</f>
        <v>0</v>
      </c>
      <c r="M29" s="60">
        <f>IF(Horaires35673[[#This Row],[Fin]]&lt;Horaires35673[[#This Row],[début]],1,0)+Horaires35673[[#This Row],[Fin]]</f>
        <v>0</v>
      </c>
      <c r="N29" s="61">
        <f>MAX(0,MIN(Horaires35673[[#This Row],[Fin corrigée si nuit]],fin_nuit)-MAX(Horaires35673[[#This Row],[début]],deb_nuit))*24</f>
        <v>0</v>
      </c>
      <c r="O29" s="62">
        <f>(MAX(0,MIN(Horaires35673[[#This Row],[Fin corrigée si nuit]],fin_nuit)-MAX(Horaires35673[[#This Row],[début]],deb_nuit))-IF(Horaires35673[[#This Row],[PNP Début]]=0,0,MIN(Horaires35673[[#This Row],[PNP Fin corrigée]],fin_nuit)-MAX(Horaires35673[[#This Row],[PNP Début corrigé]],deb_nuit)))*24</f>
        <v>0</v>
      </c>
      <c r="P29" s="62">
        <f>(IF(WEEKDAY(Horaires35673[[#This Row],[Date]],2)=7,MAX(0,MIN(fin_dimJF,Horaires35673[[#This Row],[Fin corrigée si nuit]])-MAX(deb_dimJF,Horaires35673[[#This Row],[début]])),0)+IF(WEEKDAY(Horaires35673[[#This Row],[Date]],2)=6,MAX(0,Horaires35673[[#This Row],[Fin corrigée si nuit]]-(1+deb_dimJF)),0))*24</f>
        <v>0</v>
      </c>
      <c r="Q29"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29" s="62">
        <f>(IF(COUNTIF(JF,Horaires35673[[#This Row],[Date]]),MAX(0,MIN(fin_dimJF,Horaires35673[[#This Row],[Fin corrigée si nuit]])-MAX(deb_dimJF,Horaires35673[[#This Row],[début]])),0)+IF(COUNTIF(JF,Horaires35673[[#This Row],[Date]]+1),MAX(0,Horaires35673[[#This Row],[Fin corrigée si nuit]]-(1+deb_dimJF)),0))*24</f>
        <v>0</v>
      </c>
      <c r="S29"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0" spans="1:19" x14ac:dyDescent="0.35">
      <c r="A30" s="9"/>
      <c r="B30" s="1"/>
      <c r="C30" s="2"/>
      <c r="D30" s="2"/>
      <c r="E30" s="3"/>
      <c r="F30" s="3"/>
      <c r="G30" s="3"/>
      <c r="H30" s="3"/>
      <c r="I30" s="57">
        <f>0.1*(Horaires35673[[#This Row],[Heures de nuit]]+Horaires35673[[#This Row],[heures jour dimanche]]+Horaires35673[[#This Row],[heures jour fériés]])</f>
        <v>0</v>
      </c>
      <c r="J30" s="58">
        <f>(MOD(Horaires35673[[#This Row],[Fin]]-Horaires35673[[#This Row],[début]],1)-MOD(Horaires35673[[#This Row],[PNP Fin]]-Horaires35673[[#This Row],[PNP Début]],1))*24</f>
        <v>0</v>
      </c>
      <c r="K30" s="59">
        <f>IF(Horaires35673[[#This Row],[PNP Début]]=0,0,IF(Horaires35673[[#This Row],[PNP Début]]&lt;Horaires35673[[#This Row],[début]],1,0)+Horaires35673[[#This Row],[PNP Début]])</f>
        <v>0</v>
      </c>
      <c r="L30" s="60">
        <f>IF(Horaires35673[[#This Row],[PNP Fin]]=0,0,IF(Horaires35673[[#This Row],[PNP Fin]]&lt;Horaires35673[[#This Row],[début]],1,0)+Horaires35673[[#This Row],[PNP Fin]])</f>
        <v>0</v>
      </c>
      <c r="M30" s="60">
        <f>IF(Horaires35673[[#This Row],[Fin]]&lt;Horaires35673[[#This Row],[début]],1,0)+Horaires35673[[#This Row],[Fin]]</f>
        <v>0</v>
      </c>
      <c r="N30" s="61">
        <f>MAX(0,MIN(Horaires35673[[#This Row],[Fin corrigée si nuit]],fin_nuit)-MAX(Horaires35673[[#This Row],[début]],deb_nuit))*24</f>
        <v>0</v>
      </c>
      <c r="O30" s="62">
        <f>(MAX(0,MIN(Horaires35673[[#This Row],[Fin corrigée si nuit]],fin_nuit)-MAX(Horaires35673[[#This Row],[début]],deb_nuit))-IF(Horaires35673[[#This Row],[PNP Début]]=0,0,MIN(Horaires35673[[#This Row],[PNP Fin corrigée]],fin_nuit)-MAX(Horaires35673[[#This Row],[PNP Début corrigé]],deb_nuit)))*24</f>
        <v>0</v>
      </c>
      <c r="P30" s="62">
        <f>(IF(WEEKDAY(Horaires35673[[#This Row],[Date]],2)=7,MAX(0,MIN(fin_dimJF,Horaires35673[[#This Row],[Fin corrigée si nuit]])-MAX(deb_dimJF,Horaires35673[[#This Row],[début]])),0)+IF(WEEKDAY(Horaires35673[[#This Row],[Date]],2)=6,MAX(0,Horaires35673[[#This Row],[Fin corrigée si nuit]]-(1+deb_dimJF)),0))*24</f>
        <v>0</v>
      </c>
      <c r="Q30"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0" s="62">
        <f>(IF(COUNTIF(JF,Horaires35673[[#This Row],[Date]]),MAX(0,MIN(fin_dimJF,Horaires35673[[#This Row],[Fin corrigée si nuit]])-MAX(deb_dimJF,Horaires35673[[#This Row],[début]])),0)+IF(COUNTIF(JF,Horaires35673[[#This Row],[Date]]+1),MAX(0,Horaires35673[[#This Row],[Fin corrigée si nuit]]-(1+deb_dimJF)),0))*24</f>
        <v>0</v>
      </c>
      <c r="S30"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1" spans="1:19" x14ac:dyDescent="0.35">
      <c r="A31" s="9"/>
      <c r="B31" s="1"/>
      <c r="C31" s="2"/>
      <c r="D31" s="2"/>
      <c r="E31" s="3"/>
      <c r="F31" s="3"/>
      <c r="G31" s="3"/>
      <c r="H31" s="3"/>
      <c r="I31" s="57">
        <f>0.1*(Horaires35673[[#This Row],[Heures de nuit]]+Horaires35673[[#This Row],[heures jour dimanche]]+Horaires35673[[#This Row],[heures jour fériés]])</f>
        <v>0</v>
      </c>
      <c r="J31" s="58">
        <f>(MOD(Horaires35673[[#This Row],[Fin]]-Horaires35673[[#This Row],[début]],1)-MOD(Horaires35673[[#This Row],[PNP Fin]]-Horaires35673[[#This Row],[PNP Début]],1))*24</f>
        <v>0</v>
      </c>
      <c r="K31" s="59">
        <f>IF(Horaires35673[[#This Row],[PNP Début]]=0,0,IF(Horaires35673[[#This Row],[PNP Début]]&lt;Horaires35673[[#This Row],[début]],1,0)+Horaires35673[[#This Row],[PNP Début]])</f>
        <v>0</v>
      </c>
      <c r="L31" s="60">
        <f>IF(Horaires35673[[#This Row],[PNP Fin]]=0,0,IF(Horaires35673[[#This Row],[PNP Fin]]&lt;Horaires35673[[#This Row],[début]],1,0)+Horaires35673[[#This Row],[PNP Fin]])</f>
        <v>0</v>
      </c>
      <c r="M31" s="60">
        <f>IF(Horaires35673[[#This Row],[Fin]]&lt;Horaires35673[[#This Row],[début]],1,0)+Horaires35673[[#This Row],[Fin]]</f>
        <v>0</v>
      </c>
      <c r="N31" s="61">
        <f>MAX(0,MIN(Horaires35673[[#This Row],[Fin corrigée si nuit]],fin_nuit)-MAX(Horaires35673[[#This Row],[début]],deb_nuit))*24</f>
        <v>0</v>
      </c>
      <c r="O31" s="62">
        <f>(MAX(0,MIN(Horaires35673[[#This Row],[Fin corrigée si nuit]],fin_nuit)-MAX(Horaires35673[[#This Row],[début]],deb_nuit))-IF(Horaires35673[[#This Row],[PNP Début]]=0,0,MIN(Horaires35673[[#This Row],[PNP Fin corrigée]],fin_nuit)-MAX(Horaires35673[[#This Row],[PNP Début corrigé]],deb_nuit)))*24</f>
        <v>0</v>
      </c>
      <c r="P31" s="62">
        <f>(IF(WEEKDAY(Horaires35673[[#This Row],[Date]],2)=7,MAX(0,MIN(fin_dimJF,Horaires35673[[#This Row],[Fin corrigée si nuit]])-MAX(deb_dimJF,Horaires35673[[#This Row],[début]])),0)+IF(WEEKDAY(Horaires35673[[#This Row],[Date]],2)=6,MAX(0,Horaires35673[[#This Row],[Fin corrigée si nuit]]-(1+deb_dimJF)),0))*24</f>
        <v>0</v>
      </c>
      <c r="Q31"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1" s="62">
        <f>(IF(COUNTIF(JF,Horaires35673[[#This Row],[Date]]),MAX(0,MIN(fin_dimJF,Horaires35673[[#This Row],[Fin corrigée si nuit]])-MAX(deb_dimJF,Horaires35673[[#This Row],[début]])),0)+IF(COUNTIF(JF,Horaires35673[[#This Row],[Date]]+1),MAX(0,Horaires35673[[#This Row],[Fin corrigée si nuit]]-(1+deb_dimJF)),0))*24</f>
        <v>0</v>
      </c>
      <c r="S31"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2" spans="1:19" ht="14.5" customHeight="1" x14ac:dyDescent="0.35">
      <c r="A32" s="9"/>
      <c r="B32" s="1"/>
      <c r="C32" s="2"/>
      <c r="D32" s="2"/>
      <c r="E32" s="3"/>
      <c r="F32" s="3"/>
      <c r="G32" s="3"/>
      <c r="H32" s="3"/>
      <c r="I32" s="57">
        <f>0.1*(Horaires35673[[#This Row],[Heures de nuit]]+Horaires35673[[#This Row],[heures jour dimanche]]+Horaires35673[[#This Row],[heures jour fériés]])</f>
        <v>0</v>
      </c>
      <c r="J32" s="58">
        <f>(MOD(Horaires35673[[#This Row],[Fin]]-Horaires35673[[#This Row],[début]],1)-MOD(Horaires35673[[#This Row],[PNP Fin]]-Horaires35673[[#This Row],[PNP Début]],1))*24</f>
        <v>0</v>
      </c>
      <c r="K32" s="59">
        <f>IF(Horaires35673[[#This Row],[PNP Début]]=0,0,IF(Horaires35673[[#This Row],[PNP Début]]&lt;Horaires35673[[#This Row],[début]],1,0)+Horaires35673[[#This Row],[PNP Début]])</f>
        <v>0</v>
      </c>
      <c r="L32" s="60">
        <f>IF(Horaires35673[[#This Row],[PNP Fin]]=0,0,IF(Horaires35673[[#This Row],[PNP Fin]]&lt;Horaires35673[[#This Row],[début]],1,0)+Horaires35673[[#This Row],[PNP Fin]])</f>
        <v>0</v>
      </c>
      <c r="M32" s="60">
        <f>IF(Horaires35673[[#This Row],[Fin]]&lt;Horaires35673[[#This Row],[début]],1,0)+Horaires35673[[#This Row],[Fin]]</f>
        <v>0</v>
      </c>
      <c r="N32" s="61">
        <f>MAX(0,MIN(Horaires35673[[#This Row],[Fin corrigée si nuit]],fin_nuit)-MAX(Horaires35673[[#This Row],[début]],deb_nuit))*24</f>
        <v>0</v>
      </c>
      <c r="O32" s="62">
        <f>(MAX(0,MIN(Horaires35673[[#This Row],[Fin corrigée si nuit]],fin_nuit)-MAX(Horaires35673[[#This Row],[début]],deb_nuit))-IF(Horaires35673[[#This Row],[PNP Début]]=0,0,MIN(Horaires35673[[#This Row],[PNP Fin corrigée]],fin_nuit)-MAX(Horaires35673[[#This Row],[PNP Début corrigé]],deb_nuit)))*24</f>
        <v>0</v>
      </c>
      <c r="P32" s="62">
        <f>(IF(WEEKDAY(Horaires35673[[#This Row],[Date]],2)=7,MAX(0,MIN(fin_dimJF,Horaires35673[[#This Row],[Fin corrigée si nuit]])-MAX(deb_dimJF,Horaires35673[[#This Row],[début]])),0)+IF(WEEKDAY(Horaires35673[[#This Row],[Date]],2)=6,MAX(0,Horaires35673[[#This Row],[Fin corrigée si nuit]]-(1+deb_dimJF)),0))*24</f>
        <v>0</v>
      </c>
      <c r="Q32"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2" s="62">
        <f>(IF(COUNTIF(JF,Horaires35673[[#This Row],[Date]]),MAX(0,MIN(fin_dimJF,Horaires35673[[#This Row],[Fin corrigée si nuit]])-MAX(deb_dimJF,Horaires35673[[#This Row],[début]])),0)+IF(COUNTIF(JF,Horaires35673[[#This Row],[Date]]+1),MAX(0,Horaires35673[[#This Row],[Fin corrigée si nuit]]-(1+deb_dimJF)),0))*24</f>
        <v>0</v>
      </c>
      <c r="S32"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3" spans="1:19" x14ac:dyDescent="0.35">
      <c r="A33" s="9"/>
      <c r="B33" s="1"/>
      <c r="C33" s="2"/>
      <c r="D33" s="2"/>
      <c r="E33" s="3"/>
      <c r="F33" s="3"/>
      <c r="G33" s="3"/>
      <c r="H33" s="3"/>
      <c r="I33" s="57">
        <f>0.1*(Horaires35673[[#This Row],[Heures de nuit]]+Horaires35673[[#This Row],[heures jour dimanche]]+Horaires35673[[#This Row],[heures jour fériés]])</f>
        <v>0</v>
      </c>
      <c r="J33" s="58">
        <f>(MOD(Horaires35673[[#This Row],[Fin]]-Horaires35673[[#This Row],[début]],1)-MOD(Horaires35673[[#This Row],[PNP Fin]]-Horaires35673[[#This Row],[PNP Début]],1))*24</f>
        <v>0</v>
      </c>
      <c r="K33" s="59">
        <f>IF(Horaires35673[[#This Row],[PNP Début]]=0,0,IF(Horaires35673[[#This Row],[PNP Début]]&lt;Horaires35673[[#This Row],[début]],1,0)+Horaires35673[[#This Row],[PNP Début]])</f>
        <v>0</v>
      </c>
      <c r="L33" s="60">
        <f>IF(Horaires35673[[#This Row],[PNP Fin]]=0,0,IF(Horaires35673[[#This Row],[PNP Fin]]&lt;Horaires35673[[#This Row],[début]],1,0)+Horaires35673[[#This Row],[PNP Fin]])</f>
        <v>0</v>
      </c>
      <c r="M33" s="60">
        <f>IF(Horaires35673[[#This Row],[Fin]]&lt;Horaires35673[[#This Row],[début]],1,0)+Horaires35673[[#This Row],[Fin]]</f>
        <v>0</v>
      </c>
      <c r="N33" s="61">
        <f>MAX(0,MIN(Horaires35673[[#This Row],[Fin corrigée si nuit]],fin_nuit)-MAX(Horaires35673[[#This Row],[début]],deb_nuit))*24</f>
        <v>0</v>
      </c>
      <c r="O33" s="62">
        <f>(MAX(0,MIN(Horaires35673[[#This Row],[Fin corrigée si nuit]],fin_nuit)-MAX(Horaires35673[[#This Row],[début]],deb_nuit))-IF(Horaires35673[[#This Row],[PNP Début]]=0,0,MIN(Horaires35673[[#This Row],[PNP Fin corrigée]],fin_nuit)-MAX(Horaires35673[[#This Row],[PNP Début corrigé]],deb_nuit)))*24</f>
        <v>0</v>
      </c>
      <c r="P33" s="62">
        <f>(IF(WEEKDAY(Horaires35673[[#This Row],[Date]],2)=7,MAX(0,MIN(fin_dimJF,Horaires35673[[#This Row],[Fin corrigée si nuit]])-MAX(deb_dimJF,Horaires35673[[#This Row],[début]])),0)+IF(WEEKDAY(Horaires35673[[#This Row],[Date]],2)=6,MAX(0,Horaires35673[[#This Row],[Fin corrigée si nuit]]-(1+deb_dimJF)),0))*24</f>
        <v>0</v>
      </c>
      <c r="Q33"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3" s="62">
        <f>(IF(COUNTIF(JF,Horaires35673[[#This Row],[Date]]),MAX(0,MIN(fin_dimJF,Horaires35673[[#This Row],[Fin corrigée si nuit]])-MAX(deb_dimJF,Horaires35673[[#This Row],[début]])),0)+IF(COUNTIF(JF,Horaires35673[[#This Row],[Date]]+1),MAX(0,Horaires35673[[#This Row],[Fin corrigée si nuit]]-(1+deb_dimJF)),0))*24</f>
        <v>0</v>
      </c>
      <c r="S33"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4" spans="1:19" x14ac:dyDescent="0.35">
      <c r="A34" s="9"/>
      <c r="B34" s="1"/>
      <c r="C34" s="2"/>
      <c r="D34" s="2"/>
      <c r="E34" s="3"/>
      <c r="F34" s="3"/>
      <c r="G34" s="3"/>
      <c r="H34" s="3"/>
      <c r="I34" s="57">
        <f>0.1*(Horaires35673[[#This Row],[Heures de nuit]]+Horaires35673[[#This Row],[heures jour dimanche]]+Horaires35673[[#This Row],[heures jour fériés]])</f>
        <v>0</v>
      </c>
      <c r="J34" s="58">
        <f>(MOD(Horaires35673[[#This Row],[Fin]]-Horaires35673[[#This Row],[début]],1)-MOD(Horaires35673[[#This Row],[PNP Fin]]-Horaires35673[[#This Row],[PNP Début]],1))*24</f>
        <v>0</v>
      </c>
      <c r="K34" s="59">
        <f>IF(Horaires35673[[#This Row],[PNP Début]]=0,0,IF(Horaires35673[[#This Row],[PNP Début]]&lt;Horaires35673[[#This Row],[début]],1,0)+Horaires35673[[#This Row],[PNP Début]])</f>
        <v>0</v>
      </c>
      <c r="L34" s="60">
        <f>IF(Horaires35673[[#This Row],[PNP Fin]]=0,0,IF(Horaires35673[[#This Row],[PNP Fin]]&lt;Horaires35673[[#This Row],[début]],1,0)+Horaires35673[[#This Row],[PNP Fin]])</f>
        <v>0</v>
      </c>
      <c r="M34" s="60">
        <f>IF(Horaires35673[[#This Row],[Fin]]&lt;Horaires35673[[#This Row],[début]],1,0)+Horaires35673[[#This Row],[Fin]]</f>
        <v>0</v>
      </c>
      <c r="N34" s="61">
        <f>MAX(0,MIN(Horaires35673[[#This Row],[Fin corrigée si nuit]],fin_nuit)-MAX(Horaires35673[[#This Row],[début]],deb_nuit))*24</f>
        <v>0</v>
      </c>
      <c r="O34" s="62">
        <f>(MAX(0,MIN(Horaires35673[[#This Row],[Fin corrigée si nuit]],fin_nuit)-MAX(Horaires35673[[#This Row],[début]],deb_nuit))-IF(Horaires35673[[#This Row],[PNP Début]]=0,0,MIN(Horaires35673[[#This Row],[PNP Fin corrigée]],fin_nuit)-MAX(Horaires35673[[#This Row],[PNP Début corrigé]],deb_nuit)))*24</f>
        <v>0</v>
      </c>
      <c r="P34" s="62">
        <f>(IF(WEEKDAY(Horaires35673[[#This Row],[Date]],2)=7,MAX(0,MIN(fin_dimJF,Horaires35673[[#This Row],[Fin corrigée si nuit]])-MAX(deb_dimJF,Horaires35673[[#This Row],[début]])),0)+IF(WEEKDAY(Horaires35673[[#This Row],[Date]],2)=6,MAX(0,Horaires35673[[#This Row],[Fin corrigée si nuit]]-(1+deb_dimJF)),0))*24</f>
        <v>0</v>
      </c>
      <c r="Q34"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4" s="62">
        <f>(IF(COUNTIF(JF,Horaires35673[[#This Row],[Date]]),MAX(0,MIN(fin_dimJF,Horaires35673[[#This Row],[Fin corrigée si nuit]])-MAX(deb_dimJF,Horaires35673[[#This Row],[début]])),0)+IF(COUNTIF(JF,Horaires35673[[#This Row],[Date]]+1),MAX(0,Horaires35673[[#This Row],[Fin corrigée si nuit]]-(1+deb_dimJF)),0))*24</f>
        <v>0</v>
      </c>
      <c r="S34"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5" spans="1:19" x14ac:dyDescent="0.35">
      <c r="A35" s="9"/>
      <c r="B35" s="1"/>
      <c r="C35" s="2"/>
      <c r="D35" s="2"/>
      <c r="E35" s="3"/>
      <c r="F35" s="3"/>
      <c r="G35" s="3"/>
      <c r="H35" s="3"/>
      <c r="I35" s="57">
        <f>0.1*(Horaires35673[[#This Row],[Heures de nuit]]+Horaires35673[[#This Row],[heures jour dimanche]]+Horaires35673[[#This Row],[heures jour fériés]])</f>
        <v>0</v>
      </c>
      <c r="J35" s="58">
        <f>(MOD(Horaires35673[[#This Row],[Fin]]-Horaires35673[[#This Row],[début]],1)-MOD(Horaires35673[[#This Row],[PNP Fin]]-Horaires35673[[#This Row],[PNP Début]],1))*24</f>
        <v>0</v>
      </c>
      <c r="K35" s="59">
        <f>IF(Horaires35673[[#This Row],[PNP Début]]=0,0,IF(Horaires35673[[#This Row],[PNP Début]]&lt;Horaires35673[[#This Row],[début]],1,0)+Horaires35673[[#This Row],[PNP Début]])</f>
        <v>0</v>
      </c>
      <c r="L35" s="60">
        <f>IF(Horaires35673[[#This Row],[PNP Fin]]=0,0,IF(Horaires35673[[#This Row],[PNP Fin]]&lt;Horaires35673[[#This Row],[début]],1,0)+Horaires35673[[#This Row],[PNP Fin]])</f>
        <v>0</v>
      </c>
      <c r="M35" s="60">
        <f>IF(Horaires35673[[#This Row],[Fin]]&lt;Horaires35673[[#This Row],[début]],1,0)+Horaires35673[[#This Row],[Fin]]</f>
        <v>0</v>
      </c>
      <c r="N35" s="61">
        <f>MAX(0,MIN(Horaires35673[[#This Row],[Fin corrigée si nuit]],fin_nuit)-MAX(Horaires35673[[#This Row],[début]],deb_nuit))*24</f>
        <v>0</v>
      </c>
      <c r="O35" s="62">
        <f>(MAX(0,MIN(Horaires35673[[#This Row],[Fin corrigée si nuit]],fin_nuit)-MAX(Horaires35673[[#This Row],[début]],deb_nuit))-IF(Horaires35673[[#This Row],[PNP Début]]=0,0,MIN(Horaires35673[[#This Row],[PNP Fin corrigée]],fin_nuit)-MAX(Horaires35673[[#This Row],[PNP Début corrigé]],deb_nuit)))*24</f>
        <v>0</v>
      </c>
      <c r="P35" s="62">
        <f>(IF(WEEKDAY(Horaires35673[[#This Row],[Date]],2)=7,MAX(0,MIN(fin_dimJF,Horaires35673[[#This Row],[Fin corrigée si nuit]])-MAX(deb_dimJF,Horaires35673[[#This Row],[début]])),0)+IF(WEEKDAY(Horaires35673[[#This Row],[Date]],2)=6,MAX(0,Horaires35673[[#This Row],[Fin corrigée si nuit]]-(1+deb_dimJF)),0))*24</f>
        <v>0</v>
      </c>
      <c r="Q35"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5" s="62">
        <f>(IF(COUNTIF(JF,Horaires35673[[#This Row],[Date]]),MAX(0,MIN(fin_dimJF,Horaires35673[[#This Row],[Fin corrigée si nuit]])-MAX(deb_dimJF,Horaires35673[[#This Row],[début]])),0)+IF(COUNTIF(JF,Horaires35673[[#This Row],[Date]]+1),MAX(0,Horaires35673[[#This Row],[Fin corrigée si nuit]]-(1+deb_dimJF)),0))*24</f>
        <v>0</v>
      </c>
      <c r="S35"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6" spans="1:19" x14ac:dyDescent="0.35">
      <c r="A36" s="9"/>
      <c r="B36" s="1"/>
      <c r="C36" s="2"/>
      <c r="D36" s="2"/>
      <c r="E36" s="3"/>
      <c r="F36" s="3"/>
      <c r="G36" s="3"/>
      <c r="H36" s="3"/>
      <c r="I36" s="57">
        <f>0.1*(Horaires35673[[#This Row],[Heures de nuit]]+Horaires35673[[#This Row],[heures jour dimanche]]+Horaires35673[[#This Row],[heures jour fériés]])</f>
        <v>0</v>
      </c>
      <c r="J36" s="58">
        <f>(MOD(Horaires35673[[#This Row],[Fin]]-Horaires35673[[#This Row],[début]],1)-MOD(Horaires35673[[#This Row],[PNP Fin]]-Horaires35673[[#This Row],[PNP Début]],1))*24</f>
        <v>0</v>
      </c>
      <c r="K36" s="59">
        <f>IF(Horaires35673[[#This Row],[PNP Début]]=0,0,IF(Horaires35673[[#This Row],[PNP Début]]&lt;Horaires35673[[#This Row],[début]],1,0)+Horaires35673[[#This Row],[PNP Début]])</f>
        <v>0</v>
      </c>
      <c r="L36" s="60">
        <f>IF(Horaires35673[[#This Row],[PNP Fin]]=0,0,IF(Horaires35673[[#This Row],[PNP Fin]]&lt;Horaires35673[[#This Row],[début]],1,0)+Horaires35673[[#This Row],[PNP Fin]])</f>
        <v>0</v>
      </c>
      <c r="M36" s="60">
        <f>IF(Horaires35673[[#This Row],[Fin]]&lt;Horaires35673[[#This Row],[début]],1,0)+Horaires35673[[#This Row],[Fin]]</f>
        <v>0</v>
      </c>
      <c r="N36" s="61">
        <f>MAX(0,MIN(Horaires35673[[#This Row],[Fin corrigée si nuit]],fin_nuit)-MAX(Horaires35673[[#This Row],[début]],deb_nuit))*24</f>
        <v>0</v>
      </c>
      <c r="O36" s="62">
        <f>(MAX(0,MIN(Horaires35673[[#This Row],[Fin corrigée si nuit]],fin_nuit)-MAX(Horaires35673[[#This Row],[début]],deb_nuit))-IF(Horaires35673[[#This Row],[PNP Début]]=0,0,MIN(Horaires35673[[#This Row],[PNP Fin corrigée]],fin_nuit)-MAX(Horaires35673[[#This Row],[PNP Début corrigé]],deb_nuit)))*24</f>
        <v>0</v>
      </c>
      <c r="P36" s="62">
        <f>(IF(WEEKDAY(Horaires35673[[#This Row],[Date]],2)=7,MAX(0,MIN(fin_dimJF,Horaires35673[[#This Row],[Fin corrigée si nuit]])-MAX(deb_dimJF,Horaires35673[[#This Row],[début]])),0)+IF(WEEKDAY(Horaires35673[[#This Row],[Date]],2)=6,MAX(0,Horaires35673[[#This Row],[Fin corrigée si nuit]]-(1+deb_dimJF)),0))*24</f>
        <v>0</v>
      </c>
      <c r="Q36"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6" s="62">
        <f>(IF(COUNTIF(JF,Horaires35673[[#This Row],[Date]]),MAX(0,MIN(fin_dimJF,Horaires35673[[#This Row],[Fin corrigée si nuit]])-MAX(deb_dimJF,Horaires35673[[#This Row],[début]])),0)+IF(COUNTIF(JF,Horaires35673[[#This Row],[Date]]+1),MAX(0,Horaires35673[[#This Row],[Fin corrigée si nuit]]-(1+deb_dimJF)),0))*24</f>
        <v>0</v>
      </c>
      <c r="S36"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7" spans="1:19" x14ac:dyDescent="0.35">
      <c r="A37" s="9"/>
      <c r="B37" s="1"/>
      <c r="C37" s="2"/>
      <c r="D37" s="2"/>
      <c r="E37" s="3"/>
      <c r="F37" s="3"/>
      <c r="G37" s="3"/>
      <c r="H37" s="3"/>
      <c r="I37" s="57">
        <f>0.1*(Horaires35673[[#This Row],[Heures de nuit]]+Horaires35673[[#This Row],[heures jour dimanche]]+Horaires35673[[#This Row],[heures jour fériés]])</f>
        <v>0</v>
      </c>
      <c r="J37" s="58">
        <f>(MOD(Horaires35673[[#This Row],[Fin]]-Horaires35673[[#This Row],[début]],1)-MOD(Horaires35673[[#This Row],[PNP Fin]]-Horaires35673[[#This Row],[PNP Début]],1))*24</f>
        <v>0</v>
      </c>
      <c r="K37" s="59">
        <f>IF(Horaires35673[[#This Row],[PNP Début]]=0,0,IF(Horaires35673[[#This Row],[PNP Début]]&lt;Horaires35673[[#This Row],[début]],1,0)+Horaires35673[[#This Row],[PNP Début]])</f>
        <v>0</v>
      </c>
      <c r="L37" s="60">
        <f>IF(Horaires35673[[#This Row],[PNP Fin]]=0,0,IF(Horaires35673[[#This Row],[PNP Fin]]&lt;Horaires35673[[#This Row],[début]],1,0)+Horaires35673[[#This Row],[PNP Fin]])</f>
        <v>0</v>
      </c>
      <c r="M37" s="60">
        <f>IF(Horaires35673[[#This Row],[Fin]]&lt;Horaires35673[[#This Row],[début]],1,0)+Horaires35673[[#This Row],[Fin]]</f>
        <v>0</v>
      </c>
      <c r="N37" s="61">
        <f>MAX(0,MIN(Horaires35673[[#This Row],[Fin corrigée si nuit]],fin_nuit)-MAX(Horaires35673[[#This Row],[début]],deb_nuit))*24</f>
        <v>0</v>
      </c>
      <c r="O37" s="62">
        <f>(MAX(0,MIN(Horaires35673[[#This Row],[Fin corrigée si nuit]],fin_nuit)-MAX(Horaires35673[[#This Row],[début]],deb_nuit))-IF(Horaires35673[[#This Row],[PNP Début]]=0,0,MIN(Horaires35673[[#This Row],[PNP Fin corrigée]],fin_nuit)-MAX(Horaires35673[[#This Row],[PNP Début corrigé]],deb_nuit)))*24</f>
        <v>0</v>
      </c>
      <c r="P37" s="62">
        <f>(IF(WEEKDAY(Horaires35673[[#This Row],[Date]],2)=7,MAX(0,MIN(fin_dimJF,Horaires35673[[#This Row],[Fin corrigée si nuit]])-MAX(deb_dimJF,Horaires35673[[#This Row],[début]])),0)+IF(WEEKDAY(Horaires35673[[#This Row],[Date]],2)=6,MAX(0,Horaires35673[[#This Row],[Fin corrigée si nuit]]-(1+deb_dimJF)),0))*24</f>
        <v>0</v>
      </c>
      <c r="Q37"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7" s="62">
        <f>(IF(COUNTIF(JF,Horaires35673[[#This Row],[Date]]),MAX(0,MIN(fin_dimJF,Horaires35673[[#This Row],[Fin corrigée si nuit]])-MAX(deb_dimJF,Horaires35673[[#This Row],[début]])),0)+IF(COUNTIF(JF,Horaires35673[[#This Row],[Date]]+1),MAX(0,Horaires35673[[#This Row],[Fin corrigée si nuit]]-(1+deb_dimJF)),0))*24</f>
        <v>0</v>
      </c>
      <c r="S37"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8" spans="1:19" x14ac:dyDescent="0.35">
      <c r="A38" s="9"/>
      <c r="B38" s="1"/>
      <c r="C38" s="2"/>
      <c r="D38" s="2"/>
      <c r="E38" s="3"/>
      <c r="F38" s="3"/>
      <c r="G38" s="3"/>
      <c r="H38" s="3"/>
      <c r="I38" s="57">
        <f>0.1*(Horaires35673[[#This Row],[Heures de nuit]]+Horaires35673[[#This Row],[heures jour dimanche]]+Horaires35673[[#This Row],[heures jour fériés]])</f>
        <v>0</v>
      </c>
      <c r="J38" s="58">
        <f>(MOD(Horaires35673[[#This Row],[Fin]]-Horaires35673[[#This Row],[début]],1)-MOD(Horaires35673[[#This Row],[PNP Fin]]-Horaires35673[[#This Row],[PNP Début]],1))*24</f>
        <v>0</v>
      </c>
      <c r="K38" s="59">
        <f>IF(Horaires35673[[#This Row],[PNP Début]]=0,0,IF(Horaires35673[[#This Row],[PNP Début]]&lt;Horaires35673[[#This Row],[début]],1,0)+Horaires35673[[#This Row],[PNP Début]])</f>
        <v>0</v>
      </c>
      <c r="L38" s="60">
        <f>IF(Horaires35673[[#This Row],[PNP Fin]]=0,0,IF(Horaires35673[[#This Row],[PNP Fin]]&lt;Horaires35673[[#This Row],[début]],1,0)+Horaires35673[[#This Row],[PNP Fin]])</f>
        <v>0</v>
      </c>
      <c r="M38" s="60">
        <f>IF(Horaires35673[[#This Row],[Fin]]&lt;Horaires35673[[#This Row],[début]],1,0)+Horaires35673[[#This Row],[Fin]]</f>
        <v>0</v>
      </c>
      <c r="N38" s="61">
        <f>MAX(0,MIN(Horaires35673[[#This Row],[Fin corrigée si nuit]],fin_nuit)-MAX(Horaires35673[[#This Row],[début]],deb_nuit))*24</f>
        <v>0</v>
      </c>
      <c r="O38" s="62">
        <f>(MAX(0,MIN(Horaires35673[[#This Row],[Fin corrigée si nuit]],fin_nuit)-MAX(Horaires35673[[#This Row],[début]],deb_nuit))-IF(Horaires35673[[#This Row],[PNP Début]]=0,0,MIN(Horaires35673[[#This Row],[PNP Fin corrigée]],fin_nuit)-MAX(Horaires35673[[#This Row],[PNP Début corrigé]],deb_nuit)))*24</f>
        <v>0</v>
      </c>
      <c r="P38" s="62">
        <f>(IF(WEEKDAY(Horaires35673[[#This Row],[Date]],2)=7,MAX(0,MIN(fin_dimJF,Horaires35673[[#This Row],[Fin corrigée si nuit]])-MAX(deb_dimJF,Horaires35673[[#This Row],[début]])),0)+IF(WEEKDAY(Horaires35673[[#This Row],[Date]],2)=6,MAX(0,Horaires35673[[#This Row],[Fin corrigée si nuit]]-(1+deb_dimJF)),0))*24</f>
        <v>0</v>
      </c>
      <c r="Q38"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8" s="62">
        <f>(IF(COUNTIF(JF,Horaires35673[[#This Row],[Date]]),MAX(0,MIN(fin_dimJF,Horaires35673[[#This Row],[Fin corrigée si nuit]])-MAX(deb_dimJF,Horaires35673[[#This Row],[début]])),0)+IF(COUNTIF(JF,Horaires35673[[#This Row],[Date]]+1),MAX(0,Horaires35673[[#This Row],[Fin corrigée si nuit]]-(1+deb_dimJF)),0))*24</f>
        <v>0</v>
      </c>
      <c r="S38"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39" spans="1:19" x14ac:dyDescent="0.35">
      <c r="A39" s="9"/>
      <c r="B39" s="1"/>
      <c r="C39" s="2"/>
      <c r="D39" s="2"/>
      <c r="E39" s="3"/>
      <c r="F39" s="3"/>
      <c r="G39" s="3"/>
      <c r="H39" s="3"/>
      <c r="I39" s="57">
        <f>0.1*(Horaires35673[[#This Row],[Heures de nuit]]+Horaires35673[[#This Row],[heures jour dimanche]]+Horaires35673[[#This Row],[heures jour fériés]])</f>
        <v>0</v>
      </c>
      <c r="J39" s="58">
        <f>(MOD(Horaires35673[[#This Row],[Fin]]-Horaires35673[[#This Row],[début]],1)-MOD(Horaires35673[[#This Row],[PNP Fin]]-Horaires35673[[#This Row],[PNP Début]],1))*24</f>
        <v>0</v>
      </c>
      <c r="K39" s="59">
        <f>IF(Horaires35673[[#This Row],[PNP Début]]=0,0,IF(Horaires35673[[#This Row],[PNP Début]]&lt;Horaires35673[[#This Row],[début]],1,0)+Horaires35673[[#This Row],[PNP Début]])</f>
        <v>0</v>
      </c>
      <c r="L39" s="60">
        <f>IF(Horaires35673[[#This Row],[PNP Fin]]=0,0,IF(Horaires35673[[#This Row],[PNP Fin]]&lt;Horaires35673[[#This Row],[début]],1,0)+Horaires35673[[#This Row],[PNP Fin]])</f>
        <v>0</v>
      </c>
      <c r="M39" s="60">
        <f>IF(Horaires35673[[#This Row],[Fin]]&lt;Horaires35673[[#This Row],[début]],1,0)+Horaires35673[[#This Row],[Fin]]</f>
        <v>0</v>
      </c>
      <c r="N39" s="61">
        <f>MAX(0,MIN(Horaires35673[[#This Row],[Fin corrigée si nuit]],fin_nuit)-MAX(Horaires35673[[#This Row],[début]],deb_nuit))*24</f>
        <v>0</v>
      </c>
      <c r="O39" s="62">
        <f>(MAX(0,MIN(Horaires35673[[#This Row],[Fin corrigée si nuit]],fin_nuit)-MAX(Horaires35673[[#This Row],[début]],deb_nuit))-IF(Horaires35673[[#This Row],[PNP Début]]=0,0,MIN(Horaires35673[[#This Row],[PNP Fin corrigée]],fin_nuit)-MAX(Horaires35673[[#This Row],[PNP Début corrigé]],deb_nuit)))*24</f>
        <v>0</v>
      </c>
      <c r="P39" s="62">
        <f>(IF(WEEKDAY(Horaires35673[[#This Row],[Date]],2)=7,MAX(0,MIN(fin_dimJF,Horaires35673[[#This Row],[Fin corrigée si nuit]])-MAX(deb_dimJF,Horaires35673[[#This Row],[début]])),0)+IF(WEEKDAY(Horaires35673[[#This Row],[Date]],2)=6,MAX(0,Horaires35673[[#This Row],[Fin corrigée si nuit]]-(1+deb_dimJF)),0))*24</f>
        <v>0</v>
      </c>
      <c r="Q39"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39" s="62">
        <f>(IF(COUNTIF(JF,Horaires35673[[#This Row],[Date]]),MAX(0,MIN(fin_dimJF,Horaires35673[[#This Row],[Fin corrigée si nuit]])-MAX(deb_dimJF,Horaires35673[[#This Row],[début]])),0)+IF(COUNTIF(JF,Horaires35673[[#This Row],[Date]]+1),MAX(0,Horaires35673[[#This Row],[Fin corrigée si nuit]]-(1+deb_dimJF)),0))*24</f>
        <v>0</v>
      </c>
      <c r="S39"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0" spans="1:19" x14ac:dyDescent="0.35">
      <c r="A40" s="9"/>
      <c r="B40" s="1"/>
      <c r="C40" s="2"/>
      <c r="D40" s="2"/>
      <c r="E40" s="3"/>
      <c r="F40" s="3"/>
      <c r="G40" s="3"/>
      <c r="H40" s="3"/>
      <c r="I40" s="57">
        <f>0.1*(Horaires35673[[#This Row],[Heures de nuit]]+Horaires35673[[#This Row],[heures jour dimanche]]+Horaires35673[[#This Row],[heures jour fériés]])</f>
        <v>0</v>
      </c>
      <c r="J40" s="58">
        <f>(MOD(Horaires35673[[#This Row],[Fin]]-Horaires35673[[#This Row],[début]],1)-MOD(Horaires35673[[#This Row],[PNP Fin]]-Horaires35673[[#This Row],[PNP Début]],1))*24</f>
        <v>0</v>
      </c>
      <c r="K40" s="59">
        <f>IF(Horaires35673[[#This Row],[PNP Début]]=0,0,IF(Horaires35673[[#This Row],[PNP Début]]&lt;Horaires35673[[#This Row],[début]],1,0)+Horaires35673[[#This Row],[PNP Début]])</f>
        <v>0</v>
      </c>
      <c r="L40" s="60">
        <f>IF(Horaires35673[[#This Row],[PNP Fin]]=0,0,IF(Horaires35673[[#This Row],[PNP Fin]]&lt;Horaires35673[[#This Row],[début]],1,0)+Horaires35673[[#This Row],[PNP Fin]])</f>
        <v>0</v>
      </c>
      <c r="M40" s="60">
        <f>IF(Horaires35673[[#This Row],[Fin]]&lt;Horaires35673[[#This Row],[début]],1,0)+Horaires35673[[#This Row],[Fin]]</f>
        <v>0</v>
      </c>
      <c r="N40" s="61">
        <f>MAX(0,MIN(Horaires35673[[#This Row],[Fin corrigée si nuit]],fin_nuit)-MAX(Horaires35673[[#This Row],[début]],deb_nuit))*24</f>
        <v>0</v>
      </c>
      <c r="O40" s="62">
        <f>(MAX(0,MIN(Horaires35673[[#This Row],[Fin corrigée si nuit]],fin_nuit)-MAX(Horaires35673[[#This Row],[début]],deb_nuit))-IF(Horaires35673[[#This Row],[PNP Début]]=0,0,MIN(Horaires35673[[#This Row],[PNP Fin corrigée]],fin_nuit)-MAX(Horaires35673[[#This Row],[PNP Début corrigé]],deb_nuit)))*24</f>
        <v>0</v>
      </c>
      <c r="P40" s="62">
        <f>(IF(WEEKDAY(Horaires35673[[#This Row],[Date]],2)=7,MAX(0,MIN(fin_dimJF,Horaires35673[[#This Row],[Fin corrigée si nuit]])-MAX(deb_dimJF,Horaires35673[[#This Row],[début]])),0)+IF(WEEKDAY(Horaires35673[[#This Row],[Date]],2)=6,MAX(0,Horaires35673[[#This Row],[Fin corrigée si nuit]]-(1+deb_dimJF)),0))*24</f>
        <v>0</v>
      </c>
      <c r="Q40"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0" s="62">
        <f>(IF(COUNTIF(JF,Horaires35673[[#This Row],[Date]]),MAX(0,MIN(fin_dimJF,Horaires35673[[#This Row],[Fin corrigée si nuit]])-MAX(deb_dimJF,Horaires35673[[#This Row],[début]])),0)+IF(COUNTIF(JF,Horaires35673[[#This Row],[Date]]+1),MAX(0,Horaires35673[[#This Row],[Fin corrigée si nuit]]-(1+deb_dimJF)),0))*24</f>
        <v>0</v>
      </c>
      <c r="S40"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1" spans="1:19" x14ac:dyDescent="0.35">
      <c r="A41" s="9"/>
      <c r="B41" s="1"/>
      <c r="C41" s="2"/>
      <c r="D41" s="2"/>
      <c r="E41" s="3"/>
      <c r="F41" s="3"/>
      <c r="G41" s="3"/>
      <c r="H41" s="3"/>
      <c r="I41" s="57">
        <f>0.1*(Horaires35673[[#This Row],[Heures de nuit]]+Horaires35673[[#This Row],[heures jour dimanche]]+Horaires35673[[#This Row],[heures jour fériés]])</f>
        <v>0</v>
      </c>
      <c r="J41" s="58">
        <f>(MOD(Horaires35673[[#This Row],[Fin]]-Horaires35673[[#This Row],[début]],1)-MOD(Horaires35673[[#This Row],[PNP Fin]]-Horaires35673[[#This Row],[PNP Début]],1))*24</f>
        <v>0</v>
      </c>
      <c r="K41" s="59">
        <f>IF(Horaires35673[[#This Row],[PNP Début]]=0,0,IF(Horaires35673[[#This Row],[PNP Début]]&lt;Horaires35673[[#This Row],[début]],1,0)+Horaires35673[[#This Row],[PNP Début]])</f>
        <v>0</v>
      </c>
      <c r="L41" s="60">
        <f>IF(Horaires35673[[#This Row],[PNP Fin]]=0,0,IF(Horaires35673[[#This Row],[PNP Fin]]&lt;Horaires35673[[#This Row],[début]],1,0)+Horaires35673[[#This Row],[PNP Fin]])</f>
        <v>0</v>
      </c>
      <c r="M41" s="60">
        <f>IF(Horaires35673[[#This Row],[Fin]]&lt;Horaires35673[[#This Row],[début]],1,0)+Horaires35673[[#This Row],[Fin]]</f>
        <v>0</v>
      </c>
      <c r="N41" s="61">
        <f>MAX(0,MIN(Horaires35673[[#This Row],[Fin corrigée si nuit]],fin_nuit)-MAX(Horaires35673[[#This Row],[début]],deb_nuit))*24</f>
        <v>0</v>
      </c>
      <c r="O41" s="62">
        <f>(MAX(0,MIN(Horaires35673[[#This Row],[Fin corrigée si nuit]],fin_nuit)-MAX(Horaires35673[[#This Row],[début]],deb_nuit))-IF(Horaires35673[[#This Row],[PNP Début]]=0,0,MIN(Horaires35673[[#This Row],[PNP Fin corrigée]],fin_nuit)-MAX(Horaires35673[[#This Row],[PNP Début corrigé]],deb_nuit)))*24</f>
        <v>0</v>
      </c>
      <c r="P41" s="62">
        <f>(IF(WEEKDAY(Horaires35673[[#This Row],[Date]],2)=7,MAX(0,MIN(fin_dimJF,Horaires35673[[#This Row],[Fin corrigée si nuit]])-MAX(deb_dimJF,Horaires35673[[#This Row],[début]])),0)+IF(WEEKDAY(Horaires35673[[#This Row],[Date]],2)=6,MAX(0,Horaires35673[[#This Row],[Fin corrigée si nuit]]-(1+deb_dimJF)),0))*24</f>
        <v>0</v>
      </c>
      <c r="Q41"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1" s="62">
        <f>(IF(COUNTIF(JF,Horaires35673[[#This Row],[Date]]),MAX(0,MIN(fin_dimJF,Horaires35673[[#This Row],[Fin corrigée si nuit]])-MAX(deb_dimJF,Horaires35673[[#This Row],[début]])),0)+IF(COUNTIF(JF,Horaires35673[[#This Row],[Date]]+1),MAX(0,Horaires35673[[#This Row],[Fin corrigée si nuit]]-(1+deb_dimJF)),0))*24</f>
        <v>0</v>
      </c>
      <c r="S41"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2" spans="1:19" x14ac:dyDescent="0.35">
      <c r="A42" s="9"/>
      <c r="B42" s="1"/>
      <c r="C42" s="2"/>
      <c r="D42" s="2"/>
      <c r="E42" s="3"/>
      <c r="F42" s="3"/>
      <c r="G42" s="3"/>
      <c r="H42" s="3"/>
      <c r="I42" s="57">
        <f>0.1*(Horaires35673[[#This Row],[Heures de nuit]]+Horaires35673[[#This Row],[heures jour dimanche]]+Horaires35673[[#This Row],[heures jour fériés]])</f>
        <v>0</v>
      </c>
      <c r="J42" s="58">
        <f>(MOD(Horaires35673[[#This Row],[Fin]]-Horaires35673[[#This Row],[début]],1)-MOD(Horaires35673[[#This Row],[PNP Fin]]-Horaires35673[[#This Row],[PNP Début]],1))*24</f>
        <v>0</v>
      </c>
      <c r="K42" s="59">
        <f>IF(Horaires35673[[#This Row],[PNP Début]]=0,0,IF(Horaires35673[[#This Row],[PNP Début]]&lt;Horaires35673[[#This Row],[début]],1,0)+Horaires35673[[#This Row],[PNP Début]])</f>
        <v>0</v>
      </c>
      <c r="L42" s="60">
        <f>IF(Horaires35673[[#This Row],[PNP Fin]]=0,0,IF(Horaires35673[[#This Row],[PNP Fin]]&lt;Horaires35673[[#This Row],[début]],1,0)+Horaires35673[[#This Row],[PNP Fin]])</f>
        <v>0</v>
      </c>
      <c r="M42" s="60">
        <f>IF(Horaires35673[[#This Row],[Fin]]&lt;Horaires35673[[#This Row],[début]],1,0)+Horaires35673[[#This Row],[Fin]]</f>
        <v>0</v>
      </c>
      <c r="N42" s="61">
        <f>MAX(0,MIN(Horaires35673[[#This Row],[Fin corrigée si nuit]],fin_nuit)-MAX(Horaires35673[[#This Row],[début]],deb_nuit))*24</f>
        <v>0</v>
      </c>
      <c r="O42" s="62">
        <f>(MAX(0,MIN(Horaires35673[[#This Row],[Fin corrigée si nuit]],fin_nuit)-MAX(Horaires35673[[#This Row],[début]],deb_nuit))-IF(Horaires35673[[#This Row],[PNP Début]]=0,0,MIN(Horaires35673[[#This Row],[PNP Fin corrigée]],fin_nuit)-MAX(Horaires35673[[#This Row],[PNP Début corrigé]],deb_nuit)))*24</f>
        <v>0</v>
      </c>
      <c r="P42" s="62">
        <f>(IF(WEEKDAY(Horaires35673[[#This Row],[Date]],2)=7,MAX(0,MIN(fin_dimJF,Horaires35673[[#This Row],[Fin corrigée si nuit]])-MAX(deb_dimJF,Horaires35673[[#This Row],[début]])),0)+IF(WEEKDAY(Horaires35673[[#This Row],[Date]],2)=6,MAX(0,Horaires35673[[#This Row],[Fin corrigée si nuit]]-(1+deb_dimJF)),0))*24</f>
        <v>0</v>
      </c>
      <c r="Q42"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2" s="62">
        <f>(IF(COUNTIF(JF,Horaires35673[[#This Row],[Date]]),MAX(0,MIN(fin_dimJF,Horaires35673[[#This Row],[Fin corrigée si nuit]])-MAX(deb_dimJF,Horaires35673[[#This Row],[début]])),0)+IF(COUNTIF(JF,Horaires35673[[#This Row],[Date]]+1),MAX(0,Horaires35673[[#This Row],[Fin corrigée si nuit]]-(1+deb_dimJF)),0))*24</f>
        <v>0</v>
      </c>
      <c r="S42"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3" spans="1:19" x14ac:dyDescent="0.35">
      <c r="A43" s="9"/>
      <c r="B43" s="1"/>
      <c r="C43" s="2"/>
      <c r="D43" s="2"/>
      <c r="E43" s="3"/>
      <c r="F43" s="3"/>
      <c r="G43" s="3"/>
      <c r="H43" s="3"/>
      <c r="I43" s="57">
        <f>0.1*(Horaires35673[[#This Row],[Heures de nuit]]+Horaires35673[[#This Row],[heures jour dimanche]]+Horaires35673[[#This Row],[heures jour fériés]])</f>
        <v>0</v>
      </c>
      <c r="J43" s="58">
        <f>(MOD(Horaires35673[[#This Row],[Fin]]-Horaires35673[[#This Row],[début]],1)-MOD(Horaires35673[[#This Row],[PNP Fin]]-Horaires35673[[#This Row],[PNP Début]],1))*24</f>
        <v>0</v>
      </c>
      <c r="K43" s="59">
        <f>IF(Horaires35673[[#This Row],[PNP Début]]=0,0,IF(Horaires35673[[#This Row],[PNP Début]]&lt;Horaires35673[[#This Row],[début]],1,0)+Horaires35673[[#This Row],[PNP Début]])</f>
        <v>0</v>
      </c>
      <c r="L43" s="60">
        <f>IF(Horaires35673[[#This Row],[PNP Fin]]=0,0,IF(Horaires35673[[#This Row],[PNP Fin]]&lt;Horaires35673[[#This Row],[début]],1,0)+Horaires35673[[#This Row],[PNP Fin]])</f>
        <v>0</v>
      </c>
      <c r="M43" s="60">
        <f>IF(Horaires35673[[#This Row],[Fin]]&lt;Horaires35673[[#This Row],[début]],1,0)+Horaires35673[[#This Row],[Fin]]</f>
        <v>0</v>
      </c>
      <c r="N43" s="61">
        <f>MAX(0,MIN(Horaires35673[[#This Row],[Fin corrigée si nuit]],fin_nuit)-MAX(Horaires35673[[#This Row],[début]],deb_nuit))*24</f>
        <v>0</v>
      </c>
      <c r="O43" s="62">
        <f>(MAX(0,MIN(Horaires35673[[#This Row],[Fin corrigée si nuit]],fin_nuit)-MAX(Horaires35673[[#This Row],[début]],deb_nuit))-IF(Horaires35673[[#This Row],[PNP Début]]=0,0,MIN(Horaires35673[[#This Row],[PNP Fin corrigée]],fin_nuit)-MAX(Horaires35673[[#This Row],[PNP Début corrigé]],deb_nuit)))*24</f>
        <v>0</v>
      </c>
      <c r="P43" s="62">
        <f>(IF(WEEKDAY(Horaires35673[[#This Row],[Date]],2)=7,MAX(0,MIN(fin_dimJF,Horaires35673[[#This Row],[Fin corrigée si nuit]])-MAX(deb_dimJF,Horaires35673[[#This Row],[début]])),0)+IF(WEEKDAY(Horaires35673[[#This Row],[Date]],2)=6,MAX(0,Horaires35673[[#This Row],[Fin corrigée si nuit]]-(1+deb_dimJF)),0))*24</f>
        <v>0</v>
      </c>
      <c r="Q43"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3" s="62">
        <f>(IF(COUNTIF(JF,Horaires35673[[#This Row],[Date]]),MAX(0,MIN(fin_dimJF,Horaires35673[[#This Row],[Fin corrigée si nuit]])-MAX(deb_dimJF,Horaires35673[[#This Row],[début]])),0)+IF(COUNTIF(JF,Horaires35673[[#This Row],[Date]]+1),MAX(0,Horaires35673[[#This Row],[Fin corrigée si nuit]]-(1+deb_dimJF)),0))*24</f>
        <v>0</v>
      </c>
      <c r="S43"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4" spans="1:19" x14ac:dyDescent="0.35">
      <c r="A44" s="9"/>
      <c r="B44" s="1"/>
      <c r="C44" s="2"/>
      <c r="D44" s="2"/>
      <c r="E44" s="3"/>
      <c r="F44" s="3"/>
      <c r="G44" s="3"/>
      <c r="H44" s="3"/>
      <c r="I44" s="57">
        <f>0.1*(Horaires35673[[#This Row],[Heures de nuit]]+Horaires35673[[#This Row],[heures jour dimanche]]+Horaires35673[[#This Row],[heures jour fériés]])</f>
        <v>0</v>
      </c>
      <c r="J44" s="58">
        <f>(MOD(Horaires35673[[#This Row],[Fin]]-Horaires35673[[#This Row],[début]],1)-MOD(Horaires35673[[#This Row],[PNP Fin]]-Horaires35673[[#This Row],[PNP Début]],1))*24</f>
        <v>0</v>
      </c>
      <c r="K44" s="59">
        <f>IF(Horaires35673[[#This Row],[PNP Début]]=0,0,IF(Horaires35673[[#This Row],[PNP Début]]&lt;Horaires35673[[#This Row],[début]],1,0)+Horaires35673[[#This Row],[PNP Début]])</f>
        <v>0</v>
      </c>
      <c r="L44" s="60">
        <f>IF(Horaires35673[[#This Row],[PNP Fin]]=0,0,IF(Horaires35673[[#This Row],[PNP Fin]]&lt;Horaires35673[[#This Row],[début]],1,0)+Horaires35673[[#This Row],[PNP Fin]])</f>
        <v>0</v>
      </c>
      <c r="M44" s="60">
        <f>IF(Horaires35673[[#This Row],[Fin]]&lt;Horaires35673[[#This Row],[début]],1,0)+Horaires35673[[#This Row],[Fin]]</f>
        <v>0</v>
      </c>
      <c r="N44" s="61">
        <f>MAX(0,MIN(Horaires35673[[#This Row],[Fin corrigée si nuit]],fin_nuit)-MAX(Horaires35673[[#This Row],[début]],deb_nuit))*24</f>
        <v>0</v>
      </c>
      <c r="O44" s="62">
        <f>(MAX(0,MIN(Horaires35673[[#This Row],[Fin corrigée si nuit]],fin_nuit)-MAX(Horaires35673[[#This Row],[début]],deb_nuit))-IF(Horaires35673[[#This Row],[PNP Début]]=0,0,MIN(Horaires35673[[#This Row],[PNP Fin corrigée]],fin_nuit)-MAX(Horaires35673[[#This Row],[PNP Début corrigé]],deb_nuit)))*24</f>
        <v>0</v>
      </c>
      <c r="P44" s="62">
        <f>(IF(WEEKDAY(Horaires35673[[#This Row],[Date]],2)=7,MAX(0,MIN(fin_dimJF,Horaires35673[[#This Row],[Fin corrigée si nuit]])-MAX(deb_dimJF,Horaires35673[[#This Row],[début]])),0)+IF(WEEKDAY(Horaires35673[[#This Row],[Date]],2)=6,MAX(0,Horaires35673[[#This Row],[Fin corrigée si nuit]]-(1+deb_dimJF)),0))*24</f>
        <v>0</v>
      </c>
      <c r="Q44"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4" s="62">
        <f>(IF(COUNTIF(JF,Horaires35673[[#This Row],[Date]]),MAX(0,MIN(fin_dimJF,Horaires35673[[#This Row],[Fin corrigée si nuit]])-MAX(deb_dimJF,Horaires35673[[#This Row],[début]])),0)+IF(COUNTIF(JF,Horaires35673[[#This Row],[Date]]+1),MAX(0,Horaires35673[[#This Row],[Fin corrigée si nuit]]-(1+deb_dimJF)),0))*24</f>
        <v>0</v>
      </c>
      <c r="S44"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5" spans="1:19" x14ac:dyDescent="0.35">
      <c r="A45" s="9"/>
      <c r="B45" s="1"/>
      <c r="C45" s="2"/>
      <c r="D45" s="2"/>
      <c r="E45" s="3"/>
      <c r="F45" s="3"/>
      <c r="G45" s="3"/>
      <c r="H45" s="3"/>
      <c r="I45" s="57">
        <f>0.1*(Horaires35673[[#This Row],[Heures de nuit]]+Horaires35673[[#This Row],[heures jour dimanche]]+Horaires35673[[#This Row],[heures jour fériés]])</f>
        <v>0</v>
      </c>
      <c r="J45" s="58">
        <f>(MOD(Horaires35673[[#This Row],[Fin]]-Horaires35673[[#This Row],[début]],1)-MOD(Horaires35673[[#This Row],[PNP Fin]]-Horaires35673[[#This Row],[PNP Début]],1))*24</f>
        <v>0</v>
      </c>
      <c r="K45" s="59">
        <f>IF(Horaires35673[[#This Row],[PNP Début]]=0,0,IF(Horaires35673[[#This Row],[PNP Début]]&lt;Horaires35673[[#This Row],[début]],1,0)+Horaires35673[[#This Row],[PNP Début]])</f>
        <v>0</v>
      </c>
      <c r="L45" s="60">
        <f>IF(Horaires35673[[#This Row],[PNP Fin]]=0,0,IF(Horaires35673[[#This Row],[PNP Fin]]&lt;Horaires35673[[#This Row],[début]],1,0)+Horaires35673[[#This Row],[PNP Fin]])</f>
        <v>0</v>
      </c>
      <c r="M45" s="60">
        <f>IF(Horaires35673[[#This Row],[Fin]]&lt;Horaires35673[[#This Row],[début]],1,0)+Horaires35673[[#This Row],[Fin]]</f>
        <v>0</v>
      </c>
      <c r="N45" s="61">
        <f>MAX(0,MIN(Horaires35673[[#This Row],[Fin corrigée si nuit]],fin_nuit)-MAX(Horaires35673[[#This Row],[début]],deb_nuit))*24</f>
        <v>0</v>
      </c>
      <c r="O45" s="62">
        <f>(MAX(0,MIN(Horaires35673[[#This Row],[Fin corrigée si nuit]],fin_nuit)-MAX(Horaires35673[[#This Row],[début]],deb_nuit))-IF(Horaires35673[[#This Row],[PNP Début]]=0,0,MIN(Horaires35673[[#This Row],[PNP Fin corrigée]],fin_nuit)-MAX(Horaires35673[[#This Row],[PNP Début corrigé]],deb_nuit)))*24</f>
        <v>0</v>
      </c>
      <c r="P45" s="62">
        <f>(IF(WEEKDAY(Horaires35673[[#This Row],[Date]],2)=7,MAX(0,MIN(fin_dimJF,Horaires35673[[#This Row],[Fin corrigée si nuit]])-MAX(deb_dimJF,Horaires35673[[#This Row],[début]])),0)+IF(WEEKDAY(Horaires35673[[#This Row],[Date]],2)=6,MAX(0,Horaires35673[[#This Row],[Fin corrigée si nuit]]-(1+deb_dimJF)),0))*24</f>
        <v>0</v>
      </c>
      <c r="Q45"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5" s="62">
        <f>(IF(COUNTIF(JF,Horaires35673[[#This Row],[Date]]),MAX(0,MIN(fin_dimJF,Horaires35673[[#This Row],[Fin corrigée si nuit]])-MAX(deb_dimJF,Horaires35673[[#This Row],[début]])),0)+IF(COUNTIF(JF,Horaires35673[[#This Row],[Date]]+1),MAX(0,Horaires35673[[#This Row],[Fin corrigée si nuit]]-(1+deb_dimJF)),0))*24</f>
        <v>0</v>
      </c>
      <c r="S45"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6" spans="1:19" x14ac:dyDescent="0.35">
      <c r="A46" s="9"/>
      <c r="B46" s="1"/>
      <c r="C46" s="2"/>
      <c r="D46" s="2"/>
      <c r="E46" s="3"/>
      <c r="F46" s="3"/>
      <c r="G46" s="3"/>
      <c r="H46" s="3"/>
      <c r="I46" s="57">
        <f>0.1*(Horaires35673[[#This Row],[Heures de nuit]]+Horaires35673[[#This Row],[heures jour dimanche]]+Horaires35673[[#This Row],[heures jour fériés]])</f>
        <v>0</v>
      </c>
      <c r="J46" s="58">
        <f>(MOD(Horaires35673[[#This Row],[Fin]]-Horaires35673[[#This Row],[début]],1)-MOD(Horaires35673[[#This Row],[PNP Fin]]-Horaires35673[[#This Row],[PNP Début]],1))*24</f>
        <v>0</v>
      </c>
      <c r="K46" s="59">
        <f>IF(Horaires35673[[#This Row],[PNP Début]]=0,0,IF(Horaires35673[[#This Row],[PNP Début]]&lt;Horaires35673[[#This Row],[début]],1,0)+Horaires35673[[#This Row],[PNP Début]])</f>
        <v>0</v>
      </c>
      <c r="L46" s="60">
        <f>IF(Horaires35673[[#This Row],[PNP Fin]]=0,0,IF(Horaires35673[[#This Row],[PNP Fin]]&lt;Horaires35673[[#This Row],[début]],1,0)+Horaires35673[[#This Row],[PNP Fin]])</f>
        <v>0</v>
      </c>
      <c r="M46" s="60">
        <f>IF(Horaires35673[[#This Row],[Fin]]&lt;Horaires35673[[#This Row],[début]],1,0)+Horaires35673[[#This Row],[Fin]]</f>
        <v>0</v>
      </c>
      <c r="N46" s="61">
        <f>MAX(0,MIN(Horaires35673[[#This Row],[Fin corrigée si nuit]],fin_nuit)-MAX(Horaires35673[[#This Row],[début]],deb_nuit))*24</f>
        <v>0</v>
      </c>
      <c r="O46" s="62">
        <f>(MAX(0,MIN(Horaires35673[[#This Row],[Fin corrigée si nuit]],fin_nuit)-MAX(Horaires35673[[#This Row],[début]],deb_nuit))-IF(Horaires35673[[#This Row],[PNP Début]]=0,0,MIN(Horaires35673[[#This Row],[PNP Fin corrigée]],fin_nuit)-MAX(Horaires35673[[#This Row],[PNP Début corrigé]],deb_nuit)))*24</f>
        <v>0</v>
      </c>
      <c r="P46" s="62">
        <f>(IF(WEEKDAY(Horaires35673[[#This Row],[Date]],2)=7,MAX(0,MIN(fin_dimJF,Horaires35673[[#This Row],[Fin corrigée si nuit]])-MAX(deb_dimJF,Horaires35673[[#This Row],[début]])),0)+IF(WEEKDAY(Horaires35673[[#This Row],[Date]],2)=6,MAX(0,Horaires35673[[#This Row],[Fin corrigée si nuit]]-(1+deb_dimJF)),0))*24</f>
        <v>0</v>
      </c>
      <c r="Q46"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6" s="62">
        <f>(IF(COUNTIF(JF,Horaires35673[[#This Row],[Date]]),MAX(0,MIN(fin_dimJF,Horaires35673[[#This Row],[Fin corrigée si nuit]])-MAX(deb_dimJF,Horaires35673[[#This Row],[début]])),0)+IF(COUNTIF(JF,Horaires35673[[#This Row],[Date]]+1),MAX(0,Horaires35673[[#This Row],[Fin corrigée si nuit]]-(1+deb_dimJF)),0))*24</f>
        <v>0</v>
      </c>
      <c r="S46"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7" spans="1:19" x14ac:dyDescent="0.35">
      <c r="A47" s="9"/>
      <c r="B47" s="1"/>
      <c r="C47" s="2"/>
      <c r="D47" s="2"/>
      <c r="E47" s="3"/>
      <c r="F47" s="3"/>
      <c r="G47" s="3"/>
      <c r="H47" s="3"/>
      <c r="I47" s="57">
        <f>0.1*(Horaires35673[[#This Row],[Heures de nuit]]+Horaires35673[[#This Row],[heures jour dimanche]]+Horaires35673[[#This Row],[heures jour fériés]])</f>
        <v>0</v>
      </c>
      <c r="J47" s="58">
        <f>(MOD(Horaires35673[[#This Row],[Fin]]-Horaires35673[[#This Row],[début]],1)-MOD(Horaires35673[[#This Row],[PNP Fin]]-Horaires35673[[#This Row],[PNP Début]],1))*24</f>
        <v>0</v>
      </c>
      <c r="K47" s="59">
        <f>IF(Horaires35673[[#This Row],[PNP Début]]=0,0,IF(Horaires35673[[#This Row],[PNP Début]]&lt;Horaires35673[[#This Row],[début]],1,0)+Horaires35673[[#This Row],[PNP Début]])</f>
        <v>0</v>
      </c>
      <c r="L47" s="60">
        <f>IF(Horaires35673[[#This Row],[PNP Fin]]=0,0,IF(Horaires35673[[#This Row],[PNP Fin]]&lt;Horaires35673[[#This Row],[début]],1,0)+Horaires35673[[#This Row],[PNP Fin]])</f>
        <v>0</v>
      </c>
      <c r="M47" s="60">
        <f>IF(Horaires35673[[#This Row],[Fin]]&lt;Horaires35673[[#This Row],[début]],1,0)+Horaires35673[[#This Row],[Fin]]</f>
        <v>0</v>
      </c>
      <c r="N47" s="61">
        <f>MAX(0,MIN(Horaires35673[[#This Row],[Fin corrigée si nuit]],fin_nuit)-MAX(Horaires35673[[#This Row],[début]],deb_nuit))*24</f>
        <v>0</v>
      </c>
      <c r="O47" s="62">
        <f>(MAX(0,MIN(Horaires35673[[#This Row],[Fin corrigée si nuit]],fin_nuit)-MAX(Horaires35673[[#This Row],[début]],deb_nuit))-IF(Horaires35673[[#This Row],[PNP Début]]=0,0,MIN(Horaires35673[[#This Row],[PNP Fin corrigée]],fin_nuit)-MAX(Horaires35673[[#This Row],[PNP Début corrigé]],deb_nuit)))*24</f>
        <v>0</v>
      </c>
      <c r="P47" s="62">
        <f>(IF(WEEKDAY(Horaires35673[[#This Row],[Date]],2)=7,MAX(0,MIN(fin_dimJF,Horaires35673[[#This Row],[Fin corrigée si nuit]])-MAX(deb_dimJF,Horaires35673[[#This Row],[début]])),0)+IF(WEEKDAY(Horaires35673[[#This Row],[Date]],2)=6,MAX(0,Horaires35673[[#This Row],[Fin corrigée si nuit]]-(1+deb_dimJF)),0))*24</f>
        <v>0</v>
      </c>
      <c r="Q47"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7" s="62">
        <f>(IF(COUNTIF(JF,Horaires35673[[#This Row],[Date]]),MAX(0,MIN(fin_dimJF,Horaires35673[[#This Row],[Fin corrigée si nuit]])-MAX(deb_dimJF,Horaires35673[[#This Row],[début]])),0)+IF(COUNTIF(JF,Horaires35673[[#This Row],[Date]]+1),MAX(0,Horaires35673[[#This Row],[Fin corrigée si nuit]]-(1+deb_dimJF)),0))*24</f>
        <v>0</v>
      </c>
      <c r="S47"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8" spans="1:19" x14ac:dyDescent="0.35">
      <c r="A48" s="9"/>
      <c r="B48" s="1"/>
      <c r="C48" s="2"/>
      <c r="D48" s="2"/>
      <c r="E48" s="3"/>
      <c r="F48" s="3"/>
      <c r="G48" s="3"/>
      <c r="H48" s="3"/>
      <c r="I48" s="57">
        <f>0.1*(Horaires35673[[#This Row],[Heures de nuit]]+Horaires35673[[#This Row],[heures jour dimanche]]+Horaires35673[[#This Row],[heures jour fériés]])</f>
        <v>0</v>
      </c>
      <c r="J48" s="58">
        <f>(MOD(Horaires35673[[#This Row],[Fin]]-Horaires35673[[#This Row],[début]],1)-MOD(Horaires35673[[#This Row],[PNP Fin]]-Horaires35673[[#This Row],[PNP Début]],1))*24</f>
        <v>0</v>
      </c>
      <c r="K48" s="59">
        <f>IF(Horaires35673[[#This Row],[PNP Début]]=0,0,IF(Horaires35673[[#This Row],[PNP Début]]&lt;Horaires35673[[#This Row],[début]],1,0)+Horaires35673[[#This Row],[PNP Début]])</f>
        <v>0</v>
      </c>
      <c r="L48" s="60">
        <f>IF(Horaires35673[[#This Row],[PNP Fin]]=0,0,IF(Horaires35673[[#This Row],[PNP Fin]]&lt;Horaires35673[[#This Row],[début]],1,0)+Horaires35673[[#This Row],[PNP Fin]])</f>
        <v>0</v>
      </c>
      <c r="M48" s="60">
        <f>IF(Horaires35673[[#This Row],[Fin]]&lt;Horaires35673[[#This Row],[début]],1,0)+Horaires35673[[#This Row],[Fin]]</f>
        <v>0</v>
      </c>
      <c r="N48" s="61">
        <f>MAX(0,MIN(Horaires35673[[#This Row],[Fin corrigée si nuit]],fin_nuit)-MAX(Horaires35673[[#This Row],[début]],deb_nuit))*24</f>
        <v>0</v>
      </c>
      <c r="O48" s="62">
        <f>(MAX(0,MIN(Horaires35673[[#This Row],[Fin corrigée si nuit]],fin_nuit)-MAX(Horaires35673[[#This Row],[début]],deb_nuit))-IF(Horaires35673[[#This Row],[PNP Début]]=0,0,MIN(Horaires35673[[#This Row],[PNP Fin corrigée]],fin_nuit)-MAX(Horaires35673[[#This Row],[PNP Début corrigé]],deb_nuit)))*24</f>
        <v>0</v>
      </c>
      <c r="P48" s="62">
        <f>(IF(WEEKDAY(Horaires35673[[#This Row],[Date]],2)=7,MAX(0,MIN(fin_dimJF,Horaires35673[[#This Row],[Fin corrigée si nuit]])-MAX(deb_dimJF,Horaires35673[[#This Row],[début]])),0)+IF(WEEKDAY(Horaires35673[[#This Row],[Date]],2)=6,MAX(0,Horaires35673[[#This Row],[Fin corrigée si nuit]]-(1+deb_dimJF)),0))*24</f>
        <v>0</v>
      </c>
      <c r="Q48"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8" s="62">
        <f>(IF(COUNTIF(JF,Horaires35673[[#This Row],[Date]]),MAX(0,MIN(fin_dimJF,Horaires35673[[#This Row],[Fin corrigée si nuit]])-MAX(deb_dimJF,Horaires35673[[#This Row],[début]])),0)+IF(COUNTIF(JF,Horaires35673[[#This Row],[Date]]+1),MAX(0,Horaires35673[[#This Row],[Fin corrigée si nuit]]-(1+deb_dimJF)),0))*24</f>
        <v>0</v>
      </c>
      <c r="S48"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49" spans="1:19" ht="15" thickBot="1" x14ac:dyDescent="0.4">
      <c r="A49" s="9"/>
      <c r="B49" s="1"/>
      <c r="C49" s="2"/>
      <c r="D49" s="2"/>
      <c r="E49" s="3"/>
      <c r="F49" s="3"/>
      <c r="G49" s="3"/>
      <c r="H49" s="3"/>
      <c r="I49" s="57">
        <f>0.1*(Horaires35673[[#This Row],[Heures de nuit]]+Horaires35673[[#This Row],[heures jour dimanche]]+Horaires35673[[#This Row],[heures jour fériés]])</f>
        <v>0</v>
      </c>
      <c r="J49" s="58">
        <f>(MOD(Horaires35673[[#This Row],[Fin]]-Horaires35673[[#This Row],[début]],1)-MOD(Horaires35673[[#This Row],[PNP Fin]]-Horaires35673[[#This Row],[PNP Début]],1))*24</f>
        <v>0</v>
      </c>
      <c r="K49" s="59">
        <f>IF(Horaires35673[[#This Row],[PNP Début]]=0,0,IF(Horaires35673[[#This Row],[PNP Début]]&lt;Horaires35673[[#This Row],[début]],1,0)+Horaires35673[[#This Row],[PNP Début]])</f>
        <v>0</v>
      </c>
      <c r="L49" s="60">
        <f>IF(Horaires35673[[#This Row],[PNP Fin]]=0,0,IF(Horaires35673[[#This Row],[PNP Fin]]&lt;Horaires35673[[#This Row],[début]],1,0)+Horaires35673[[#This Row],[PNP Fin]])</f>
        <v>0</v>
      </c>
      <c r="M49" s="60">
        <f>IF(Horaires35673[[#This Row],[Fin]]&lt;Horaires35673[[#This Row],[début]],1,0)+Horaires35673[[#This Row],[Fin]]</f>
        <v>0</v>
      </c>
      <c r="N49" s="61">
        <f>MAX(0,MIN(Horaires35673[[#This Row],[Fin corrigée si nuit]],fin_nuit)-MAX(Horaires35673[[#This Row],[début]],deb_nuit))*24</f>
        <v>0</v>
      </c>
      <c r="O49" s="62">
        <f>(MAX(0,MIN(Horaires35673[[#This Row],[Fin corrigée si nuit]],fin_nuit)-MAX(Horaires35673[[#This Row],[début]],deb_nuit))-IF(Horaires35673[[#This Row],[PNP Début]]=0,0,MIN(Horaires35673[[#This Row],[PNP Fin corrigée]],fin_nuit)-MAX(Horaires35673[[#This Row],[PNP Début corrigé]],deb_nuit)))*24</f>
        <v>0</v>
      </c>
      <c r="P49" s="62">
        <f>(IF(WEEKDAY(Horaires35673[[#This Row],[Date]],2)=7,MAX(0,MIN(fin_dimJF,Horaires35673[[#This Row],[Fin corrigée si nuit]])-MAX(deb_dimJF,Horaires35673[[#This Row],[début]])),0)+IF(WEEKDAY(Horaires35673[[#This Row],[Date]],2)=6,MAX(0,Horaires35673[[#This Row],[Fin corrigée si nuit]]-(1+deb_dimJF)),0))*24</f>
        <v>0</v>
      </c>
      <c r="Q49" s="62">
        <f>(IF(WEEKDAY(Horaires35673[[#This Row],[Date]],2)=7,MAX(0,MIN(fin_dimJF,Horaires35673[[#This Row],[Fin corrigée si nuit]])-MAX(deb_dimJF,Horaires35673[[#This Row],[début]])),0)+IF(WEEKDAY(Horaires35673[[#This Row],[Date]],2)=6,MAX(0,Horaires35673[[#This Row],[Fin corrigée si nuit]]-(1+deb_dimJF)),0))*24-
(IF(WEEKDAY(Horaires35673[[#This Row],[Date]],2)=7,MAX(0,MIN(fin_dimJF,Horaires35673[[#This Row],[PNP Fin corrigée]])-MAX(deb_dimJF,Horaires35673[[#This Row],[PNP Début corrigé]])),0)+IF(WEEKDAY(Horaires35673[[#This Row],[Date]],2)=6,MAX(0,Horaires35673[[#This Row],[PNP Fin corrigée]]-(1+deb_dimJF)),0))*24</f>
        <v>0</v>
      </c>
      <c r="R49" s="62">
        <f>(IF(COUNTIF(JF,Horaires35673[[#This Row],[Date]]),MAX(0,MIN(fin_dimJF,Horaires35673[[#This Row],[Fin corrigée si nuit]])-MAX(deb_dimJF,Horaires35673[[#This Row],[début]])),0)+IF(COUNTIF(JF,Horaires35673[[#This Row],[Date]]+1),MAX(0,Horaires35673[[#This Row],[Fin corrigée si nuit]]-(1+deb_dimJF)),0))*24</f>
        <v>0</v>
      </c>
      <c r="S49" s="62">
        <f>(IF(COUNTIF(JF,Horaires35673[[#This Row],[Date]]),MAX(0,MIN(fin_dimJF,Horaires35673[[#This Row],[Fin corrigée si nuit]])-MAX(deb_dimJF,Horaires35673[[#This Row],[début]])),0)+IF(COUNTIF(JF,Horaires35673[[#This Row],[Date]]+1),MAX(0,Horaires35673[[#This Row],[Fin corrigée si nuit]]-(1+deb_dimJF)),0))*24-
(IF(COUNTIF(JF,Horaires35673[[#This Row],[Date]]),MAX(0,MIN(fin_dimJF,Horaires35673[[#This Row],[PNP Fin corrigée]])-MAX(deb_dimJF,Horaires35673[[#This Row],[PNP Début corrigé]])),0)+IF(COUNTIF(JF,Horaires35673[[#This Row],[Date]]+1),MAX(0,Horaires35673[[#This Row],[PNP Fin corrigée]]-(1+deb_dimJF)),0))*24</f>
        <v>0</v>
      </c>
    </row>
    <row r="50" spans="1:19" ht="16" thickBot="1" x14ac:dyDescent="0.4">
      <c r="A50" s="63"/>
      <c r="B50" s="25"/>
      <c r="C50" s="25"/>
      <c r="D50" s="25"/>
      <c r="E50" s="106" t="s">
        <v>32</v>
      </c>
      <c r="F50" s="107"/>
      <c r="G50" s="107"/>
      <c r="H50" s="108"/>
      <c r="I50" s="64">
        <f>SUM(Horaires35673[Majoration])</f>
        <v>0</v>
      </c>
      <c r="J50" s="65">
        <f>SUM(Horaires35673[Heures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allowBlank="1" showInputMessage="1" showErrorMessage="1" error="Tapez les heures sous le format_x000a_00:00" sqref="K12:N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rintOptions horizontalCentered="1"/>
  <pageMargins left="0" right="0" top="0" bottom="0" header="0" footer="0"/>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S60"/>
  <sheetViews>
    <sheetView workbookViewId="0">
      <selection activeCell="A5" sqref="A5:B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0.1*(Horaires356734[[#This Row],[Heures de nuit]]+Horaires356734[[#This Row],[heures jour dimanche]]+Horaires356734[[#This Row],[heures jour fériés]])</f>
        <v>0</v>
      </c>
      <c r="J13" s="39">
        <f>(MOD(Horaires356734[[#This Row],[Fin]]-Horaires356734[[#This Row],[début]],1)-MOD(Horaires356734[[#This Row],[PNP Fin]]-Horaires356734[[#This Row],[PNP Début]],1))*24</f>
        <v>0</v>
      </c>
      <c r="K13" s="40">
        <f>IF(Horaires356734[[#This Row],[PNP Début]]=0,0,IF(Horaires356734[[#This Row],[PNP Début]]&lt;Horaires356734[[#This Row],[début]],1,0)+Horaires356734[[#This Row],[PNP Début]])</f>
        <v>0</v>
      </c>
      <c r="L13" s="40">
        <f>IF(Horaires356734[[#This Row],[PNP Fin]]=0,0,IF(Horaires356734[[#This Row],[PNP Fin]]&lt;Horaires356734[[#This Row],[début]],1,0)+Horaires356734[[#This Row],[PNP Fin]])</f>
        <v>0</v>
      </c>
      <c r="M13" s="40">
        <f>IF(Horaires356734[[#This Row],[Fin]]&lt;Horaires356734[[#This Row],[début]],1,0)+Horaires356734[[#This Row],[Fin]]</f>
        <v>0</v>
      </c>
      <c r="N13" s="41">
        <f>MAX(0,MIN(Horaires356734[[#This Row],[Fin corrigée si nuit]],fin_nuit)-MAX(Horaires356734[[#This Row],[début]],deb_nuit))*24</f>
        <v>0</v>
      </c>
      <c r="O13" s="41">
        <f>(MAX(0,MIN(Horaires356734[[#This Row],[Fin corrigée si nuit]],fin_nuit)-MAX(Horaires356734[[#This Row],[début]],deb_nuit))-IF(Horaires356734[[#This Row],[PNP Début]]=0,0,MIN(Horaires356734[[#This Row],[PNP Fin corrigée]],fin_nuit)-MAX(Horaires356734[[#This Row],[PNP Début corrigé]],deb_nuit)))*24</f>
        <v>0</v>
      </c>
      <c r="P13" s="41">
        <f>(IF(WEEKDAY(Horaires356734[[#This Row],[Date]],2)=7,MAX(0,MIN(fin_dimJF,Horaires356734[[#This Row],[Fin corrigée si nuit]])-MAX(deb_dimJF,Horaires356734[[#This Row],[début]])),0)+IF(WEEKDAY(Horaires356734[[#This Row],[Date]],2)=6,MAX(0,Horaires356734[[#This Row],[Fin corrigée si nuit]]-(1+deb_dimJF)),0))*24</f>
        <v>0</v>
      </c>
      <c r="Q13" s="4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13" s="42">
        <f>(IF(COUNTIF(JF,Horaires356734[[#This Row],[Date]]),MAX(0,MIN(fin_dimJF,Horaires356734[[#This Row],[Fin corrigée si nuit]])-MAX(deb_dimJF,Horaires356734[[#This Row],[début]])),0)+IF(COUNTIF(JF,Horaires356734[[#This Row],[Date]]+1),MAX(0,Horaires356734[[#This Row],[Fin corrigée si nuit]]-(1+deb_dimJF)),0))*24</f>
        <v>0</v>
      </c>
      <c r="S13" s="4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14" spans="1:19" x14ac:dyDescent="0.35">
      <c r="A14" s="9"/>
      <c r="B14" s="1"/>
      <c r="C14" s="2"/>
      <c r="D14" s="2"/>
      <c r="E14" s="3"/>
      <c r="F14" s="3"/>
      <c r="G14" s="3"/>
      <c r="H14" s="3"/>
      <c r="I14" s="38">
        <f>0.1*(Horaires356734[[#This Row],[Heures de nuit]]+Horaires356734[[#This Row],[heures jour dimanche]]+Horaires356734[[#This Row],[heures jour fériés]])</f>
        <v>0</v>
      </c>
      <c r="J14" s="39">
        <f>(MOD(Horaires356734[[#This Row],[Fin]]-Horaires356734[[#This Row],[début]],1)-MOD(Horaires356734[[#This Row],[PNP Fin]]-Horaires356734[[#This Row],[PNP Début]],1))*24</f>
        <v>0</v>
      </c>
      <c r="K14" s="40">
        <f>IF(Horaires356734[[#This Row],[PNP Début]]=0,0,IF(Horaires356734[[#This Row],[PNP Début]]&lt;Horaires356734[[#This Row],[début]],1,0)+Horaires356734[[#This Row],[PNP Début]])</f>
        <v>0</v>
      </c>
      <c r="L14" s="40">
        <f>IF(Horaires356734[[#This Row],[PNP Fin]]=0,0,IF(Horaires356734[[#This Row],[PNP Fin]]&lt;Horaires356734[[#This Row],[début]],1,0)+Horaires356734[[#This Row],[PNP Fin]])</f>
        <v>0</v>
      </c>
      <c r="M14" s="40">
        <f>IF(Horaires356734[[#This Row],[Fin]]&lt;Horaires356734[[#This Row],[début]],1,0)+Horaires356734[[#This Row],[Fin]]</f>
        <v>0</v>
      </c>
      <c r="N14" s="41">
        <f>MAX(0,MIN(Horaires356734[[#This Row],[Fin corrigée si nuit]],fin_nuit)-MAX(Horaires356734[[#This Row],[début]],deb_nuit))*24</f>
        <v>0</v>
      </c>
      <c r="O14" s="41">
        <f>(MAX(0,MIN(Horaires356734[[#This Row],[Fin corrigée si nuit]],fin_nuit)-MAX(Horaires356734[[#This Row],[début]],deb_nuit))-IF(Horaires356734[[#This Row],[PNP Début]]=0,0,MIN(Horaires356734[[#This Row],[PNP Fin corrigée]],fin_nuit)-MAX(Horaires356734[[#This Row],[PNP Début corrigé]],deb_nuit)))*24</f>
        <v>0</v>
      </c>
      <c r="P14" s="41">
        <f>(IF(WEEKDAY(Horaires356734[[#This Row],[Date]],2)=7,MAX(0,MIN(fin_dimJF,Horaires356734[[#This Row],[Fin corrigée si nuit]])-MAX(deb_dimJF,Horaires356734[[#This Row],[début]])),0)+IF(WEEKDAY(Horaires356734[[#This Row],[Date]],2)=6,MAX(0,Horaires356734[[#This Row],[Fin corrigée si nuit]]-(1+deb_dimJF)),0))*24</f>
        <v>0</v>
      </c>
      <c r="Q14" s="4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14" s="42">
        <f>(IF(COUNTIF(JF,Horaires356734[[#This Row],[Date]]),MAX(0,MIN(fin_dimJF,Horaires356734[[#This Row],[Fin corrigée si nuit]])-MAX(deb_dimJF,Horaires356734[[#This Row],[début]])),0)+IF(COUNTIF(JF,Horaires356734[[#This Row],[Date]]+1),MAX(0,Horaires356734[[#This Row],[Fin corrigée si nuit]]-(1+deb_dimJF)),0))*24</f>
        <v>0</v>
      </c>
      <c r="S14" s="4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15" spans="1:19" x14ac:dyDescent="0.35">
      <c r="A15" s="9"/>
      <c r="B15" s="1"/>
      <c r="C15" s="2"/>
      <c r="D15" s="2"/>
      <c r="E15" s="3"/>
      <c r="F15" s="3"/>
      <c r="G15" s="3"/>
      <c r="H15" s="3"/>
      <c r="I15" s="38">
        <f>0.1*(Horaires356734[[#This Row],[Heures de nuit]]+Horaires356734[[#This Row],[heures jour dimanche]]+Horaires356734[[#This Row],[heures jour fériés]])</f>
        <v>0</v>
      </c>
      <c r="J15" s="39">
        <f>(MOD(Horaires356734[[#This Row],[Fin]]-Horaires356734[[#This Row],[début]],1)-MOD(Horaires356734[[#This Row],[PNP Fin]]-Horaires356734[[#This Row],[PNP Début]],1))*24</f>
        <v>0</v>
      </c>
      <c r="K15" s="40">
        <f>IF(Horaires356734[[#This Row],[PNP Début]]=0,0,IF(Horaires356734[[#This Row],[PNP Début]]&lt;Horaires356734[[#This Row],[début]],1,0)+Horaires356734[[#This Row],[PNP Début]])</f>
        <v>0</v>
      </c>
      <c r="L15" s="40">
        <f>IF(Horaires356734[[#This Row],[PNP Fin]]=0,0,IF(Horaires356734[[#This Row],[PNP Fin]]&lt;Horaires356734[[#This Row],[début]],1,0)+Horaires356734[[#This Row],[PNP Fin]])</f>
        <v>0</v>
      </c>
      <c r="M15" s="40">
        <f>IF(Horaires356734[[#This Row],[Fin]]&lt;Horaires356734[[#This Row],[début]],1,0)+Horaires356734[[#This Row],[Fin]]</f>
        <v>0</v>
      </c>
      <c r="N15" s="41">
        <f>MAX(0,MIN(Horaires356734[[#This Row],[Fin corrigée si nuit]],fin_nuit)-MAX(Horaires356734[[#This Row],[début]],deb_nuit))*24</f>
        <v>0</v>
      </c>
      <c r="O15" s="41">
        <f>(MAX(0,MIN(Horaires356734[[#This Row],[Fin corrigée si nuit]],fin_nuit)-MAX(Horaires356734[[#This Row],[début]],deb_nuit))-IF(Horaires356734[[#This Row],[PNP Début]]=0,0,MIN(Horaires356734[[#This Row],[PNP Fin corrigée]],fin_nuit)-MAX(Horaires356734[[#This Row],[PNP Début corrigé]],deb_nuit)))*24</f>
        <v>0</v>
      </c>
      <c r="P15" s="41">
        <f>(IF(WEEKDAY(Horaires356734[[#This Row],[Date]],2)=7,MAX(0,MIN(fin_dimJF,Horaires356734[[#This Row],[Fin corrigée si nuit]])-MAX(deb_dimJF,Horaires356734[[#This Row],[début]])),0)+IF(WEEKDAY(Horaires356734[[#This Row],[Date]],2)=6,MAX(0,Horaires356734[[#This Row],[Fin corrigée si nuit]]-(1+deb_dimJF)),0))*24</f>
        <v>0</v>
      </c>
      <c r="Q15" s="4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15" s="42">
        <f>(IF(COUNTIF(JF,Horaires356734[[#This Row],[Date]]),MAX(0,MIN(fin_dimJF,Horaires356734[[#This Row],[Fin corrigée si nuit]])-MAX(deb_dimJF,Horaires356734[[#This Row],[début]])),0)+IF(COUNTIF(JF,Horaires356734[[#This Row],[Date]]+1),MAX(0,Horaires356734[[#This Row],[Fin corrigée si nuit]]-(1+deb_dimJF)),0))*24</f>
        <v>0</v>
      </c>
      <c r="S15" s="4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16" spans="1:19" x14ac:dyDescent="0.35">
      <c r="A16" s="9"/>
      <c r="B16" s="10"/>
      <c r="C16" s="2"/>
      <c r="D16" s="2"/>
      <c r="E16" s="3"/>
      <c r="F16" s="3"/>
      <c r="G16" s="11"/>
      <c r="H16" s="11"/>
      <c r="I16" s="38">
        <f>0.1*(Horaires356734[[#This Row],[Heures de nuit]]+Horaires356734[[#This Row],[heures jour dimanche]]+Horaires356734[[#This Row],[heures jour fériés]])</f>
        <v>0</v>
      </c>
      <c r="J16" s="43">
        <f>(MOD(Horaires356734[[#This Row],[Fin]]-Horaires356734[[#This Row],[début]],1)-MOD(Horaires356734[[#This Row],[PNP Fin]]-Horaires356734[[#This Row],[PNP Début]],1))*24</f>
        <v>0</v>
      </c>
      <c r="K16" s="40">
        <f>IF(Horaires356734[[#This Row],[PNP Début]]=0,0,IF(Horaires356734[[#This Row],[PNP Début]]&lt;Horaires356734[[#This Row],[début]],1,0)+Horaires356734[[#This Row],[PNP Début]])</f>
        <v>0</v>
      </c>
      <c r="L16" s="40">
        <f>IF(Horaires356734[[#This Row],[PNP Fin]]=0,0,IF(Horaires356734[[#This Row],[PNP Fin]]&lt;Horaires356734[[#This Row],[début]],1,0)+Horaires356734[[#This Row],[PNP Fin]])</f>
        <v>0</v>
      </c>
      <c r="M16" s="44">
        <f>IF(Horaires356734[[#This Row],[Fin]]&lt;Horaires356734[[#This Row],[début]],1,0)+Horaires356734[[#This Row],[Fin]]</f>
        <v>0</v>
      </c>
      <c r="N16" s="41">
        <f>MAX(0,MIN(Horaires356734[[#This Row],[Fin corrigée si nuit]],fin_nuit)-MAX(Horaires356734[[#This Row],[début]],deb_nuit))*24</f>
        <v>0</v>
      </c>
      <c r="O16" s="45">
        <f>(MAX(0,MIN(Horaires356734[[#This Row],[Fin corrigée si nuit]],fin_nuit)-MAX(Horaires356734[[#This Row],[début]],deb_nuit))-IF(Horaires356734[[#This Row],[PNP Début]]=0,0,MIN(Horaires356734[[#This Row],[PNP Fin corrigée]],fin_nuit)-MAX(Horaires356734[[#This Row],[PNP Début corrigé]],deb_nuit)))*24</f>
        <v>0</v>
      </c>
      <c r="P16" s="45">
        <f>(IF(WEEKDAY(Horaires356734[[#This Row],[Date]],2)=7,MAX(0,MIN(fin_dimJF,Horaires356734[[#This Row],[Fin corrigée si nuit]])-MAX(deb_dimJF,Horaires356734[[#This Row],[début]])),0)+IF(WEEKDAY(Horaires356734[[#This Row],[Date]],2)=6,MAX(0,Horaires356734[[#This Row],[Fin corrigée si nuit]]-(1+deb_dimJF)),0))*24</f>
        <v>0</v>
      </c>
      <c r="Q16" s="4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16" s="46">
        <f>(IF(COUNTIF(JF,Horaires356734[[#This Row],[Date]]),MAX(0,MIN(fin_dimJF,Horaires356734[[#This Row],[Fin corrigée si nuit]])-MAX(deb_dimJF,Horaires356734[[#This Row],[début]])),0)+IF(COUNTIF(JF,Horaires356734[[#This Row],[Date]]+1),MAX(0,Horaires356734[[#This Row],[Fin corrigée si nuit]]-(1+deb_dimJF)),0))*24</f>
        <v>0</v>
      </c>
      <c r="S16" s="46">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17" spans="1:19" x14ac:dyDescent="0.35">
      <c r="A17" s="9"/>
      <c r="B17" s="1"/>
      <c r="C17" s="2"/>
      <c r="D17" s="2"/>
      <c r="E17" s="3"/>
      <c r="F17" s="3"/>
      <c r="G17" s="17"/>
      <c r="H17" s="17"/>
      <c r="I17" s="47">
        <f>0.1*(Horaires356734[[#This Row],[Heures de nuit]]+Horaires356734[[#This Row],[heures jour dimanche]]+Horaires356734[[#This Row],[heures jour fériés]])</f>
        <v>0</v>
      </c>
      <c r="J17" s="48">
        <f>(MOD(Horaires356734[[#This Row],[Fin]]-Horaires356734[[#This Row],[début]],1)-MOD(Horaires356734[[#This Row],[PNP Fin]]-Horaires356734[[#This Row],[PNP Début]],1))*24</f>
        <v>0</v>
      </c>
      <c r="K17" s="49">
        <f>IF(Horaires356734[[#This Row],[PNP Début]]=0,0,IF(Horaires356734[[#This Row],[PNP Début]]&lt;Horaires356734[[#This Row],[début]],1,0)+Horaires356734[[#This Row],[PNP Début]])</f>
        <v>0</v>
      </c>
      <c r="L17" s="50">
        <f>IF(Horaires356734[[#This Row],[PNP Fin]]=0,0,IF(Horaires356734[[#This Row],[PNP Fin]]&lt;Horaires356734[[#This Row],[début]],1,0)+Horaires356734[[#This Row],[PNP Fin]])</f>
        <v>0</v>
      </c>
      <c r="M17" s="50">
        <f>IF(Horaires356734[[#This Row],[Fin]]&lt;Horaires356734[[#This Row],[début]],1,0)+Horaires356734[[#This Row],[Fin]]</f>
        <v>0</v>
      </c>
      <c r="N17" s="41">
        <f>MAX(0,MIN(Horaires356734[[#This Row],[Fin corrigée si nuit]],fin_nuit)-MAX(Horaires356734[[#This Row],[début]],deb_nuit))*24</f>
        <v>0</v>
      </c>
      <c r="O17" s="51">
        <f>(MAX(0,MIN(Horaires356734[[#This Row],[Fin corrigée si nuit]],fin_nuit)-MAX(Horaires356734[[#This Row],[début]],deb_nuit))-IF(Horaires356734[[#This Row],[PNP Début]]=0,0,MIN(Horaires356734[[#This Row],[PNP Fin corrigée]],fin_nuit)-MAX(Horaires356734[[#This Row],[PNP Début corrigé]],deb_nuit)))*24</f>
        <v>0</v>
      </c>
      <c r="P17" s="51">
        <f>(IF(WEEKDAY(Horaires356734[[#This Row],[Date]],2)=7,MAX(0,MIN(fin_dimJF,Horaires356734[[#This Row],[Fin corrigée si nuit]])-MAX(deb_dimJF,Horaires356734[[#This Row],[début]])),0)+IF(WEEKDAY(Horaires356734[[#This Row],[Date]],2)=6,MAX(0,Horaires356734[[#This Row],[Fin corrigée si nuit]]-(1+deb_dimJF)),0))*24</f>
        <v>0</v>
      </c>
      <c r="Q17" s="5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17" s="51">
        <f>(IF(COUNTIF(JF,Horaires356734[[#This Row],[Date]]),MAX(0,MIN(fin_dimJF,Horaires356734[[#This Row],[Fin corrigée si nuit]])-MAX(deb_dimJF,Horaires356734[[#This Row],[début]])),0)+IF(COUNTIF(JF,Horaires356734[[#This Row],[Date]]+1),MAX(0,Horaires356734[[#This Row],[Fin corrigée si nuit]]-(1+deb_dimJF)),0))*24</f>
        <v>0</v>
      </c>
      <c r="S17" s="51">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18" spans="1:19" x14ac:dyDescent="0.35">
      <c r="A18" s="9"/>
      <c r="B18" s="69"/>
      <c r="C18" s="16"/>
      <c r="D18" s="16"/>
      <c r="E18" s="17"/>
      <c r="F18" s="17"/>
      <c r="G18" s="17"/>
      <c r="H18" s="17"/>
      <c r="I18" s="47">
        <f>0.1*(Horaires356734[[#This Row],[Heures de nuit]]+Horaires356734[[#This Row],[heures jour dimanche]]+Horaires356734[[#This Row],[heures jour fériés]])</f>
        <v>0</v>
      </c>
      <c r="J18" s="48">
        <f>(MOD(Horaires356734[[#This Row],[Fin]]-Horaires356734[[#This Row],[début]],1)-MOD(Horaires356734[[#This Row],[PNP Fin]]-Horaires356734[[#This Row],[PNP Début]],1))*24</f>
        <v>0</v>
      </c>
      <c r="K18" s="49">
        <f>IF(Horaires356734[[#This Row],[PNP Début]]=0,0,IF(Horaires356734[[#This Row],[PNP Début]]&lt;Horaires356734[[#This Row],[début]],1,0)+Horaires356734[[#This Row],[PNP Début]])</f>
        <v>0</v>
      </c>
      <c r="L18" s="50">
        <f>IF(Horaires356734[[#This Row],[PNP Fin]]=0,0,IF(Horaires356734[[#This Row],[PNP Fin]]&lt;Horaires356734[[#This Row],[début]],1,0)+Horaires356734[[#This Row],[PNP Fin]])</f>
        <v>0</v>
      </c>
      <c r="M18" s="50">
        <f>IF(Horaires356734[[#This Row],[Fin]]&lt;Horaires356734[[#This Row],[début]],1,0)+Horaires356734[[#This Row],[Fin]]</f>
        <v>0</v>
      </c>
      <c r="N18" s="41">
        <f>MAX(0,MIN(Horaires356734[[#This Row],[Fin corrigée si nuit]],fin_nuit)-MAX(Horaires356734[[#This Row],[début]],deb_nuit))*24</f>
        <v>0</v>
      </c>
      <c r="O18" s="51">
        <f>(MAX(0,MIN(Horaires356734[[#This Row],[Fin corrigée si nuit]],fin_nuit)-MAX(Horaires356734[[#This Row],[début]],deb_nuit))-IF(Horaires356734[[#This Row],[PNP Début]]=0,0,MIN(Horaires356734[[#This Row],[PNP Fin corrigée]],fin_nuit)-MAX(Horaires356734[[#This Row],[PNP Début corrigé]],deb_nuit)))*24</f>
        <v>0</v>
      </c>
      <c r="P18" s="51">
        <f>(IF(WEEKDAY(Horaires356734[[#This Row],[Date]],2)=7,MAX(0,MIN(fin_dimJF,Horaires356734[[#This Row],[Fin corrigée si nuit]])-MAX(deb_dimJF,Horaires356734[[#This Row],[début]])),0)+IF(WEEKDAY(Horaires356734[[#This Row],[Date]],2)=6,MAX(0,Horaires356734[[#This Row],[Fin corrigée si nuit]]-(1+deb_dimJF)),0))*24</f>
        <v>0</v>
      </c>
      <c r="Q18" s="5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18" s="51">
        <f>(IF(COUNTIF(JF,Horaires356734[[#This Row],[Date]]),MAX(0,MIN(fin_dimJF,Horaires356734[[#This Row],[Fin corrigée si nuit]])-MAX(deb_dimJF,Horaires356734[[#This Row],[début]])),0)+IF(COUNTIF(JF,Horaires356734[[#This Row],[Date]]+1),MAX(0,Horaires356734[[#This Row],[Fin corrigée si nuit]]-(1+deb_dimJF)),0))*24</f>
        <v>0</v>
      </c>
      <c r="S18" s="51">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19" spans="1:19" x14ac:dyDescent="0.35">
      <c r="A19" s="9"/>
      <c r="B19" s="1"/>
      <c r="C19" s="16"/>
      <c r="D19" s="16"/>
      <c r="E19" s="3"/>
      <c r="F19" s="3"/>
      <c r="G19" s="17"/>
      <c r="H19" s="17"/>
      <c r="I19" s="47">
        <f>0.1*(Horaires356734[[#This Row],[Heures de nuit]]+Horaires356734[[#This Row],[heures jour dimanche]]+Horaires356734[[#This Row],[heures jour fériés]])</f>
        <v>0</v>
      </c>
      <c r="J19" s="48">
        <f>(MOD(Horaires356734[[#This Row],[Fin]]-Horaires356734[[#This Row],[début]],1)-MOD(Horaires356734[[#This Row],[PNP Fin]]-Horaires356734[[#This Row],[PNP Début]],1))*24</f>
        <v>0</v>
      </c>
      <c r="K19" s="49">
        <f>IF(Horaires356734[[#This Row],[PNP Début]]=0,0,IF(Horaires356734[[#This Row],[PNP Début]]&lt;Horaires356734[[#This Row],[début]],1,0)+Horaires356734[[#This Row],[PNP Début]])</f>
        <v>0</v>
      </c>
      <c r="L19" s="50">
        <f>IF(Horaires356734[[#This Row],[PNP Fin]]=0,0,IF(Horaires356734[[#This Row],[PNP Fin]]&lt;Horaires356734[[#This Row],[début]],1,0)+Horaires356734[[#This Row],[PNP Fin]])</f>
        <v>0</v>
      </c>
      <c r="M19" s="50">
        <f>IF(Horaires356734[[#This Row],[Fin]]&lt;Horaires356734[[#This Row],[début]],1,0)+Horaires356734[[#This Row],[Fin]]</f>
        <v>0</v>
      </c>
      <c r="N19" s="41">
        <f>MAX(0,MIN(Horaires356734[[#This Row],[Fin corrigée si nuit]],fin_nuit)-MAX(Horaires356734[[#This Row],[début]],deb_nuit))*24</f>
        <v>0</v>
      </c>
      <c r="O19" s="51">
        <f>(MAX(0,MIN(Horaires356734[[#This Row],[Fin corrigée si nuit]],fin_nuit)-MAX(Horaires356734[[#This Row],[début]],deb_nuit))-IF(Horaires356734[[#This Row],[PNP Début]]=0,0,MIN(Horaires356734[[#This Row],[PNP Fin corrigée]],fin_nuit)-MAX(Horaires356734[[#This Row],[PNP Début corrigé]],deb_nuit)))*24</f>
        <v>0</v>
      </c>
      <c r="P19" s="51">
        <f>(IF(WEEKDAY(Horaires356734[[#This Row],[Date]],2)=7,MAX(0,MIN(fin_dimJF,Horaires356734[[#This Row],[Fin corrigée si nuit]])-MAX(deb_dimJF,Horaires356734[[#This Row],[début]])),0)+IF(WEEKDAY(Horaires356734[[#This Row],[Date]],2)=6,MAX(0,Horaires356734[[#This Row],[Fin corrigée si nuit]]-(1+deb_dimJF)),0))*24</f>
        <v>0</v>
      </c>
      <c r="Q19" s="5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19" s="51">
        <f>(IF(COUNTIF(JF,Horaires356734[[#This Row],[Date]]),MAX(0,MIN(fin_dimJF,Horaires356734[[#This Row],[Fin corrigée si nuit]])-MAX(deb_dimJF,Horaires356734[[#This Row],[début]])),0)+IF(COUNTIF(JF,Horaires356734[[#This Row],[Date]]+1),MAX(0,Horaires356734[[#This Row],[Fin corrigée si nuit]]-(1+deb_dimJF)),0))*24</f>
        <v>0</v>
      </c>
      <c r="S19" s="51">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0" spans="1:19" x14ac:dyDescent="0.35">
      <c r="A20" s="9"/>
      <c r="B20" s="1"/>
      <c r="C20" s="16"/>
      <c r="D20" s="16"/>
      <c r="E20" s="17"/>
      <c r="F20" s="17"/>
      <c r="G20" s="17"/>
      <c r="H20" s="17"/>
      <c r="I20" s="47">
        <f>0.1*(Horaires356734[[#This Row],[Heures de nuit]]+Horaires356734[[#This Row],[heures jour dimanche]]+Horaires356734[[#This Row],[heures jour fériés]])</f>
        <v>0</v>
      </c>
      <c r="J20" s="48">
        <f>(MOD(Horaires356734[[#This Row],[Fin]]-Horaires356734[[#This Row],[début]],1)-MOD(Horaires356734[[#This Row],[PNP Fin]]-Horaires356734[[#This Row],[PNP Début]],1))*24</f>
        <v>0</v>
      </c>
      <c r="K20" s="49">
        <f>IF(Horaires356734[[#This Row],[PNP Début]]=0,0,IF(Horaires356734[[#This Row],[PNP Début]]&lt;Horaires356734[[#This Row],[début]],1,0)+Horaires356734[[#This Row],[PNP Début]])</f>
        <v>0</v>
      </c>
      <c r="L20" s="50">
        <f>IF(Horaires356734[[#This Row],[PNP Fin]]=0,0,IF(Horaires356734[[#This Row],[PNP Fin]]&lt;Horaires356734[[#This Row],[début]],1,0)+Horaires356734[[#This Row],[PNP Fin]])</f>
        <v>0</v>
      </c>
      <c r="M20" s="50">
        <f>IF(Horaires356734[[#This Row],[Fin]]&lt;Horaires356734[[#This Row],[début]],1,0)+Horaires356734[[#This Row],[Fin]]</f>
        <v>0</v>
      </c>
      <c r="N20" s="41">
        <f>MAX(0,MIN(Horaires356734[[#This Row],[Fin corrigée si nuit]],fin_nuit)-MAX(Horaires356734[[#This Row],[début]],deb_nuit))*24</f>
        <v>0</v>
      </c>
      <c r="O20" s="51">
        <f>(MAX(0,MIN(Horaires356734[[#This Row],[Fin corrigée si nuit]],fin_nuit)-MAX(Horaires356734[[#This Row],[début]],deb_nuit))-IF(Horaires356734[[#This Row],[PNP Début]]=0,0,MIN(Horaires356734[[#This Row],[PNP Fin corrigée]],fin_nuit)-MAX(Horaires356734[[#This Row],[PNP Début corrigé]],deb_nuit)))*24</f>
        <v>0</v>
      </c>
      <c r="P20" s="51">
        <f>(IF(WEEKDAY(Horaires356734[[#This Row],[Date]],2)=7,MAX(0,MIN(fin_dimJF,Horaires356734[[#This Row],[Fin corrigée si nuit]])-MAX(deb_dimJF,Horaires356734[[#This Row],[début]])),0)+IF(WEEKDAY(Horaires356734[[#This Row],[Date]],2)=6,MAX(0,Horaires356734[[#This Row],[Fin corrigée si nuit]]-(1+deb_dimJF)),0))*24</f>
        <v>0</v>
      </c>
      <c r="Q20" s="51">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0" s="51">
        <f>(IF(COUNTIF(JF,Horaires356734[[#This Row],[Date]]),MAX(0,MIN(fin_dimJF,Horaires356734[[#This Row],[Fin corrigée si nuit]])-MAX(deb_dimJF,Horaires356734[[#This Row],[début]])),0)+IF(COUNTIF(JF,Horaires356734[[#This Row],[Date]]+1),MAX(0,Horaires356734[[#This Row],[Fin corrigée si nuit]]-(1+deb_dimJF)),0))*24</f>
        <v>0</v>
      </c>
      <c r="S20" s="51">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1" spans="1:19" x14ac:dyDescent="0.35">
      <c r="A21" s="9"/>
      <c r="B21" s="10"/>
      <c r="C21" s="18"/>
      <c r="D21" s="18"/>
      <c r="E21" s="3"/>
      <c r="F21" s="3"/>
      <c r="G21" s="19"/>
      <c r="H21" s="19"/>
      <c r="I21" s="52">
        <f>0.1*(Horaires356734[[#This Row],[Heures de nuit]]+Horaires356734[[#This Row],[heures jour dimanche]]+Horaires356734[[#This Row],[heures jour fériés]])</f>
        <v>0</v>
      </c>
      <c r="J21" s="53">
        <f>(MOD(Horaires356734[[#This Row],[Fin]]-Horaires356734[[#This Row],[début]],1)-MOD(Horaires356734[[#This Row],[PNP Fin]]-Horaires356734[[#This Row],[PNP Début]],1))*24</f>
        <v>0</v>
      </c>
      <c r="K21" s="54">
        <f>IF(Horaires356734[[#This Row],[PNP Début]]=0,0,IF(Horaires356734[[#This Row],[PNP Début]]&lt;Horaires356734[[#This Row],[début]],1,0)+Horaires356734[[#This Row],[PNP Début]])</f>
        <v>0</v>
      </c>
      <c r="L21" s="55">
        <f>IF(Horaires356734[[#This Row],[PNP Fin]]=0,0,IF(Horaires356734[[#This Row],[PNP Fin]]&lt;Horaires356734[[#This Row],[début]],1,0)+Horaires356734[[#This Row],[PNP Fin]])</f>
        <v>0</v>
      </c>
      <c r="M21" s="55">
        <f>IF(Horaires356734[[#This Row],[Fin]]&lt;Horaires356734[[#This Row],[début]],1,0)+Horaires356734[[#This Row],[Fin]]</f>
        <v>0</v>
      </c>
      <c r="N21" s="41">
        <f>MAX(0,MIN(Horaires356734[[#This Row],[Fin corrigée si nuit]],fin_nuit)-MAX(Horaires356734[[#This Row],[début]],deb_nuit))*24</f>
        <v>0</v>
      </c>
      <c r="O21" s="56">
        <f>(MAX(0,MIN(Horaires356734[[#This Row],[Fin corrigée si nuit]],fin_nuit)-MAX(Horaires356734[[#This Row],[début]],deb_nuit))-IF(Horaires356734[[#This Row],[PNP Début]]=0,0,MIN(Horaires356734[[#This Row],[PNP Fin corrigée]],fin_nuit)-MAX(Horaires356734[[#This Row],[PNP Début corrigé]],deb_nuit)))*24</f>
        <v>0</v>
      </c>
      <c r="P21" s="56">
        <f>(IF(WEEKDAY(Horaires356734[[#This Row],[Date]],2)=7,MAX(0,MIN(fin_dimJF,Horaires356734[[#This Row],[Fin corrigée si nuit]])-MAX(deb_dimJF,Horaires356734[[#This Row],[début]])),0)+IF(WEEKDAY(Horaires356734[[#This Row],[Date]],2)=6,MAX(0,Horaires356734[[#This Row],[Fin corrigée si nuit]]-(1+deb_dimJF)),0))*24</f>
        <v>0</v>
      </c>
      <c r="Q21" s="56">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1" s="56">
        <f>(IF(COUNTIF(JF,Horaires356734[[#This Row],[Date]]),MAX(0,MIN(fin_dimJF,Horaires356734[[#This Row],[Fin corrigée si nuit]])-MAX(deb_dimJF,Horaires356734[[#This Row],[début]])),0)+IF(COUNTIF(JF,Horaires356734[[#This Row],[Date]]+1),MAX(0,Horaires356734[[#This Row],[Fin corrigée si nuit]]-(1+deb_dimJF)),0))*24</f>
        <v>0</v>
      </c>
      <c r="S21" s="56">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2" spans="1:19" x14ac:dyDescent="0.35">
      <c r="A22" s="9"/>
      <c r="B22" s="1"/>
      <c r="C22" s="18"/>
      <c r="D22" s="18"/>
      <c r="E22" s="3"/>
      <c r="F22" s="3"/>
      <c r="G22" s="3"/>
      <c r="H22" s="3"/>
      <c r="I22" s="57">
        <f>0.1*(Horaires356734[[#This Row],[Heures de nuit]]+Horaires356734[[#This Row],[heures jour dimanche]]+Horaires356734[[#This Row],[heures jour fériés]])</f>
        <v>0</v>
      </c>
      <c r="J22" s="58">
        <f>(MOD(Horaires356734[[#This Row],[Fin]]-Horaires356734[[#This Row],[début]],1)-MOD(Horaires356734[[#This Row],[PNP Fin]]-Horaires356734[[#This Row],[PNP Début]],1))*24</f>
        <v>0</v>
      </c>
      <c r="K22" s="59">
        <f>IF(Horaires356734[[#This Row],[PNP Début]]=0,0,IF(Horaires356734[[#This Row],[PNP Début]]&lt;Horaires356734[[#This Row],[début]],1,0)+Horaires356734[[#This Row],[PNP Début]])</f>
        <v>0</v>
      </c>
      <c r="L22" s="60">
        <f>IF(Horaires356734[[#This Row],[PNP Fin]]=0,0,IF(Horaires356734[[#This Row],[PNP Fin]]&lt;Horaires356734[[#This Row],[début]],1,0)+Horaires356734[[#This Row],[PNP Fin]])</f>
        <v>0</v>
      </c>
      <c r="M22" s="60">
        <f>IF(Horaires356734[[#This Row],[Fin]]&lt;Horaires356734[[#This Row],[début]],1,0)+Horaires356734[[#This Row],[Fin]]</f>
        <v>0</v>
      </c>
      <c r="N22" s="61">
        <f>MAX(0,MIN(Horaires356734[[#This Row],[Fin corrigée si nuit]],fin_nuit)-MAX(Horaires356734[[#This Row],[début]],deb_nuit))*24</f>
        <v>0</v>
      </c>
      <c r="O22" s="62">
        <f>(MAX(0,MIN(Horaires356734[[#This Row],[Fin corrigée si nuit]],fin_nuit)-MAX(Horaires356734[[#This Row],[début]],deb_nuit))-IF(Horaires356734[[#This Row],[PNP Début]]=0,0,MIN(Horaires356734[[#This Row],[PNP Fin corrigée]],fin_nuit)-MAX(Horaires356734[[#This Row],[PNP Début corrigé]],deb_nuit)))*24</f>
        <v>0</v>
      </c>
      <c r="P22" s="62">
        <f>(IF(WEEKDAY(Horaires356734[[#This Row],[Date]],2)=7,MAX(0,MIN(fin_dimJF,Horaires356734[[#This Row],[Fin corrigée si nuit]])-MAX(deb_dimJF,Horaires356734[[#This Row],[début]])),0)+IF(WEEKDAY(Horaires356734[[#This Row],[Date]],2)=6,MAX(0,Horaires356734[[#This Row],[Fin corrigée si nuit]]-(1+deb_dimJF)),0))*24</f>
        <v>0</v>
      </c>
      <c r="Q22"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2" s="62">
        <f>(IF(COUNTIF(JF,Horaires356734[[#This Row],[Date]]),MAX(0,MIN(fin_dimJF,Horaires356734[[#This Row],[Fin corrigée si nuit]])-MAX(deb_dimJF,Horaires356734[[#This Row],[début]])),0)+IF(COUNTIF(JF,Horaires356734[[#This Row],[Date]]+1),MAX(0,Horaires356734[[#This Row],[Fin corrigée si nuit]]-(1+deb_dimJF)),0))*24</f>
        <v>0</v>
      </c>
      <c r="S22"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3" spans="1:19" x14ac:dyDescent="0.35">
      <c r="A23" s="9"/>
      <c r="B23" s="1"/>
      <c r="C23" s="18"/>
      <c r="D23" s="18"/>
      <c r="E23" s="3"/>
      <c r="F23" s="3"/>
      <c r="G23" s="3"/>
      <c r="H23" s="3"/>
      <c r="I23" s="57">
        <f>0.1*(Horaires356734[[#This Row],[Heures de nuit]]+Horaires356734[[#This Row],[heures jour dimanche]]+Horaires356734[[#This Row],[heures jour fériés]])</f>
        <v>0</v>
      </c>
      <c r="J23" s="58">
        <f>(MOD(Horaires356734[[#This Row],[Fin]]-Horaires356734[[#This Row],[début]],1)-MOD(Horaires356734[[#This Row],[PNP Fin]]-Horaires356734[[#This Row],[PNP Début]],1))*24</f>
        <v>0</v>
      </c>
      <c r="K23" s="59">
        <f>IF(Horaires356734[[#This Row],[PNP Début]]=0,0,IF(Horaires356734[[#This Row],[PNP Début]]&lt;Horaires356734[[#This Row],[début]],1,0)+Horaires356734[[#This Row],[PNP Début]])</f>
        <v>0</v>
      </c>
      <c r="L23" s="60">
        <f>IF(Horaires356734[[#This Row],[PNP Fin]]=0,0,IF(Horaires356734[[#This Row],[PNP Fin]]&lt;Horaires356734[[#This Row],[début]],1,0)+Horaires356734[[#This Row],[PNP Fin]])</f>
        <v>0</v>
      </c>
      <c r="M23" s="60">
        <f>IF(Horaires356734[[#This Row],[Fin]]&lt;Horaires356734[[#This Row],[début]],1,0)+Horaires356734[[#This Row],[Fin]]</f>
        <v>0</v>
      </c>
      <c r="N23" s="61">
        <f>MAX(0,MIN(Horaires356734[[#This Row],[Fin corrigée si nuit]],fin_nuit)-MAX(Horaires356734[[#This Row],[début]],deb_nuit))*24</f>
        <v>0</v>
      </c>
      <c r="O23" s="62">
        <f>(MAX(0,MIN(Horaires356734[[#This Row],[Fin corrigée si nuit]],fin_nuit)-MAX(Horaires356734[[#This Row],[début]],deb_nuit))-IF(Horaires356734[[#This Row],[PNP Début]]=0,0,MIN(Horaires356734[[#This Row],[PNP Fin corrigée]],fin_nuit)-MAX(Horaires356734[[#This Row],[PNP Début corrigé]],deb_nuit)))*24</f>
        <v>0</v>
      </c>
      <c r="P23" s="62">
        <f>(IF(WEEKDAY(Horaires356734[[#This Row],[Date]],2)=7,MAX(0,MIN(fin_dimJF,Horaires356734[[#This Row],[Fin corrigée si nuit]])-MAX(deb_dimJF,Horaires356734[[#This Row],[début]])),0)+IF(WEEKDAY(Horaires356734[[#This Row],[Date]],2)=6,MAX(0,Horaires356734[[#This Row],[Fin corrigée si nuit]]-(1+deb_dimJF)),0))*24</f>
        <v>0</v>
      </c>
      <c r="Q23"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3" s="62">
        <f>(IF(COUNTIF(JF,Horaires356734[[#This Row],[Date]]),MAX(0,MIN(fin_dimJF,Horaires356734[[#This Row],[Fin corrigée si nuit]])-MAX(deb_dimJF,Horaires356734[[#This Row],[début]])),0)+IF(COUNTIF(JF,Horaires356734[[#This Row],[Date]]+1),MAX(0,Horaires356734[[#This Row],[Fin corrigée si nuit]]-(1+deb_dimJF)),0))*24</f>
        <v>0</v>
      </c>
      <c r="S23"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4" spans="1:19" x14ac:dyDescent="0.35">
      <c r="A24" s="9"/>
      <c r="B24" s="1"/>
      <c r="C24" s="2"/>
      <c r="D24" s="2"/>
      <c r="E24" s="3"/>
      <c r="F24" s="3"/>
      <c r="G24" s="3"/>
      <c r="H24" s="3"/>
      <c r="I24" s="57">
        <f>0.1*(Horaires356734[[#This Row],[Heures de nuit]]+Horaires356734[[#This Row],[heures jour dimanche]]+Horaires356734[[#This Row],[heures jour fériés]])</f>
        <v>0</v>
      </c>
      <c r="J24" s="58">
        <f>(MOD(Horaires356734[[#This Row],[Fin]]-Horaires356734[[#This Row],[début]],1)-MOD(Horaires356734[[#This Row],[PNP Fin]]-Horaires356734[[#This Row],[PNP Début]],1))*24</f>
        <v>0</v>
      </c>
      <c r="K24" s="59">
        <f>IF(Horaires356734[[#This Row],[PNP Début]]=0,0,IF(Horaires356734[[#This Row],[PNP Début]]&lt;Horaires356734[[#This Row],[début]],1,0)+Horaires356734[[#This Row],[PNP Début]])</f>
        <v>0</v>
      </c>
      <c r="L24" s="60">
        <f>IF(Horaires356734[[#This Row],[PNP Fin]]=0,0,IF(Horaires356734[[#This Row],[PNP Fin]]&lt;Horaires356734[[#This Row],[début]],1,0)+Horaires356734[[#This Row],[PNP Fin]])</f>
        <v>0</v>
      </c>
      <c r="M24" s="60">
        <f>IF(Horaires356734[[#This Row],[Fin]]&lt;Horaires356734[[#This Row],[début]],1,0)+Horaires356734[[#This Row],[Fin]]</f>
        <v>0</v>
      </c>
      <c r="N24" s="61">
        <f>MAX(0,MIN(Horaires356734[[#This Row],[Fin corrigée si nuit]],fin_nuit)-MAX(Horaires356734[[#This Row],[début]],deb_nuit))*24</f>
        <v>0</v>
      </c>
      <c r="O24" s="62">
        <f>(MAX(0,MIN(Horaires356734[[#This Row],[Fin corrigée si nuit]],fin_nuit)-MAX(Horaires356734[[#This Row],[début]],deb_nuit))-IF(Horaires356734[[#This Row],[PNP Début]]=0,0,MIN(Horaires356734[[#This Row],[PNP Fin corrigée]],fin_nuit)-MAX(Horaires356734[[#This Row],[PNP Début corrigé]],deb_nuit)))*24</f>
        <v>0</v>
      </c>
      <c r="P24" s="62">
        <f>(IF(WEEKDAY(Horaires356734[[#This Row],[Date]],2)=7,MAX(0,MIN(fin_dimJF,Horaires356734[[#This Row],[Fin corrigée si nuit]])-MAX(deb_dimJF,Horaires356734[[#This Row],[début]])),0)+IF(WEEKDAY(Horaires356734[[#This Row],[Date]],2)=6,MAX(0,Horaires356734[[#This Row],[Fin corrigée si nuit]]-(1+deb_dimJF)),0))*24</f>
        <v>0</v>
      </c>
      <c r="Q24"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4" s="62">
        <f>(IF(COUNTIF(JF,Horaires356734[[#This Row],[Date]]),MAX(0,MIN(fin_dimJF,Horaires356734[[#This Row],[Fin corrigée si nuit]])-MAX(deb_dimJF,Horaires356734[[#This Row],[début]])),0)+IF(COUNTIF(JF,Horaires356734[[#This Row],[Date]]+1),MAX(0,Horaires356734[[#This Row],[Fin corrigée si nuit]]-(1+deb_dimJF)),0))*24</f>
        <v>0</v>
      </c>
      <c r="S24"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5" spans="1:19" x14ac:dyDescent="0.35">
      <c r="A25" s="9"/>
      <c r="B25" s="1"/>
      <c r="C25" s="2"/>
      <c r="D25" s="2"/>
      <c r="E25" s="3"/>
      <c r="F25" s="3"/>
      <c r="G25" s="3"/>
      <c r="H25" s="3"/>
      <c r="I25" s="57">
        <f>0.1*(Horaires356734[[#This Row],[Heures de nuit]]+Horaires356734[[#This Row],[heures jour dimanche]]+Horaires356734[[#This Row],[heures jour fériés]])</f>
        <v>0</v>
      </c>
      <c r="J25" s="58">
        <f>(MOD(Horaires356734[[#This Row],[Fin]]-Horaires356734[[#This Row],[début]],1)-MOD(Horaires356734[[#This Row],[PNP Fin]]-Horaires356734[[#This Row],[PNP Début]],1))*24</f>
        <v>0</v>
      </c>
      <c r="K25" s="59">
        <f>IF(Horaires356734[[#This Row],[PNP Début]]=0,0,IF(Horaires356734[[#This Row],[PNP Début]]&lt;Horaires356734[[#This Row],[début]],1,0)+Horaires356734[[#This Row],[PNP Début]])</f>
        <v>0</v>
      </c>
      <c r="L25" s="60">
        <f>IF(Horaires356734[[#This Row],[PNP Fin]]=0,0,IF(Horaires356734[[#This Row],[PNP Fin]]&lt;Horaires356734[[#This Row],[début]],1,0)+Horaires356734[[#This Row],[PNP Fin]])</f>
        <v>0</v>
      </c>
      <c r="M25" s="60">
        <f>IF(Horaires356734[[#This Row],[Fin]]&lt;Horaires356734[[#This Row],[début]],1,0)+Horaires356734[[#This Row],[Fin]]</f>
        <v>0</v>
      </c>
      <c r="N25" s="61">
        <f>MAX(0,MIN(Horaires356734[[#This Row],[Fin corrigée si nuit]],fin_nuit)-MAX(Horaires356734[[#This Row],[début]],deb_nuit))*24</f>
        <v>0</v>
      </c>
      <c r="O25" s="62">
        <f>(MAX(0,MIN(Horaires356734[[#This Row],[Fin corrigée si nuit]],fin_nuit)-MAX(Horaires356734[[#This Row],[début]],deb_nuit))-IF(Horaires356734[[#This Row],[PNP Début]]=0,0,MIN(Horaires356734[[#This Row],[PNP Fin corrigée]],fin_nuit)-MAX(Horaires356734[[#This Row],[PNP Début corrigé]],deb_nuit)))*24</f>
        <v>0</v>
      </c>
      <c r="P25" s="62">
        <f>(IF(WEEKDAY(Horaires356734[[#This Row],[Date]],2)=7,MAX(0,MIN(fin_dimJF,Horaires356734[[#This Row],[Fin corrigée si nuit]])-MAX(deb_dimJF,Horaires356734[[#This Row],[début]])),0)+IF(WEEKDAY(Horaires356734[[#This Row],[Date]],2)=6,MAX(0,Horaires356734[[#This Row],[Fin corrigée si nuit]]-(1+deb_dimJF)),0))*24</f>
        <v>0</v>
      </c>
      <c r="Q25"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5" s="62">
        <f>(IF(COUNTIF(JF,Horaires356734[[#This Row],[Date]]),MAX(0,MIN(fin_dimJF,Horaires356734[[#This Row],[Fin corrigée si nuit]])-MAX(deb_dimJF,Horaires356734[[#This Row],[début]])),0)+IF(COUNTIF(JF,Horaires356734[[#This Row],[Date]]+1),MAX(0,Horaires356734[[#This Row],[Fin corrigée si nuit]]-(1+deb_dimJF)),0))*24</f>
        <v>0</v>
      </c>
      <c r="S25"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6" spans="1:19" ht="21" customHeight="1" x14ac:dyDescent="0.35">
      <c r="A26" s="9"/>
      <c r="B26" s="1"/>
      <c r="C26" s="2"/>
      <c r="D26" s="2"/>
      <c r="E26" s="3"/>
      <c r="F26" s="3"/>
      <c r="G26" s="3"/>
      <c r="H26" s="3"/>
      <c r="I26" s="57">
        <f>0.1*(Horaires356734[[#This Row],[Heures de nuit]]+Horaires356734[[#This Row],[heures jour dimanche]]+Horaires356734[[#This Row],[heures jour fériés]])</f>
        <v>0</v>
      </c>
      <c r="J26" s="58">
        <f>(MOD(Horaires356734[[#This Row],[Fin]]-Horaires356734[[#This Row],[début]],1)-MOD(Horaires356734[[#This Row],[PNP Fin]]-Horaires356734[[#This Row],[PNP Début]],1))*24</f>
        <v>0</v>
      </c>
      <c r="K26" s="59">
        <f>IF(Horaires356734[[#This Row],[PNP Début]]=0,0,IF(Horaires356734[[#This Row],[PNP Début]]&lt;Horaires356734[[#This Row],[début]],1,0)+Horaires356734[[#This Row],[PNP Début]])</f>
        <v>0</v>
      </c>
      <c r="L26" s="60">
        <f>IF(Horaires356734[[#This Row],[PNP Fin]]=0,0,IF(Horaires356734[[#This Row],[PNP Fin]]&lt;Horaires356734[[#This Row],[début]],1,0)+Horaires356734[[#This Row],[PNP Fin]])</f>
        <v>0</v>
      </c>
      <c r="M26" s="60">
        <f>IF(Horaires356734[[#This Row],[Fin]]&lt;Horaires356734[[#This Row],[début]],1,0)+Horaires356734[[#This Row],[Fin]]</f>
        <v>0</v>
      </c>
      <c r="N26" s="61">
        <f>MAX(0,MIN(Horaires356734[[#This Row],[Fin corrigée si nuit]],fin_nuit)-MAX(Horaires356734[[#This Row],[début]],deb_nuit))*24</f>
        <v>0</v>
      </c>
      <c r="O26" s="62">
        <f>(MAX(0,MIN(Horaires356734[[#This Row],[Fin corrigée si nuit]],fin_nuit)-MAX(Horaires356734[[#This Row],[début]],deb_nuit))-IF(Horaires356734[[#This Row],[PNP Début]]=0,0,MIN(Horaires356734[[#This Row],[PNP Fin corrigée]],fin_nuit)-MAX(Horaires356734[[#This Row],[PNP Début corrigé]],deb_nuit)))*24</f>
        <v>0</v>
      </c>
      <c r="P26" s="62">
        <f>(IF(WEEKDAY(Horaires356734[[#This Row],[Date]],2)=7,MAX(0,MIN(fin_dimJF,Horaires356734[[#This Row],[Fin corrigée si nuit]])-MAX(deb_dimJF,Horaires356734[[#This Row],[début]])),0)+IF(WEEKDAY(Horaires356734[[#This Row],[Date]],2)=6,MAX(0,Horaires356734[[#This Row],[Fin corrigée si nuit]]-(1+deb_dimJF)),0))*24</f>
        <v>0</v>
      </c>
      <c r="Q26"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6" s="62">
        <f>(IF(COUNTIF(JF,Horaires356734[[#This Row],[Date]]),MAX(0,MIN(fin_dimJF,Horaires356734[[#This Row],[Fin corrigée si nuit]])-MAX(deb_dimJF,Horaires356734[[#This Row],[début]])),0)+IF(COUNTIF(JF,Horaires356734[[#This Row],[Date]]+1),MAX(0,Horaires356734[[#This Row],[Fin corrigée si nuit]]-(1+deb_dimJF)),0))*24</f>
        <v>0</v>
      </c>
      <c r="S26"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7" spans="1:19" x14ac:dyDescent="0.35">
      <c r="A27" s="9"/>
      <c r="B27" s="1"/>
      <c r="C27" s="2"/>
      <c r="D27" s="2"/>
      <c r="E27" s="3"/>
      <c r="F27" s="3"/>
      <c r="G27" s="3"/>
      <c r="H27" s="3"/>
      <c r="I27" s="57">
        <f>0.1*(Horaires356734[[#This Row],[Heures de nuit]]+Horaires356734[[#This Row],[heures jour dimanche]]+Horaires356734[[#This Row],[heures jour fériés]])</f>
        <v>0</v>
      </c>
      <c r="J27" s="58">
        <f>(MOD(Horaires356734[[#This Row],[Fin]]-Horaires356734[[#This Row],[début]],1)-MOD(Horaires356734[[#This Row],[PNP Fin]]-Horaires356734[[#This Row],[PNP Début]],1))*24</f>
        <v>0</v>
      </c>
      <c r="K27" s="59">
        <f>IF(Horaires356734[[#This Row],[PNP Début]]=0,0,IF(Horaires356734[[#This Row],[PNP Début]]&lt;Horaires356734[[#This Row],[début]],1,0)+Horaires356734[[#This Row],[PNP Début]])</f>
        <v>0</v>
      </c>
      <c r="L27" s="60">
        <f>IF(Horaires356734[[#This Row],[PNP Fin]]=0,0,IF(Horaires356734[[#This Row],[PNP Fin]]&lt;Horaires356734[[#This Row],[début]],1,0)+Horaires356734[[#This Row],[PNP Fin]])</f>
        <v>0</v>
      </c>
      <c r="M27" s="60">
        <f>IF(Horaires356734[[#This Row],[Fin]]&lt;Horaires356734[[#This Row],[début]],1,0)+Horaires356734[[#This Row],[Fin]]</f>
        <v>0</v>
      </c>
      <c r="N27" s="61">
        <f>MAX(0,MIN(Horaires356734[[#This Row],[Fin corrigée si nuit]],fin_nuit)-MAX(Horaires356734[[#This Row],[début]],deb_nuit))*24</f>
        <v>0</v>
      </c>
      <c r="O27" s="62">
        <f>(MAX(0,MIN(Horaires356734[[#This Row],[Fin corrigée si nuit]],fin_nuit)-MAX(Horaires356734[[#This Row],[début]],deb_nuit))-IF(Horaires356734[[#This Row],[PNP Début]]=0,0,MIN(Horaires356734[[#This Row],[PNP Fin corrigée]],fin_nuit)-MAX(Horaires356734[[#This Row],[PNP Début corrigé]],deb_nuit)))*24</f>
        <v>0</v>
      </c>
      <c r="P27" s="62">
        <f>(IF(WEEKDAY(Horaires356734[[#This Row],[Date]],2)=7,MAX(0,MIN(fin_dimJF,Horaires356734[[#This Row],[Fin corrigée si nuit]])-MAX(deb_dimJF,Horaires356734[[#This Row],[début]])),0)+IF(WEEKDAY(Horaires356734[[#This Row],[Date]],2)=6,MAX(0,Horaires356734[[#This Row],[Fin corrigée si nuit]]-(1+deb_dimJF)),0))*24</f>
        <v>0</v>
      </c>
      <c r="Q27"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7" s="62">
        <f>(IF(COUNTIF(JF,Horaires356734[[#This Row],[Date]]),MAX(0,MIN(fin_dimJF,Horaires356734[[#This Row],[Fin corrigée si nuit]])-MAX(deb_dimJF,Horaires356734[[#This Row],[début]])),0)+IF(COUNTIF(JF,Horaires356734[[#This Row],[Date]]+1),MAX(0,Horaires356734[[#This Row],[Fin corrigée si nuit]]-(1+deb_dimJF)),0))*24</f>
        <v>0</v>
      </c>
      <c r="S27"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8" spans="1:19" x14ac:dyDescent="0.35">
      <c r="A28" s="9"/>
      <c r="B28" s="1"/>
      <c r="C28" s="2"/>
      <c r="D28" s="2"/>
      <c r="E28" s="3"/>
      <c r="F28" s="3"/>
      <c r="G28" s="3"/>
      <c r="H28" s="3"/>
      <c r="I28" s="57">
        <f>0.1*(Horaires356734[[#This Row],[Heures de nuit]]+Horaires356734[[#This Row],[heures jour dimanche]]+Horaires356734[[#This Row],[heures jour fériés]])</f>
        <v>0</v>
      </c>
      <c r="J28" s="58">
        <f>(MOD(Horaires356734[[#This Row],[Fin]]-Horaires356734[[#This Row],[début]],1)-MOD(Horaires356734[[#This Row],[PNP Fin]]-Horaires356734[[#This Row],[PNP Début]],1))*24</f>
        <v>0</v>
      </c>
      <c r="K28" s="59">
        <f>IF(Horaires356734[[#This Row],[PNP Début]]=0,0,IF(Horaires356734[[#This Row],[PNP Début]]&lt;Horaires356734[[#This Row],[début]],1,0)+Horaires356734[[#This Row],[PNP Début]])</f>
        <v>0</v>
      </c>
      <c r="L28" s="60">
        <f>IF(Horaires356734[[#This Row],[PNP Fin]]=0,0,IF(Horaires356734[[#This Row],[PNP Fin]]&lt;Horaires356734[[#This Row],[début]],1,0)+Horaires356734[[#This Row],[PNP Fin]])</f>
        <v>0</v>
      </c>
      <c r="M28" s="60">
        <f>IF(Horaires356734[[#This Row],[Fin]]&lt;Horaires356734[[#This Row],[début]],1,0)+Horaires356734[[#This Row],[Fin]]</f>
        <v>0</v>
      </c>
      <c r="N28" s="61">
        <f>MAX(0,MIN(Horaires356734[[#This Row],[Fin corrigée si nuit]],fin_nuit)-MAX(Horaires356734[[#This Row],[début]],deb_nuit))*24</f>
        <v>0</v>
      </c>
      <c r="O28" s="62">
        <f>(MAX(0,MIN(Horaires356734[[#This Row],[Fin corrigée si nuit]],fin_nuit)-MAX(Horaires356734[[#This Row],[début]],deb_nuit))-IF(Horaires356734[[#This Row],[PNP Début]]=0,0,MIN(Horaires356734[[#This Row],[PNP Fin corrigée]],fin_nuit)-MAX(Horaires356734[[#This Row],[PNP Début corrigé]],deb_nuit)))*24</f>
        <v>0</v>
      </c>
      <c r="P28" s="62">
        <f>(IF(WEEKDAY(Horaires356734[[#This Row],[Date]],2)=7,MAX(0,MIN(fin_dimJF,Horaires356734[[#This Row],[Fin corrigée si nuit]])-MAX(deb_dimJF,Horaires356734[[#This Row],[début]])),0)+IF(WEEKDAY(Horaires356734[[#This Row],[Date]],2)=6,MAX(0,Horaires356734[[#This Row],[Fin corrigée si nuit]]-(1+deb_dimJF)),0))*24</f>
        <v>0</v>
      </c>
      <c r="Q28"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8" s="62">
        <f>(IF(COUNTIF(JF,Horaires356734[[#This Row],[Date]]),MAX(0,MIN(fin_dimJF,Horaires356734[[#This Row],[Fin corrigée si nuit]])-MAX(deb_dimJF,Horaires356734[[#This Row],[début]])),0)+IF(COUNTIF(JF,Horaires356734[[#This Row],[Date]]+1),MAX(0,Horaires356734[[#This Row],[Fin corrigée si nuit]]-(1+deb_dimJF)),0))*24</f>
        <v>0</v>
      </c>
      <c r="S28"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29" spans="1:19" x14ac:dyDescent="0.35">
      <c r="A29" s="9"/>
      <c r="B29" s="1"/>
      <c r="C29" s="2"/>
      <c r="D29" s="2"/>
      <c r="E29" s="3"/>
      <c r="F29" s="3"/>
      <c r="G29" s="3"/>
      <c r="H29" s="3"/>
      <c r="I29" s="57">
        <f>0.1*(Horaires356734[[#This Row],[Heures de nuit]]+Horaires356734[[#This Row],[heures jour dimanche]]+Horaires356734[[#This Row],[heures jour fériés]])</f>
        <v>0</v>
      </c>
      <c r="J29" s="58">
        <f>(MOD(Horaires356734[[#This Row],[Fin]]-Horaires356734[[#This Row],[début]],1)-MOD(Horaires356734[[#This Row],[PNP Fin]]-Horaires356734[[#This Row],[PNP Début]],1))*24</f>
        <v>0</v>
      </c>
      <c r="K29" s="59">
        <f>IF(Horaires356734[[#This Row],[PNP Début]]=0,0,IF(Horaires356734[[#This Row],[PNP Début]]&lt;Horaires356734[[#This Row],[début]],1,0)+Horaires356734[[#This Row],[PNP Début]])</f>
        <v>0</v>
      </c>
      <c r="L29" s="60">
        <f>IF(Horaires356734[[#This Row],[PNP Fin]]=0,0,IF(Horaires356734[[#This Row],[PNP Fin]]&lt;Horaires356734[[#This Row],[début]],1,0)+Horaires356734[[#This Row],[PNP Fin]])</f>
        <v>0</v>
      </c>
      <c r="M29" s="60">
        <f>IF(Horaires356734[[#This Row],[Fin]]&lt;Horaires356734[[#This Row],[début]],1,0)+Horaires356734[[#This Row],[Fin]]</f>
        <v>0</v>
      </c>
      <c r="N29" s="61">
        <f>MAX(0,MIN(Horaires356734[[#This Row],[Fin corrigée si nuit]],fin_nuit)-MAX(Horaires356734[[#This Row],[début]],deb_nuit))*24</f>
        <v>0</v>
      </c>
      <c r="O29" s="62">
        <f>(MAX(0,MIN(Horaires356734[[#This Row],[Fin corrigée si nuit]],fin_nuit)-MAX(Horaires356734[[#This Row],[début]],deb_nuit))-IF(Horaires356734[[#This Row],[PNP Début]]=0,0,MIN(Horaires356734[[#This Row],[PNP Fin corrigée]],fin_nuit)-MAX(Horaires356734[[#This Row],[PNP Début corrigé]],deb_nuit)))*24</f>
        <v>0</v>
      </c>
      <c r="P29" s="62">
        <f>(IF(WEEKDAY(Horaires356734[[#This Row],[Date]],2)=7,MAX(0,MIN(fin_dimJF,Horaires356734[[#This Row],[Fin corrigée si nuit]])-MAX(deb_dimJF,Horaires356734[[#This Row],[début]])),0)+IF(WEEKDAY(Horaires356734[[#This Row],[Date]],2)=6,MAX(0,Horaires356734[[#This Row],[Fin corrigée si nuit]]-(1+deb_dimJF)),0))*24</f>
        <v>0</v>
      </c>
      <c r="Q29"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29" s="62">
        <f>(IF(COUNTIF(JF,Horaires356734[[#This Row],[Date]]),MAX(0,MIN(fin_dimJF,Horaires356734[[#This Row],[Fin corrigée si nuit]])-MAX(deb_dimJF,Horaires356734[[#This Row],[début]])),0)+IF(COUNTIF(JF,Horaires356734[[#This Row],[Date]]+1),MAX(0,Horaires356734[[#This Row],[Fin corrigée si nuit]]-(1+deb_dimJF)),0))*24</f>
        <v>0</v>
      </c>
      <c r="S29"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0" spans="1:19" x14ac:dyDescent="0.35">
      <c r="A30" s="9"/>
      <c r="B30" s="1"/>
      <c r="C30" s="2"/>
      <c r="D30" s="2"/>
      <c r="E30" s="3"/>
      <c r="F30" s="3"/>
      <c r="G30" s="3"/>
      <c r="H30" s="3"/>
      <c r="I30" s="57">
        <f>0.1*(Horaires356734[[#This Row],[Heures de nuit]]+Horaires356734[[#This Row],[heures jour dimanche]]+Horaires356734[[#This Row],[heures jour fériés]])</f>
        <v>0</v>
      </c>
      <c r="J30" s="58">
        <f>(MOD(Horaires356734[[#This Row],[Fin]]-Horaires356734[[#This Row],[début]],1)-MOD(Horaires356734[[#This Row],[PNP Fin]]-Horaires356734[[#This Row],[PNP Début]],1))*24</f>
        <v>0</v>
      </c>
      <c r="K30" s="59">
        <f>IF(Horaires356734[[#This Row],[PNP Début]]=0,0,IF(Horaires356734[[#This Row],[PNP Début]]&lt;Horaires356734[[#This Row],[début]],1,0)+Horaires356734[[#This Row],[PNP Début]])</f>
        <v>0</v>
      </c>
      <c r="L30" s="60">
        <f>IF(Horaires356734[[#This Row],[PNP Fin]]=0,0,IF(Horaires356734[[#This Row],[PNP Fin]]&lt;Horaires356734[[#This Row],[début]],1,0)+Horaires356734[[#This Row],[PNP Fin]])</f>
        <v>0</v>
      </c>
      <c r="M30" s="60">
        <f>IF(Horaires356734[[#This Row],[Fin]]&lt;Horaires356734[[#This Row],[début]],1,0)+Horaires356734[[#This Row],[Fin]]</f>
        <v>0</v>
      </c>
      <c r="N30" s="61">
        <f>MAX(0,MIN(Horaires356734[[#This Row],[Fin corrigée si nuit]],fin_nuit)-MAX(Horaires356734[[#This Row],[début]],deb_nuit))*24</f>
        <v>0</v>
      </c>
      <c r="O30" s="62">
        <f>(MAX(0,MIN(Horaires356734[[#This Row],[Fin corrigée si nuit]],fin_nuit)-MAX(Horaires356734[[#This Row],[début]],deb_nuit))-IF(Horaires356734[[#This Row],[PNP Début]]=0,0,MIN(Horaires356734[[#This Row],[PNP Fin corrigée]],fin_nuit)-MAX(Horaires356734[[#This Row],[PNP Début corrigé]],deb_nuit)))*24</f>
        <v>0</v>
      </c>
      <c r="P30" s="62">
        <f>(IF(WEEKDAY(Horaires356734[[#This Row],[Date]],2)=7,MAX(0,MIN(fin_dimJF,Horaires356734[[#This Row],[Fin corrigée si nuit]])-MAX(deb_dimJF,Horaires356734[[#This Row],[début]])),0)+IF(WEEKDAY(Horaires356734[[#This Row],[Date]],2)=6,MAX(0,Horaires356734[[#This Row],[Fin corrigée si nuit]]-(1+deb_dimJF)),0))*24</f>
        <v>0</v>
      </c>
      <c r="Q30"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0" s="62">
        <f>(IF(COUNTIF(JF,Horaires356734[[#This Row],[Date]]),MAX(0,MIN(fin_dimJF,Horaires356734[[#This Row],[Fin corrigée si nuit]])-MAX(deb_dimJF,Horaires356734[[#This Row],[début]])),0)+IF(COUNTIF(JF,Horaires356734[[#This Row],[Date]]+1),MAX(0,Horaires356734[[#This Row],[Fin corrigée si nuit]]-(1+deb_dimJF)),0))*24</f>
        <v>0</v>
      </c>
      <c r="S30"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1" spans="1:19" x14ac:dyDescent="0.35">
      <c r="A31" s="9"/>
      <c r="B31" s="1"/>
      <c r="C31" s="2"/>
      <c r="D31" s="2"/>
      <c r="E31" s="3"/>
      <c r="F31" s="3"/>
      <c r="G31" s="3"/>
      <c r="H31" s="3"/>
      <c r="I31" s="57">
        <f>0.1*(Horaires356734[[#This Row],[Heures de nuit]]+Horaires356734[[#This Row],[heures jour dimanche]]+Horaires356734[[#This Row],[heures jour fériés]])</f>
        <v>0</v>
      </c>
      <c r="J31" s="58">
        <f>(MOD(Horaires356734[[#This Row],[Fin]]-Horaires356734[[#This Row],[début]],1)-MOD(Horaires356734[[#This Row],[PNP Fin]]-Horaires356734[[#This Row],[PNP Début]],1))*24</f>
        <v>0</v>
      </c>
      <c r="K31" s="59">
        <f>IF(Horaires356734[[#This Row],[PNP Début]]=0,0,IF(Horaires356734[[#This Row],[PNP Début]]&lt;Horaires356734[[#This Row],[début]],1,0)+Horaires356734[[#This Row],[PNP Début]])</f>
        <v>0</v>
      </c>
      <c r="L31" s="60">
        <f>IF(Horaires356734[[#This Row],[PNP Fin]]=0,0,IF(Horaires356734[[#This Row],[PNP Fin]]&lt;Horaires356734[[#This Row],[début]],1,0)+Horaires356734[[#This Row],[PNP Fin]])</f>
        <v>0</v>
      </c>
      <c r="M31" s="60">
        <f>IF(Horaires356734[[#This Row],[Fin]]&lt;Horaires356734[[#This Row],[début]],1,0)+Horaires356734[[#This Row],[Fin]]</f>
        <v>0</v>
      </c>
      <c r="N31" s="61">
        <f>MAX(0,MIN(Horaires356734[[#This Row],[Fin corrigée si nuit]],fin_nuit)-MAX(Horaires356734[[#This Row],[début]],deb_nuit))*24</f>
        <v>0</v>
      </c>
      <c r="O31" s="62">
        <f>(MAX(0,MIN(Horaires356734[[#This Row],[Fin corrigée si nuit]],fin_nuit)-MAX(Horaires356734[[#This Row],[début]],deb_nuit))-IF(Horaires356734[[#This Row],[PNP Début]]=0,0,MIN(Horaires356734[[#This Row],[PNP Fin corrigée]],fin_nuit)-MAX(Horaires356734[[#This Row],[PNP Début corrigé]],deb_nuit)))*24</f>
        <v>0</v>
      </c>
      <c r="P31" s="62">
        <f>(IF(WEEKDAY(Horaires356734[[#This Row],[Date]],2)=7,MAX(0,MIN(fin_dimJF,Horaires356734[[#This Row],[Fin corrigée si nuit]])-MAX(deb_dimJF,Horaires356734[[#This Row],[début]])),0)+IF(WEEKDAY(Horaires356734[[#This Row],[Date]],2)=6,MAX(0,Horaires356734[[#This Row],[Fin corrigée si nuit]]-(1+deb_dimJF)),0))*24</f>
        <v>0</v>
      </c>
      <c r="Q31"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1" s="62">
        <f>(IF(COUNTIF(JF,Horaires356734[[#This Row],[Date]]),MAX(0,MIN(fin_dimJF,Horaires356734[[#This Row],[Fin corrigée si nuit]])-MAX(deb_dimJF,Horaires356734[[#This Row],[début]])),0)+IF(COUNTIF(JF,Horaires356734[[#This Row],[Date]]+1),MAX(0,Horaires356734[[#This Row],[Fin corrigée si nuit]]-(1+deb_dimJF)),0))*24</f>
        <v>0</v>
      </c>
      <c r="S31"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2" spans="1:19" ht="14.5" customHeight="1" x14ac:dyDescent="0.35">
      <c r="A32" s="9"/>
      <c r="B32" s="1"/>
      <c r="C32" s="2"/>
      <c r="D32" s="2"/>
      <c r="E32" s="3"/>
      <c r="F32" s="3"/>
      <c r="G32" s="3"/>
      <c r="H32" s="3"/>
      <c r="I32" s="57">
        <f>0.1*(Horaires356734[[#This Row],[Heures de nuit]]+Horaires356734[[#This Row],[heures jour dimanche]]+Horaires356734[[#This Row],[heures jour fériés]])</f>
        <v>0</v>
      </c>
      <c r="J32" s="58">
        <f>(MOD(Horaires356734[[#This Row],[Fin]]-Horaires356734[[#This Row],[début]],1)-MOD(Horaires356734[[#This Row],[PNP Fin]]-Horaires356734[[#This Row],[PNP Début]],1))*24</f>
        <v>0</v>
      </c>
      <c r="K32" s="59">
        <f>IF(Horaires356734[[#This Row],[PNP Début]]=0,0,IF(Horaires356734[[#This Row],[PNP Début]]&lt;Horaires356734[[#This Row],[début]],1,0)+Horaires356734[[#This Row],[PNP Début]])</f>
        <v>0</v>
      </c>
      <c r="L32" s="60">
        <f>IF(Horaires356734[[#This Row],[PNP Fin]]=0,0,IF(Horaires356734[[#This Row],[PNP Fin]]&lt;Horaires356734[[#This Row],[début]],1,0)+Horaires356734[[#This Row],[PNP Fin]])</f>
        <v>0</v>
      </c>
      <c r="M32" s="60">
        <f>IF(Horaires356734[[#This Row],[Fin]]&lt;Horaires356734[[#This Row],[début]],1,0)+Horaires356734[[#This Row],[Fin]]</f>
        <v>0</v>
      </c>
      <c r="N32" s="61">
        <f>MAX(0,MIN(Horaires356734[[#This Row],[Fin corrigée si nuit]],fin_nuit)-MAX(Horaires356734[[#This Row],[début]],deb_nuit))*24</f>
        <v>0</v>
      </c>
      <c r="O32" s="62">
        <f>(MAX(0,MIN(Horaires356734[[#This Row],[Fin corrigée si nuit]],fin_nuit)-MAX(Horaires356734[[#This Row],[début]],deb_nuit))-IF(Horaires356734[[#This Row],[PNP Début]]=0,0,MIN(Horaires356734[[#This Row],[PNP Fin corrigée]],fin_nuit)-MAX(Horaires356734[[#This Row],[PNP Début corrigé]],deb_nuit)))*24</f>
        <v>0</v>
      </c>
      <c r="P32" s="62">
        <f>(IF(WEEKDAY(Horaires356734[[#This Row],[Date]],2)=7,MAX(0,MIN(fin_dimJF,Horaires356734[[#This Row],[Fin corrigée si nuit]])-MAX(deb_dimJF,Horaires356734[[#This Row],[début]])),0)+IF(WEEKDAY(Horaires356734[[#This Row],[Date]],2)=6,MAX(0,Horaires356734[[#This Row],[Fin corrigée si nuit]]-(1+deb_dimJF)),0))*24</f>
        <v>0</v>
      </c>
      <c r="Q32"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2" s="62">
        <f>(IF(COUNTIF(JF,Horaires356734[[#This Row],[Date]]),MAX(0,MIN(fin_dimJF,Horaires356734[[#This Row],[Fin corrigée si nuit]])-MAX(deb_dimJF,Horaires356734[[#This Row],[début]])),0)+IF(COUNTIF(JF,Horaires356734[[#This Row],[Date]]+1),MAX(0,Horaires356734[[#This Row],[Fin corrigée si nuit]]-(1+deb_dimJF)),0))*24</f>
        <v>0</v>
      </c>
      <c r="S32"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3" spans="1:19" x14ac:dyDescent="0.35">
      <c r="A33" s="9"/>
      <c r="B33" s="1"/>
      <c r="C33" s="2"/>
      <c r="D33" s="2"/>
      <c r="E33" s="3"/>
      <c r="F33" s="3"/>
      <c r="G33" s="3"/>
      <c r="H33" s="3"/>
      <c r="I33" s="57">
        <f>0.1*(Horaires356734[[#This Row],[Heures de nuit]]+Horaires356734[[#This Row],[heures jour dimanche]]+Horaires356734[[#This Row],[heures jour fériés]])</f>
        <v>0</v>
      </c>
      <c r="J33" s="58">
        <f>(MOD(Horaires356734[[#This Row],[Fin]]-Horaires356734[[#This Row],[début]],1)-MOD(Horaires356734[[#This Row],[PNP Fin]]-Horaires356734[[#This Row],[PNP Début]],1))*24</f>
        <v>0</v>
      </c>
      <c r="K33" s="59">
        <f>IF(Horaires356734[[#This Row],[PNP Début]]=0,0,IF(Horaires356734[[#This Row],[PNP Début]]&lt;Horaires356734[[#This Row],[début]],1,0)+Horaires356734[[#This Row],[PNP Début]])</f>
        <v>0</v>
      </c>
      <c r="L33" s="60">
        <f>IF(Horaires356734[[#This Row],[PNP Fin]]=0,0,IF(Horaires356734[[#This Row],[PNP Fin]]&lt;Horaires356734[[#This Row],[début]],1,0)+Horaires356734[[#This Row],[PNP Fin]])</f>
        <v>0</v>
      </c>
      <c r="M33" s="60">
        <f>IF(Horaires356734[[#This Row],[Fin]]&lt;Horaires356734[[#This Row],[début]],1,0)+Horaires356734[[#This Row],[Fin]]</f>
        <v>0</v>
      </c>
      <c r="N33" s="61">
        <f>MAX(0,MIN(Horaires356734[[#This Row],[Fin corrigée si nuit]],fin_nuit)-MAX(Horaires356734[[#This Row],[début]],deb_nuit))*24</f>
        <v>0</v>
      </c>
      <c r="O33" s="62">
        <f>(MAX(0,MIN(Horaires356734[[#This Row],[Fin corrigée si nuit]],fin_nuit)-MAX(Horaires356734[[#This Row],[début]],deb_nuit))-IF(Horaires356734[[#This Row],[PNP Début]]=0,0,MIN(Horaires356734[[#This Row],[PNP Fin corrigée]],fin_nuit)-MAX(Horaires356734[[#This Row],[PNP Début corrigé]],deb_nuit)))*24</f>
        <v>0</v>
      </c>
      <c r="P33" s="62">
        <f>(IF(WEEKDAY(Horaires356734[[#This Row],[Date]],2)=7,MAX(0,MIN(fin_dimJF,Horaires356734[[#This Row],[Fin corrigée si nuit]])-MAX(deb_dimJF,Horaires356734[[#This Row],[début]])),0)+IF(WEEKDAY(Horaires356734[[#This Row],[Date]],2)=6,MAX(0,Horaires356734[[#This Row],[Fin corrigée si nuit]]-(1+deb_dimJF)),0))*24</f>
        <v>0</v>
      </c>
      <c r="Q33"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3" s="62">
        <f>(IF(COUNTIF(JF,Horaires356734[[#This Row],[Date]]),MAX(0,MIN(fin_dimJF,Horaires356734[[#This Row],[Fin corrigée si nuit]])-MAX(deb_dimJF,Horaires356734[[#This Row],[début]])),0)+IF(COUNTIF(JF,Horaires356734[[#This Row],[Date]]+1),MAX(0,Horaires356734[[#This Row],[Fin corrigée si nuit]]-(1+deb_dimJF)),0))*24</f>
        <v>0</v>
      </c>
      <c r="S33"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4" spans="1:19" x14ac:dyDescent="0.35">
      <c r="A34" s="9"/>
      <c r="B34" s="1"/>
      <c r="C34" s="2"/>
      <c r="D34" s="2"/>
      <c r="E34" s="3"/>
      <c r="F34" s="3"/>
      <c r="G34" s="3"/>
      <c r="H34" s="3"/>
      <c r="I34" s="57">
        <f>0.1*(Horaires356734[[#This Row],[Heures de nuit]]+Horaires356734[[#This Row],[heures jour dimanche]]+Horaires356734[[#This Row],[heures jour fériés]])</f>
        <v>0</v>
      </c>
      <c r="J34" s="58">
        <f>(MOD(Horaires356734[[#This Row],[Fin]]-Horaires356734[[#This Row],[début]],1)-MOD(Horaires356734[[#This Row],[PNP Fin]]-Horaires356734[[#This Row],[PNP Début]],1))*24</f>
        <v>0</v>
      </c>
      <c r="K34" s="59">
        <f>IF(Horaires356734[[#This Row],[PNP Début]]=0,0,IF(Horaires356734[[#This Row],[PNP Début]]&lt;Horaires356734[[#This Row],[début]],1,0)+Horaires356734[[#This Row],[PNP Début]])</f>
        <v>0</v>
      </c>
      <c r="L34" s="60">
        <f>IF(Horaires356734[[#This Row],[PNP Fin]]=0,0,IF(Horaires356734[[#This Row],[PNP Fin]]&lt;Horaires356734[[#This Row],[début]],1,0)+Horaires356734[[#This Row],[PNP Fin]])</f>
        <v>0</v>
      </c>
      <c r="M34" s="60">
        <f>IF(Horaires356734[[#This Row],[Fin]]&lt;Horaires356734[[#This Row],[début]],1,0)+Horaires356734[[#This Row],[Fin]]</f>
        <v>0</v>
      </c>
      <c r="N34" s="61">
        <f>MAX(0,MIN(Horaires356734[[#This Row],[Fin corrigée si nuit]],fin_nuit)-MAX(Horaires356734[[#This Row],[début]],deb_nuit))*24</f>
        <v>0</v>
      </c>
      <c r="O34" s="62">
        <f>(MAX(0,MIN(Horaires356734[[#This Row],[Fin corrigée si nuit]],fin_nuit)-MAX(Horaires356734[[#This Row],[début]],deb_nuit))-IF(Horaires356734[[#This Row],[PNP Début]]=0,0,MIN(Horaires356734[[#This Row],[PNP Fin corrigée]],fin_nuit)-MAX(Horaires356734[[#This Row],[PNP Début corrigé]],deb_nuit)))*24</f>
        <v>0</v>
      </c>
      <c r="P34" s="62">
        <f>(IF(WEEKDAY(Horaires356734[[#This Row],[Date]],2)=7,MAX(0,MIN(fin_dimJF,Horaires356734[[#This Row],[Fin corrigée si nuit]])-MAX(deb_dimJF,Horaires356734[[#This Row],[début]])),0)+IF(WEEKDAY(Horaires356734[[#This Row],[Date]],2)=6,MAX(0,Horaires356734[[#This Row],[Fin corrigée si nuit]]-(1+deb_dimJF)),0))*24</f>
        <v>0</v>
      </c>
      <c r="Q34"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4" s="62">
        <f>(IF(COUNTIF(JF,Horaires356734[[#This Row],[Date]]),MAX(0,MIN(fin_dimJF,Horaires356734[[#This Row],[Fin corrigée si nuit]])-MAX(deb_dimJF,Horaires356734[[#This Row],[début]])),0)+IF(COUNTIF(JF,Horaires356734[[#This Row],[Date]]+1),MAX(0,Horaires356734[[#This Row],[Fin corrigée si nuit]]-(1+deb_dimJF)),0))*24</f>
        <v>0</v>
      </c>
      <c r="S34"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5" spans="1:19" x14ac:dyDescent="0.35">
      <c r="A35" s="9"/>
      <c r="B35" s="1"/>
      <c r="C35" s="2"/>
      <c r="D35" s="2"/>
      <c r="E35" s="3"/>
      <c r="F35" s="3"/>
      <c r="G35" s="3"/>
      <c r="H35" s="3"/>
      <c r="I35" s="57">
        <f>0.1*(Horaires356734[[#This Row],[Heures de nuit]]+Horaires356734[[#This Row],[heures jour dimanche]]+Horaires356734[[#This Row],[heures jour fériés]])</f>
        <v>0</v>
      </c>
      <c r="J35" s="58">
        <f>(MOD(Horaires356734[[#This Row],[Fin]]-Horaires356734[[#This Row],[début]],1)-MOD(Horaires356734[[#This Row],[PNP Fin]]-Horaires356734[[#This Row],[PNP Début]],1))*24</f>
        <v>0</v>
      </c>
      <c r="K35" s="59">
        <f>IF(Horaires356734[[#This Row],[PNP Début]]=0,0,IF(Horaires356734[[#This Row],[PNP Début]]&lt;Horaires356734[[#This Row],[début]],1,0)+Horaires356734[[#This Row],[PNP Début]])</f>
        <v>0</v>
      </c>
      <c r="L35" s="60">
        <f>IF(Horaires356734[[#This Row],[PNP Fin]]=0,0,IF(Horaires356734[[#This Row],[PNP Fin]]&lt;Horaires356734[[#This Row],[début]],1,0)+Horaires356734[[#This Row],[PNP Fin]])</f>
        <v>0</v>
      </c>
      <c r="M35" s="60">
        <f>IF(Horaires356734[[#This Row],[Fin]]&lt;Horaires356734[[#This Row],[début]],1,0)+Horaires356734[[#This Row],[Fin]]</f>
        <v>0</v>
      </c>
      <c r="N35" s="61">
        <f>MAX(0,MIN(Horaires356734[[#This Row],[Fin corrigée si nuit]],fin_nuit)-MAX(Horaires356734[[#This Row],[début]],deb_nuit))*24</f>
        <v>0</v>
      </c>
      <c r="O35" s="62">
        <f>(MAX(0,MIN(Horaires356734[[#This Row],[Fin corrigée si nuit]],fin_nuit)-MAX(Horaires356734[[#This Row],[début]],deb_nuit))-IF(Horaires356734[[#This Row],[PNP Début]]=0,0,MIN(Horaires356734[[#This Row],[PNP Fin corrigée]],fin_nuit)-MAX(Horaires356734[[#This Row],[PNP Début corrigé]],deb_nuit)))*24</f>
        <v>0</v>
      </c>
      <c r="P35" s="62">
        <f>(IF(WEEKDAY(Horaires356734[[#This Row],[Date]],2)=7,MAX(0,MIN(fin_dimJF,Horaires356734[[#This Row],[Fin corrigée si nuit]])-MAX(deb_dimJF,Horaires356734[[#This Row],[début]])),0)+IF(WEEKDAY(Horaires356734[[#This Row],[Date]],2)=6,MAX(0,Horaires356734[[#This Row],[Fin corrigée si nuit]]-(1+deb_dimJF)),0))*24</f>
        <v>0</v>
      </c>
      <c r="Q35"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5" s="62">
        <f>(IF(COUNTIF(JF,Horaires356734[[#This Row],[Date]]),MAX(0,MIN(fin_dimJF,Horaires356734[[#This Row],[Fin corrigée si nuit]])-MAX(deb_dimJF,Horaires356734[[#This Row],[début]])),0)+IF(COUNTIF(JF,Horaires356734[[#This Row],[Date]]+1),MAX(0,Horaires356734[[#This Row],[Fin corrigée si nuit]]-(1+deb_dimJF)),0))*24</f>
        <v>0</v>
      </c>
      <c r="S35"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6" spans="1:19" x14ac:dyDescent="0.35">
      <c r="A36" s="9"/>
      <c r="B36" s="1"/>
      <c r="C36" s="2"/>
      <c r="D36" s="2"/>
      <c r="E36" s="3"/>
      <c r="F36" s="3"/>
      <c r="G36" s="3"/>
      <c r="H36" s="3"/>
      <c r="I36" s="57">
        <f>0.1*(Horaires356734[[#This Row],[Heures de nuit]]+Horaires356734[[#This Row],[heures jour dimanche]]+Horaires356734[[#This Row],[heures jour fériés]])</f>
        <v>0</v>
      </c>
      <c r="J36" s="58">
        <f>(MOD(Horaires356734[[#This Row],[Fin]]-Horaires356734[[#This Row],[début]],1)-MOD(Horaires356734[[#This Row],[PNP Fin]]-Horaires356734[[#This Row],[PNP Début]],1))*24</f>
        <v>0</v>
      </c>
      <c r="K36" s="59">
        <f>IF(Horaires356734[[#This Row],[PNP Début]]=0,0,IF(Horaires356734[[#This Row],[PNP Début]]&lt;Horaires356734[[#This Row],[début]],1,0)+Horaires356734[[#This Row],[PNP Début]])</f>
        <v>0</v>
      </c>
      <c r="L36" s="60">
        <f>IF(Horaires356734[[#This Row],[PNP Fin]]=0,0,IF(Horaires356734[[#This Row],[PNP Fin]]&lt;Horaires356734[[#This Row],[début]],1,0)+Horaires356734[[#This Row],[PNP Fin]])</f>
        <v>0</v>
      </c>
      <c r="M36" s="60">
        <f>IF(Horaires356734[[#This Row],[Fin]]&lt;Horaires356734[[#This Row],[début]],1,0)+Horaires356734[[#This Row],[Fin]]</f>
        <v>0</v>
      </c>
      <c r="N36" s="61">
        <f>MAX(0,MIN(Horaires356734[[#This Row],[Fin corrigée si nuit]],fin_nuit)-MAX(Horaires356734[[#This Row],[début]],deb_nuit))*24</f>
        <v>0</v>
      </c>
      <c r="O36" s="62">
        <f>(MAX(0,MIN(Horaires356734[[#This Row],[Fin corrigée si nuit]],fin_nuit)-MAX(Horaires356734[[#This Row],[début]],deb_nuit))-IF(Horaires356734[[#This Row],[PNP Début]]=0,0,MIN(Horaires356734[[#This Row],[PNP Fin corrigée]],fin_nuit)-MAX(Horaires356734[[#This Row],[PNP Début corrigé]],deb_nuit)))*24</f>
        <v>0</v>
      </c>
      <c r="P36" s="62">
        <f>(IF(WEEKDAY(Horaires356734[[#This Row],[Date]],2)=7,MAX(0,MIN(fin_dimJF,Horaires356734[[#This Row],[Fin corrigée si nuit]])-MAX(deb_dimJF,Horaires356734[[#This Row],[début]])),0)+IF(WEEKDAY(Horaires356734[[#This Row],[Date]],2)=6,MAX(0,Horaires356734[[#This Row],[Fin corrigée si nuit]]-(1+deb_dimJF)),0))*24</f>
        <v>0</v>
      </c>
      <c r="Q36"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6" s="62">
        <f>(IF(COUNTIF(JF,Horaires356734[[#This Row],[Date]]),MAX(0,MIN(fin_dimJF,Horaires356734[[#This Row],[Fin corrigée si nuit]])-MAX(deb_dimJF,Horaires356734[[#This Row],[début]])),0)+IF(COUNTIF(JF,Horaires356734[[#This Row],[Date]]+1),MAX(0,Horaires356734[[#This Row],[Fin corrigée si nuit]]-(1+deb_dimJF)),0))*24</f>
        <v>0</v>
      </c>
      <c r="S36"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7" spans="1:19" x14ac:dyDescent="0.35">
      <c r="A37" s="9"/>
      <c r="B37" s="1"/>
      <c r="C37" s="2"/>
      <c r="D37" s="2"/>
      <c r="E37" s="3"/>
      <c r="F37" s="3"/>
      <c r="G37" s="3"/>
      <c r="H37" s="3"/>
      <c r="I37" s="57">
        <f>0.1*(Horaires356734[[#This Row],[Heures de nuit]]+Horaires356734[[#This Row],[heures jour dimanche]]+Horaires356734[[#This Row],[heures jour fériés]])</f>
        <v>0</v>
      </c>
      <c r="J37" s="58">
        <f>(MOD(Horaires356734[[#This Row],[Fin]]-Horaires356734[[#This Row],[début]],1)-MOD(Horaires356734[[#This Row],[PNP Fin]]-Horaires356734[[#This Row],[PNP Début]],1))*24</f>
        <v>0</v>
      </c>
      <c r="K37" s="59">
        <f>IF(Horaires356734[[#This Row],[PNP Début]]=0,0,IF(Horaires356734[[#This Row],[PNP Début]]&lt;Horaires356734[[#This Row],[début]],1,0)+Horaires356734[[#This Row],[PNP Début]])</f>
        <v>0</v>
      </c>
      <c r="L37" s="60">
        <f>IF(Horaires356734[[#This Row],[PNP Fin]]=0,0,IF(Horaires356734[[#This Row],[PNP Fin]]&lt;Horaires356734[[#This Row],[début]],1,0)+Horaires356734[[#This Row],[PNP Fin]])</f>
        <v>0</v>
      </c>
      <c r="M37" s="60">
        <f>IF(Horaires356734[[#This Row],[Fin]]&lt;Horaires356734[[#This Row],[début]],1,0)+Horaires356734[[#This Row],[Fin]]</f>
        <v>0</v>
      </c>
      <c r="N37" s="61">
        <f>MAX(0,MIN(Horaires356734[[#This Row],[Fin corrigée si nuit]],fin_nuit)-MAX(Horaires356734[[#This Row],[début]],deb_nuit))*24</f>
        <v>0</v>
      </c>
      <c r="O37" s="62">
        <f>(MAX(0,MIN(Horaires356734[[#This Row],[Fin corrigée si nuit]],fin_nuit)-MAX(Horaires356734[[#This Row],[début]],deb_nuit))-IF(Horaires356734[[#This Row],[PNP Début]]=0,0,MIN(Horaires356734[[#This Row],[PNP Fin corrigée]],fin_nuit)-MAX(Horaires356734[[#This Row],[PNP Début corrigé]],deb_nuit)))*24</f>
        <v>0</v>
      </c>
      <c r="P37" s="62">
        <f>(IF(WEEKDAY(Horaires356734[[#This Row],[Date]],2)=7,MAX(0,MIN(fin_dimJF,Horaires356734[[#This Row],[Fin corrigée si nuit]])-MAX(deb_dimJF,Horaires356734[[#This Row],[début]])),0)+IF(WEEKDAY(Horaires356734[[#This Row],[Date]],2)=6,MAX(0,Horaires356734[[#This Row],[Fin corrigée si nuit]]-(1+deb_dimJF)),0))*24</f>
        <v>0</v>
      </c>
      <c r="Q37"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7" s="62">
        <f>(IF(COUNTIF(JF,Horaires356734[[#This Row],[Date]]),MAX(0,MIN(fin_dimJF,Horaires356734[[#This Row],[Fin corrigée si nuit]])-MAX(deb_dimJF,Horaires356734[[#This Row],[début]])),0)+IF(COUNTIF(JF,Horaires356734[[#This Row],[Date]]+1),MAX(0,Horaires356734[[#This Row],[Fin corrigée si nuit]]-(1+deb_dimJF)),0))*24</f>
        <v>0</v>
      </c>
      <c r="S37"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8" spans="1:19" x14ac:dyDescent="0.35">
      <c r="A38" s="9"/>
      <c r="B38" s="1"/>
      <c r="C38" s="2"/>
      <c r="D38" s="2"/>
      <c r="E38" s="3"/>
      <c r="F38" s="3"/>
      <c r="G38" s="3"/>
      <c r="H38" s="3"/>
      <c r="I38" s="57">
        <f>0.1*(Horaires356734[[#This Row],[Heures de nuit]]+Horaires356734[[#This Row],[heures jour dimanche]]+Horaires356734[[#This Row],[heures jour fériés]])</f>
        <v>0</v>
      </c>
      <c r="J38" s="58">
        <f>(MOD(Horaires356734[[#This Row],[Fin]]-Horaires356734[[#This Row],[début]],1)-MOD(Horaires356734[[#This Row],[PNP Fin]]-Horaires356734[[#This Row],[PNP Début]],1))*24</f>
        <v>0</v>
      </c>
      <c r="K38" s="59">
        <f>IF(Horaires356734[[#This Row],[PNP Début]]=0,0,IF(Horaires356734[[#This Row],[PNP Début]]&lt;Horaires356734[[#This Row],[début]],1,0)+Horaires356734[[#This Row],[PNP Début]])</f>
        <v>0</v>
      </c>
      <c r="L38" s="60">
        <f>IF(Horaires356734[[#This Row],[PNP Fin]]=0,0,IF(Horaires356734[[#This Row],[PNP Fin]]&lt;Horaires356734[[#This Row],[début]],1,0)+Horaires356734[[#This Row],[PNP Fin]])</f>
        <v>0</v>
      </c>
      <c r="M38" s="60">
        <f>IF(Horaires356734[[#This Row],[Fin]]&lt;Horaires356734[[#This Row],[début]],1,0)+Horaires356734[[#This Row],[Fin]]</f>
        <v>0</v>
      </c>
      <c r="N38" s="61">
        <f>MAX(0,MIN(Horaires356734[[#This Row],[Fin corrigée si nuit]],fin_nuit)-MAX(Horaires356734[[#This Row],[début]],deb_nuit))*24</f>
        <v>0</v>
      </c>
      <c r="O38" s="62">
        <f>(MAX(0,MIN(Horaires356734[[#This Row],[Fin corrigée si nuit]],fin_nuit)-MAX(Horaires356734[[#This Row],[début]],deb_nuit))-IF(Horaires356734[[#This Row],[PNP Début]]=0,0,MIN(Horaires356734[[#This Row],[PNP Fin corrigée]],fin_nuit)-MAX(Horaires356734[[#This Row],[PNP Début corrigé]],deb_nuit)))*24</f>
        <v>0</v>
      </c>
      <c r="P38" s="62">
        <f>(IF(WEEKDAY(Horaires356734[[#This Row],[Date]],2)=7,MAX(0,MIN(fin_dimJF,Horaires356734[[#This Row],[Fin corrigée si nuit]])-MAX(deb_dimJF,Horaires356734[[#This Row],[début]])),0)+IF(WEEKDAY(Horaires356734[[#This Row],[Date]],2)=6,MAX(0,Horaires356734[[#This Row],[Fin corrigée si nuit]]-(1+deb_dimJF)),0))*24</f>
        <v>0</v>
      </c>
      <c r="Q38"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8" s="62">
        <f>(IF(COUNTIF(JF,Horaires356734[[#This Row],[Date]]),MAX(0,MIN(fin_dimJF,Horaires356734[[#This Row],[Fin corrigée si nuit]])-MAX(deb_dimJF,Horaires356734[[#This Row],[début]])),0)+IF(COUNTIF(JF,Horaires356734[[#This Row],[Date]]+1),MAX(0,Horaires356734[[#This Row],[Fin corrigée si nuit]]-(1+deb_dimJF)),0))*24</f>
        <v>0</v>
      </c>
      <c r="S38"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39" spans="1:19" x14ac:dyDescent="0.35">
      <c r="A39" s="9"/>
      <c r="B39" s="1"/>
      <c r="C39" s="2"/>
      <c r="D39" s="2"/>
      <c r="E39" s="3"/>
      <c r="F39" s="3"/>
      <c r="G39" s="3"/>
      <c r="H39" s="3"/>
      <c r="I39" s="57">
        <f>0.1*(Horaires356734[[#This Row],[Heures de nuit]]+Horaires356734[[#This Row],[heures jour dimanche]]+Horaires356734[[#This Row],[heures jour fériés]])</f>
        <v>0</v>
      </c>
      <c r="J39" s="58">
        <f>(MOD(Horaires356734[[#This Row],[Fin]]-Horaires356734[[#This Row],[début]],1)-MOD(Horaires356734[[#This Row],[PNP Fin]]-Horaires356734[[#This Row],[PNP Début]],1))*24</f>
        <v>0</v>
      </c>
      <c r="K39" s="59">
        <f>IF(Horaires356734[[#This Row],[PNP Début]]=0,0,IF(Horaires356734[[#This Row],[PNP Début]]&lt;Horaires356734[[#This Row],[début]],1,0)+Horaires356734[[#This Row],[PNP Début]])</f>
        <v>0</v>
      </c>
      <c r="L39" s="60">
        <f>IF(Horaires356734[[#This Row],[PNP Fin]]=0,0,IF(Horaires356734[[#This Row],[PNP Fin]]&lt;Horaires356734[[#This Row],[début]],1,0)+Horaires356734[[#This Row],[PNP Fin]])</f>
        <v>0</v>
      </c>
      <c r="M39" s="60">
        <f>IF(Horaires356734[[#This Row],[Fin]]&lt;Horaires356734[[#This Row],[début]],1,0)+Horaires356734[[#This Row],[Fin]]</f>
        <v>0</v>
      </c>
      <c r="N39" s="61">
        <f>MAX(0,MIN(Horaires356734[[#This Row],[Fin corrigée si nuit]],fin_nuit)-MAX(Horaires356734[[#This Row],[début]],deb_nuit))*24</f>
        <v>0</v>
      </c>
      <c r="O39" s="62">
        <f>(MAX(0,MIN(Horaires356734[[#This Row],[Fin corrigée si nuit]],fin_nuit)-MAX(Horaires356734[[#This Row],[début]],deb_nuit))-IF(Horaires356734[[#This Row],[PNP Début]]=0,0,MIN(Horaires356734[[#This Row],[PNP Fin corrigée]],fin_nuit)-MAX(Horaires356734[[#This Row],[PNP Début corrigé]],deb_nuit)))*24</f>
        <v>0</v>
      </c>
      <c r="P39" s="62">
        <f>(IF(WEEKDAY(Horaires356734[[#This Row],[Date]],2)=7,MAX(0,MIN(fin_dimJF,Horaires356734[[#This Row],[Fin corrigée si nuit]])-MAX(deb_dimJF,Horaires356734[[#This Row],[début]])),0)+IF(WEEKDAY(Horaires356734[[#This Row],[Date]],2)=6,MAX(0,Horaires356734[[#This Row],[Fin corrigée si nuit]]-(1+deb_dimJF)),0))*24</f>
        <v>0</v>
      </c>
      <c r="Q39"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39" s="62">
        <f>(IF(COUNTIF(JF,Horaires356734[[#This Row],[Date]]),MAX(0,MIN(fin_dimJF,Horaires356734[[#This Row],[Fin corrigée si nuit]])-MAX(deb_dimJF,Horaires356734[[#This Row],[début]])),0)+IF(COUNTIF(JF,Horaires356734[[#This Row],[Date]]+1),MAX(0,Horaires356734[[#This Row],[Fin corrigée si nuit]]-(1+deb_dimJF)),0))*24</f>
        <v>0</v>
      </c>
      <c r="S39"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0" spans="1:19" x14ac:dyDescent="0.35">
      <c r="A40" s="9"/>
      <c r="B40" s="1"/>
      <c r="C40" s="2"/>
      <c r="D40" s="2"/>
      <c r="E40" s="3"/>
      <c r="F40" s="3"/>
      <c r="G40" s="3"/>
      <c r="H40" s="3"/>
      <c r="I40" s="57">
        <f>0.1*(Horaires356734[[#This Row],[Heures de nuit]]+Horaires356734[[#This Row],[heures jour dimanche]]+Horaires356734[[#This Row],[heures jour fériés]])</f>
        <v>0</v>
      </c>
      <c r="J40" s="58">
        <f>(MOD(Horaires356734[[#This Row],[Fin]]-Horaires356734[[#This Row],[début]],1)-MOD(Horaires356734[[#This Row],[PNP Fin]]-Horaires356734[[#This Row],[PNP Début]],1))*24</f>
        <v>0</v>
      </c>
      <c r="K40" s="59">
        <f>IF(Horaires356734[[#This Row],[PNP Début]]=0,0,IF(Horaires356734[[#This Row],[PNP Début]]&lt;Horaires356734[[#This Row],[début]],1,0)+Horaires356734[[#This Row],[PNP Début]])</f>
        <v>0</v>
      </c>
      <c r="L40" s="60">
        <f>IF(Horaires356734[[#This Row],[PNP Fin]]=0,0,IF(Horaires356734[[#This Row],[PNP Fin]]&lt;Horaires356734[[#This Row],[début]],1,0)+Horaires356734[[#This Row],[PNP Fin]])</f>
        <v>0</v>
      </c>
      <c r="M40" s="60">
        <f>IF(Horaires356734[[#This Row],[Fin]]&lt;Horaires356734[[#This Row],[début]],1,0)+Horaires356734[[#This Row],[Fin]]</f>
        <v>0</v>
      </c>
      <c r="N40" s="61">
        <f>MAX(0,MIN(Horaires356734[[#This Row],[Fin corrigée si nuit]],fin_nuit)-MAX(Horaires356734[[#This Row],[début]],deb_nuit))*24</f>
        <v>0</v>
      </c>
      <c r="O40" s="62">
        <f>(MAX(0,MIN(Horaires356734[[#This Row],[Fin corrigée si nuit]],fin_nuit)-MAX(Horaires356734[[#This Row],[début]],deb_nuit))-IF(Horaires356734[[#This Row],[PNP Début]]=0,0,MIN(Horaires356734[[#This Row],[PNP Fin corrigée]],fin_nuit)-MAX(Horaires356734[[#This Row],[PNP Début corrigé]],deb_nuit)))*24</f>
        <v>0</v>
      </c>
      <c r="P40" s="62">
        <f>(IF(WEEKDAY(Horaires356734[[#This Row],[Date]],2)=7,MAX(0,MIN(fin_dimJF,Horaires356734[[#This Row],[Fin corrigée si nuit]])-MAX(deb_dimJF,Horaires356734[[#This Row],[début]])),0)+IF(WEEKDAY(Horaires356734[[#This Row],[Date]],2)=6,MAX(0,Horaires356734[[#This Row],[Fin corrigée si nuit]]-(1+deb_dimJF)),0))*24</f>
        <v>0</v>
      </c>
      <c r="Q40"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0" s="62">
        <f>(IF(COUNTIF(JF,Horaires356734[[#This Row],[Date]]),MAX(0,MIN(fin_dimJF,Horaires356734[[#This Row],[Fin corrigée si nuit]])-MAX(deb_dimJF,Horaires356734[[#This Row],[début]])),0)+IF(COUNTIF(JF,Horaires356734[[#This Row],[Date]]+1),MAX(0,Horaires356734[[#This Row],[Fin corrigée si nuit]]-(1+deb_dimJF)),0))*24</f>
        <v>0</v>
      </c>
      <c r="S40"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1" spans="1:19" x14ac:dyDescent="0.35">
      <c r="A41" s="9"/>
      <c r="B41" s="1"/>
      <c r="C41" s="2"/>
      <c r="D41" s="2"/>
      <c r="E41" s="3"/>
      <c r="F41" s="3"/>
      <c r="G41" s="3"/>
      <c r="H41" s="3"/>
      <c r="I41" s="57">
        <f>0.1*(Horaires356734[[#This Row],[Heures de nuit]]+Horaires356734[[#This Row],[heures jour dimanche]]+Horaires356734[[#This Row],[heures jour fériés]])</f>
        <v>0</v>
      </c>
      <c r="J41" s="58">
        <f>(MOD(Horaires356734[[#This Row],[Fin]]-Horaires356734[[#This Row],[début]],1)-MOD(Horaires356734[[#This Row],[PNP Fin]]-Horaires356734[[#This Row],[PNP Début]],1))*24</f>
        <v>0</v>
      </c>
      <c r="K41" s="59">
        <f>IF(Horaires356734[[#This Row],[PNP Début]]=0,0,IF(Horaires356734[[#This Row],[PNP Début]]&lt;Horaires356734[[#This Row],[début]],1,0)+Horaires356734[[#This Row],[PNP Début]])</f>
        <v>0</v>
      </c>
      <c r="L41" s="60">
        <f>IF(Horaires356734[[#This Row],[PNP Fin]]=0,0,IF(Horaires356734[[#This Row],[PNP Fin]]&lt;Horaires356734[[#This Row],[début]],1,0)+Horaires356734[[#This Row],[PNP Fin]])</f>
        <v>0</v>
      </c>
      <c r="M41" s="60">
        <f>IF(Horaires356734[[#This Row],[Fin]]&lt;Horaires356734[[#This Row],[début]],1,0)+Horaires356734[[#This Row],[Fin]]</f>
        <v>0</v>
      </c>
      <c r="N41" s="61">
        <f>MAX(0,MIN(Horaires356734[[#This Row],[Fin corrigée si nuit]],fin_nuit)-MAX(Horaires356734[[#This Row],[début]],deb_nuit))*24</f>
        <v>0</v>
      </c>
      <c r="O41" s="62">
        <f>(MAX(0,MIN(Horaires356734[[#This Row],[Fin corrigée si nuit]],fin_nuit)-MAX(Horaires356734[[#This Row],[début]],deb_nuit))-IF(Horaires356734[[#This Row],[PNP Début]]=0,0,MIN(Horaires356734[[#This Row],[PNP Fin corrigée]],fin_nuit)-MAX(Horaires356734[[#This Row],[PNP Début corrigé]],deb_nuit)))*24</f>
        <v>0</v>
      </c>
      <c r="P41" s="62">
        <f>(IF(WEEKDAY(Horaires356734[[#This Row],[Date]],2)=7,MAX(0,MIN(fin_dimJF,Horaires356734[[#This Row],[Fin corrigée si nuit]])-MAX(deb_dimJF,Horaires356734[[#This Row],[début]])),0)+IF(WEEKDAY(Horaires356734[[#This Row],[Date]],2)=6,MAX(0,Horaires356734[[#This Row],[Fin corrigée si nuit]]-(1+deb_dimJF)),0))*24</f>
        <v>0</v>
      </c>
      <c r="Q41"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1" s="62">
        <f>(IF(COUNTIF(JF,Horaires356734[[#This Row],[Date]]),MAX(0,MIN(fin_dimJF,Horaires356734[[#This Row],[Fin corrigée si nuit]])-MAX(deb_dimJF,Horaires356734[[#This Row],[début]])),0)+IF(COUNTIF(JF,Horaires356734[[#This Row],[Date]]+1),MAX(0,Horaires356734[[#This Row],[Fin corrigée si nuit]]-(1+deb_dimJF)),0))*24</f>
        <v>0</v>
      </c>
      <c r="S41"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2" spans="1:19" x14ac:dyDescent="0.35">
      <c r="A42" s="9"/>
      <c r="B42" s="1"/>
      <c r="C42" s="2"/>
      <c r="D42" s="2"/>
      <c r="E42" s="3"/>
      <c r="F42" s="3"/>
      <c r="G42" s="3"/>
      <c r="H42" s="3"/>
      <c r="I42" s="57">
        <f>0.1*(Horaires356734[[#This Row],[Heures de nuit]]+Horaires356734[[#This Row],[heures jour dimanche]]+Horaires356734[[#This Row],[heures jour fériés]])</f>
        <v>0</v>
      </c>
      <c r="J42" s="58">
        <f>(MOD(Horaires356734[[#This Row],[Fin]]-Horaires356734[[#This Row],[début]],1)-MOD(Horaires356734[[#This Row],[PNP Fin]]-Horaires356734[[#This Row],[PNP Début]],1))*24</f>
        <v>0</v>
      </c>
      <c r="K42" s="59">
        <f>IF(Horaires356734[[#This Row],[PNP Début]]=0,0,IF(Horaires356734[[#This Row],[PNP Début]]&lt;Horaires356734[[#This Row],[début]],1,0)+Horaires356734[[#This Row],[PNP Début]])</f>
        <v>0</v>
      </c>
      <c r="L42" s="60">
        <f>IF(Horaires356734[[#This Row],[PNP Fin]]=0,0,IF(Horaires356734[[#This Row],[PNP Fin]]&lt;Horaires356734[[#This Row],[début]],1,0)+Horaires356734[[#This Row],[PNP Fin]])</f>
        <v>0</v>
      </c>
      <c r="M42" s="60">
        <f>IF(Horaires356734[[#This Row],[Fin]]&lt;Horaires356734[[#This Row],[début]],1,0)+Horaires356734[[#This Row],[Fin]]</f>
        <v>0</v>
      </c>
      <c r="N42" s="61">
        <f>MAX(0,MIN(Horaires356734[[#This Row],[Fin corrigée si nuit]],fin_nuit)-MAX(Horaires356734[[#This Row],[début]],deb_nuit))*24</f>
        <v>0</v>
      </c>
      <c r="O42" s="62">
        <f>(MAX(0,MIN(Horaires356734[[#This Row],[Fin corrigée si nuit]],fin_nuit)-MAX(Horaires356734[[#This Row],[début]],deb_nuit))-IF(Horaires356734[[#This Row],[PNP Début]]=0,0,MIN(Horaires356734[[#This Row],[PNP Fin corrigée]],fin_nuit)-MAX(Horaires356734[[#This Row],[PNP Début corrigé]],deb_nuit)))*24</f>
        <v>0</v>
      </c>
      <c r="P42" s="62">
        <f>(IF(WEEKDAY(Horaires356734[[#This Row],[Date]],2)=7,MAX(0,MIN(fin_dimJF,Horaires356734[[#This Row],[Fin corrigée si nuit]])-MAX(deb_dimJF,Horaires356734[[#This Row],[début]])),0)+IF(WEEKDAY(Horaires356734[[#This Row],[Date]],2)=6,MAX(0,Horaires356734[[#This Row],[Fin corrigée si nuit]]-(1+deb_dimJF)),0))*24</f>
        <v>0</v>
      </c>
      <c r="Q42"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2" s="62">
        <f>(IF(COUNTIF(JF,Horaires356734[[#This Row],[Date]]),MAX(0,MIN(fin_dimJF,Horaires356734[[#This Row],[Fin corrigée si nuit]])-MAX(deb_dimJF,Horaires356734[[#This Row],[début]])),0)+IF(COUNTIF(JF,Horaires356734[[#This Row],[Date]]+1),MAX(0,Horaires356734[[#This Row],[Fin corrigée si nuit]]-(1+deb_dimJF)),0))*24</f>
        <v>0</v>
      </c>
      <c r="S42"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3" spans="1:19" x14ac:dyDescent="0.35">
      <c r="A43" s="9"/>
      <c r="B43" s="1"/>
      <c r="C43" s="2"/>
      <c r="D43" s="2"/>
      <c r="E43" s="3"/>
      <c r="F43" s="3"/>
      <c r="G43" s="3"/>
      <c r="H43" s="3"/>
      <c r="I43" s="57">
        <f>0.1*(Horaires356734[[#This Row],[Heures de nuit]]+Horaires356734[[#This Row],[heures jour dimanche]]+Horaires356734[[#This Row],[heures jour fériés]])</f>
        <v>0</v>
      </c>
      <c r="J43" s="58">
        <f>(MOD(Horaires356734[[#This Row],[Fin]]-Horaires356734[[#This Row],[début]],1)-MOD(Horaires356734[[#This Row],[PNP Fin]]-Horaires356734[[#This Row],[PNP Début]],1))*24</f>
        <v>0</v>
      </c>
      <c r="K43" s="59">
        <f>IF(Horaires356734[[#This Row],[PNP Début]]=0,0,IF(Horaires356734[[#This Row],[PNP Début]]&lt;Horaires356734[[#This Row],[début]],1,0)+Horaires356734[[#This Row],[PNP Début]])</f>
        <v>0</v>
      </c>
      <c r="L43" s="60">
        <f>IF(Horaires356734[[#This Row],[PNP Fin]]=0,0,IF(Horaires356734[[#This Row],[PNP Fin]]&lt;Horaires356734[[#This Row],[début]],1,0)+Horaires356734[[#This Row],[PNP Fin]])</f>
        <v>0</v>
      </c>
      <c r="M43" s="60">
        <f>IF(Horaires356734[[#This Row],[Fin]]&lt;Horaires356734[[#This Row],[début]],1,0)+Horaires356734[[#This Row],[Fin]]</f>
        <v>0</v>
      </c>
      <c r="N43" s="61">
        <f>MAX(0,MIN(Horaires356734[[#This Row],[Fin corrigée si nuit]],fin_nuit)-MAX(Horaires356734[[#This Row],[début]],deb_nuit))*24</f>
        <v>0</v>
      </c>
      <c r="O43" s="62">
        <f>(MAX(0,MIN(Horaires356734[[#This Row],[Fin corrigée si nuit]],fin_nuit)-MAX(Horaires356734[[#This Row],[début]],deb_nuit))-IF(Horaires356734[[#This Row],[PNP Début]]=0,0,MIN(Horaires356734[[#This Row],[PNP Fin corrigée]],fin_nuit)-MAX(Horaires356734[[#This Row],[PNP Début corrigé]],deb_nuit)))*24</f>
        <v>0</v>
      </c>
      <c r="P43" s="62">
        <f>(IF(WEEKDAY(Horaires356734[[#This Row],[Date]],2)=7,MAX(0,MIN(fin_dimJF,Horaires356734[[#This Row],[Fin corrigée si nuit]])-MAX(deb_dimJF,Horaires356734[[#This Row],[début]])),0)+IF(WEEKDAY(Horaires356734[[#This Row],[Date]],2)=6,MAX(0,Horaires356734[[#This Row],[Fin corrigée si nuit]]-(1+deb_dimJF)),0))*24</f>
        <v>0</v>
      </c>
      <c r="Q43"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3" s="62">
        <f>(IF(COUNTIF(JF,Horaires356734[[#This Row],[Date]]),MAX(0,MIN(fin_dimJF,Horaires356734[[#This Row],[Fin corrigée si nuit]])-MAX(deb_dimJF,Horaires356734[[#This Row],[début]])),0)+IF(COUNTIF(JF,Horaires356734[[#This Row],[Date]]+1),MAX(0,Horaires356734[[#This Row],[Fin corrigée si nuit]]-(1+deb_dimJF)),0))*24</f>
        <v>0</v>
      </c>
      <c r="S43"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4" spans="1:19" x14ac:dyDescent="0.35">
      <c r="A44" s="9"/>
      <c r="B44" s="1"/>
      <c r="C44" s="2"/>
      <c r="D44" s="2"/>
      <c r="E44" s="3"/>
      <c r="F44" s="3"/>
      <c r="G44" s="3"/>
      <c r="H44" s="3"/>
      <c r="I44" s="57">
        <f>0.1*(Horaires356734[[#This Row],[Heures de nuit]]+Horaires356734[[#This Row],[heures jour dimanche]]+Horaires356734[[#This Row],[heures jour fériés]])</f>
        <v>0</v>
      </c>
      <c r="J44" s="58">
        <f>(MOD(Horaires356734[[#This Row],[Fin]]-Horaires356734[[#This Row],[début]],1)-MOD(Horaires356734[[#This Row],[PNP Fin]]-Horaires356734[[#This Row],[PNP Début]],1))*24</f>
        <v>0</v>
      </c>
      <c r="K44" s="59">
        <f>IF(Horaires356734[[#This Row],[PNP Début]]=0,0,IF(Horaires356734[[#This Row],[PNP Début]]&lt;Horaires356734[[#This Row],[début]],1,0)+Horaires356734[[#This Row],[PNP Début]])</f>
        <v>0</v>
      </c>
      <c r="L44" s="60">
        <f>IF(Horaires356734[[#This Row],[PNP Fin]]=0,0,IF(Horaires356734[[#This Row],[PNP Fin]]&lt;Horaires356734[[#This Row],[début]],1,0)+Horaires356734[[#This Row],[PNP Fin]])</f>
        <v>0</v>
      </c>
      <c r="M44" s="60">
        <f>IF(Horaires356734[[#This Row],[Fin]]&lt;Horaires356734[[#This Row],[début]],1,0)+Horaires356734[[#This Row],[Fin]]</f>
        <v>0</v>
      </c>
      <c r="N44" s="61">
        <f>MAX(0,MIN(Horaires356734[[#This Row],[Fin corrigée si nuit]],fin_nuit)-MAX(Horaires356734[[#This Row],[début]],deb_nuit))*24</f>
        <v>0</v>
      </c>
      <c r="O44" s="62">
        <f>(MAX(0,MIN(Horaires356734[[#This Row],[Fin corrigée si nuit]],fin_nuit)-MAX(Horaires356734[[#This Row],[début]],deb_nuit))-IF(Horaires356734[[#This Row],[PNP Début]]=0,0,MIN(Horaires356734[[#This Row],[PNP Fin corrigée]],fin_nuit)-MAX(Horaires356734[[#This Row],[PNP Début corrigé]],deb_nuit)))*24</f>
        <v>0</v>
      </c>
      <c r="P44" s="62">
        <f>(IF(WEEKDAY(Horaires356734[[#This Row],[Date]],2)=7,MAX(0,MIN(fin_dimJF,Horaires356734[[#This Row],[Fin corrigée si nuit]])-MAX(deb_dimJF,Horaires356734[[#This Row],[début]])),0)+IF(WEEKDAY(Horaires356734[[#This Row],[Date]],2)=6,MAX(0,Horaires356734[[#This Row],[Fin corrigée si nuit]]-(1+deb_dimJF)),0))*24</f>
        <v>0</v>
      </c>
      <c r="Q44"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4" s="62">
        <f>(IF(COUNTIF(JF,Horaires356734[[#This Row],[Date]]),MAX(0,MIN(fin_dimJF,Horaires356734[[#This Row],[Fin corrigée si nuit]])-MAX(deb_dimJF,Horaires356734[[#This Row],[début]])),0)+IF(COUNTIF(JF,Horaires356734[[#This Row],[Date]]+1),MAX(0,Horaires356734[[#This Row],[Fin corrigée si nuit]]-(1+deb_dimJF)),0))*24</f>
        <v>0</v>
      </c>
      <c r="S44"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5" spans="1:19" x14ac:dyDescent="0.35">
      <c r="A45" s="9"/>
      <c r="B45" s="1"/>
      <c r="C45" s="2"/>
      <c r="D45" s="2"/>
      <c r="E45" s="3"/>
      <c r="F45" s="3"/>
      <c r="G45" s="3"/>
      <c r="H45" s="3"/>
      <c r="I45" s="57">
        <f>0.1*(Horaires356734[[#This Row],[Heures de nuit]]+Horaires356734[[#This Row],[heures jour dimanche]]+Horaires356734[[#This Row],[heures jour fériés]])</f>
        <v>0</v>
      </c>
      <c r="J45" s="58">
        <f>(MOD(Horaires356734[[#This Row],[Fin]]-Horaires356734[[#This Row],[début]],1)-MOD(Horaires356734[[#This Row],[PNP Fin]]-Horaires356734[[#This Row],[PNP Début]],1))*24</f>
        <v>0</v>
      </c>
      <c r="K45" s="59">
        <f>IF(Horaires356734[[#This Row],[PNP Début]]=0,0,IF(Horaires356734[[#This Row],[PNP Début]]&lt;Horaires356734[[#This Row],[début]],1,0)+Horaires356734[[#This Row],[PNP Début]])</f>
        <v>0</v>
      </c>
      <c r="L45" s="60">
        <f>IF(Horaires356734[[#This Row],[PNP Fin]]=0,0,IF(Horaires356734[[#This Row],[PNP Fin]]&lt;Horaires356734[[#This Row],[début]],1,0)+Horaires356734[[#This Row],[PNP Fin]])</f>
        <v>0</v>
      </c>
      <c r="M45" s="60">
        <f>IF(Horaires356734[[#This Row],[Fin]]&lt;Horaires356734[[#This Row],[début]],1,0)+Horaires356734[[#This Row],[Fin]]</f>
        <v>0</v>
      </c>
      <c r="N45" s="61">
        <f>MAX(0,MIN(Horaires356734[[#This Row],[Fin corrigée si nuit]],fin_nuit)-MAX(Horaires356734[[#This Row],[début]],deb_nuit))*24</f>
        <v>0</v>
      </c>
      <c r="O45" s="62">
        <f>(MAX(0,MIN(Horaires356734[[#This Row],[Fin corrigée si nuit]],fin_nuit)-MAX(Horaires356734[[#This Row],[début]],deb_nuit))-IF(Horaires356734[[#This Row],[PNP Début]]=0,0,MIN(Horaires356734[[#This Row],[PNP Fin corrigée]],fin_nuit)-MAX(Horaires356734[[#This Row],[PNP Début corrigé]],deb_nuit)))*24</f>
        <v>0</v>
      </c>
      <c r="P45" s="62">
        <f>(IF(WEEKDAY(Horaires356734[[#This Row],[Date]],2)=7,MAX(0,MIN(fin_dimJF,Horaires356734[[#This Row],[Fin corrigée si nuit]])-MAX(deb_dimJF,Horaires356734[[#This Row],[début]])),0)+IF(WEEKDAY(Horaires356734[[#This Row],[Date]],2)=6,MAX(0,Horaires356734[[#This Row],[Fin corrigée si nuit]]-(1+deb_dimJF)),0))*24</f>
        <v>0</v>
      </c>
      <c r="Q45"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5" s="62">
        <f>(IF(COUNTIF(JF,Horaires356734[[#This Row],[Date]]),MAX(0,MIN(fin_dimJF,Horaires356734[[#This Row],[Fin corrigée si nuit]])-MAX(deb_dimJF,Horaires356734[[#This Row],[début]])),0)+IF(COUNTIF(JF,Horaires356734[[#This Row],[Date]]+1),MAX(0,Horaires356734[[#This Row],[Fin corrigée si nuit]]-(1+deb_dimJF)),0))*24</f>
        <v>0</v>
      </c>
      <c r="S45"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6" spans="1:19" x14ac:dyDescent="0.35">
      <c r="A46" s="9"/>
      <c r="B46" s="1"/>
      <c r="C46" s="2"/>
      <c r="D46" s="2"/>
      <c r="E46" s="3"/>
      <c r="F46" s="3"/>
      <c r="G46" s="3"/>
      <c r="H46" s="3"/>
      <c r="I46" s="57">
        <f>0.1*(Horaires356734[[#This Row],[Heures de nuit]]+Horaires356734[[#This Row],[heures jour dimanche]]+Horaires356734[[#This Row],[heures jour fériés]])</f>
        <v>0</v>
      </c>
      <c r="J46" s="58">
        <f>(MOD(Horaires356734[[#This Row],[Fin]]-Horaires356734[[#This Row],[début]],1)-MOD(Horaires356734[[#This Row],[PNP Fin]]-Horaires356734[[#This Row],[PNP Début]],1))*24</f>
        <v>0</v>
      </c>
      <c r="K46" s="59">
        <f>IF(Horaires356734[[#This Row],[PNP Début]]=0,0,IF(Horaires356734[[#This Row],[PNP Début]]&lt;Horaires356734[[#This Row],[début]],1,0)+Horaires356734[[#This Row],[PNP Début]])</f>
        <v>0</v>
      </c>
      <c r="L46" s="60">
        <f>IF(Horaires356734[[#This Row],[PNP Fin]]=0,0,IF(Horaires356734[[#This Row],[PNP Fin]]&lt;Horaires356734[[#This Row],[début]],1,0)+Horaires356734[[#This Row],[PNP Fin]])</f>
        <v>0</v>
      </c>
      <c r="M46" s="60">
        <f>IF(Horaires356734[[#This Row],[Fin]]&lt;Horaires356734[[#This Row],[début]],1,0)+Horaires356734[[#This Row],[Fin]]</f>
        <v>0</v>
      </c>
      <c r="N46" s="61">
        <f>MAX(0,MIN(Horaires356734[[#This Row],[Fin corrigée si nuit]],fin_nuit)-MAX(Horaires356734[[#This Row],[début]],deb_nuit))*24</f>
        <v>0</v>
      </c>
      <c r="O46" s="62">
        <f>(MAX(0,MIN(Horaires356734[[#This Row],[Fin corrigée si nuit]],fin_nuit)-MAX(Horaires356734[[#This Row],[début]],deb_nuit))-IF(Horaires356734[[#This Row],[PNP Début]]=0,0,MIN(Horaires356734[[#This Row],[PNP Fin corrigée]],fin_nuit)-MAX(Horaires356734[[#This Row],[PNP Début corrigé]],deb_nuit)))*24</f>
        <v>0</v>
      </c>
      <c r="P46" s="62">
        <f>(IF(WEEKDAY(Horaires356734[[#This Row],[Date]],2)=7,MAX(0,MIN(fin_dimJF,Horaires356734[[#This Row],[Fin corrigée si nuit]])-MAX(deb_dimJF,Horaires356734[[#This Row],[début]])),0)+IF(WEEKDAY(Horaires356734[[#This Row],[Date]],2)=6,MAX(0,Horaires356734[[#This Row],[Fin corrigée si nuit]]-(1+deb_dimJF)),0))*24</f>
        <v>0</v>
      </c>
      <c r="Q46"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6" s="62">
        <f>(IF(COUNTIF(JF,Horaires356734[[#This Row],[Date]]),MAX(0,MIN(fin_dimJF,Horaires356734[[#This Row],[Fin corrigée si nuit]])-MAX(deb_dimJF,Horaires356734[[#This Row],[début]])),0)+IF(COUNTIF(JF,Horaires356734[[#This Row],[Date]]+1),MAX(0,Horaires356734[[#This Row],[Fin corrigée si nuit]]-(1+deb_dimJF)),0))*24</f>
        <v>0</v>
      </c>
      <c r="S46"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7" spans="1:19" x14ac:dyDescent="0.35">
      <c r="A47" s="9"/>
      <c r="B47" s="1"/>
      <c r="C47" s="2"/>
      <c r="D47" s="2"/>
      <c r="E47" s="3"/>
      <c r="F47" s="3"/>
      <c r="G47" s="3"/>
      <c r="H47" s="3"/>
      <c r="I47" s="57">
        <f>0.1*(Horaires356734[[#This Row],[Heures de nuit]]+Horaires356734[[#This Row],[heures jour dimanche]]+Horaires356734[[#This Row],[heures jour fériés]])</f>
        <v>0</v>
      </c>
      <c r="J47" s="58">
        <f>(MOD(Horaires356734[[#This Row],[Fin]]-Horaires356734[[#This Row],[début]],1)-MOD(Horaires356734[[#This Row],[PNP Fin]]-Horaires356734[[#This Row],[PNP Début]],1))*24</f>
        <v>0</v>
      </c>
      <c r="K47" s="59">
        <f>IF(Horaires356734[[#This Row],[PNP Début]]=0,0,IF(Horaires356734[[#This Row],[PNP Début]]&lt;Horaires356734[[#This Row],[début]],1,0)+Horaires356734[[#This Row],[PNP Début]])</f>
        <v>0</v>
      </c>
      <c r="L47" s="60">
        <f>IF(Horaires356734[[#This Row],[PNP Fin]]=0,0,IF(Horaires356734[[#This Row],[PNP Fin]]&lt;Horaires356734[[#This Row],[début]],1,0)+Horaires356734[[#This Row],[PNP Fin]])</f>
        <v>0</v>
      </c>
      <c r="M47" s="60">
        <f>IF(Horaires356734[[#This Row],[Fin]]&lt;Horaires356734[[#This Row],[début]],1,0)+Horaires356734[[#This Row],[Fin]]</f>
        <v>0</v>
      </c>
      <c r="N47" s="61">
        <f>MAX(0,MIN(Horaires356734[[#This Row],[Fin corrigée si nuit]],fin_nuit)-MAX(Horaires356734[[#This Row],[début]],deb_nuit))*24</f>
        <v>0</v>
      </c>
      <c r="O47" s="62">
        <f>(MAX(0,MIN(Horaires356734[[#This Row],[Fin corrigée si nuit]],fin_nuit)-MAX(Horaires356734[[#This Row],[début]],deb_nuit))-IF(Horaires356734[[#This Row],[PNP Début]]=0,0,MIN(Horaires356734[[#This Row],[PNP Fin corrigée]],fin_nuit)-MAX(Horaires356734[[#This Row],[PNP Début corrigé]],deb_nuit)))*24</f>
        <v>0</v>
      </c>
      <c r="P47" s="62">
        <f>(IF(WEEKDAY(Horaires356734[[#This Row],[Date]],2)=7,MAX(0,MIN(fin_dimJF,Horaires356734[[#This Row],[Fin corrigée si nuit]])-MAX(deb_dimJF,Horaires356734[[#This Row],[début]])),0)+IF(WEEKDAY(Horaires356734[[#This Row],[Date]],2)=6,MAX(0,Horaires356734[[#This Row],[Fin corrigée si nuit]]-(1+deb_dimJF)),0))*24</f>
        <v>0</v>
      </c>
      <c r="Q47"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7" s="62">
        <f>(IF(COUNTIF(JF,Horaires356734[[#This Row],[Date]]),MAX(0,MIN(fin_dimJF,Horaires356734[[#This Row],[Fin corrigée si nuit]])-MAX(deb_dimJF,Horaires356734[[#This Row],[début]])),0)+IF(COUNTIF(JF,Horaires356734[[#This Row],[Date]]+1),MAX(0,Horaires356734[[#This Row],[Fin corrigée si nuit]]-(1+deb_dimJF)),0))*24</f>
        <v>0</v>
      </c>
      <c r="S47"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8" spans="1:19" x14ac:dyDescent="0.35">
      <c r="A48" s="9"/>
      <c r="B48" s="1"/>
      <c r="C48" s="2"/>
      <c r="D48" s="2"/>
      <c r="E48" s="3"/>
      <c r="F48" s="3"/>
      <c r="G48" s="3"/>
      <c r="H48" s="3"/>
      <c r="I48" s="57">
        <f>0.1*(Horaires356734[[#This Row],[Heures de nuit]]+Horaires356734[[#This Row],[heures jour dimanche]]+Horaires356734[[#This Row],[heures jour fériés]])</f>
        <v>0</v>
      </c>
      <c r="J48" s="58">
        <f>(MOD(Horaires356734[[#This Row],[Fin]]-Horaires356734[[#This Row],[début]],1)-MOD(Horaires356734[[#This Row],[PNP Fin]]-Horaires356734[[#This Row],[PNP Début]],1))*24</f>
        <v>0</v>
      </c>
      <c r="K48" s="59">
        <f>IF(Horaires356734[[#This Row],[PNP Début]]=0,0,IF(Horaires356734[[#This Row],[PNP Début]]&lt;Horaires356734[[#This Row],[début]],1,0)+Horaires356734[[#This Row],[PNP Début]])</f>
        <v>0</v>
      </c>
      <c r="L48" s="60">
        <f>IF(Horaires356734[[#This Row],[PNP Fin]]=0,0,IF(Horaires356734[[#This Row],[PNP Fin]]&lt;Horaires356734[[#This Row],[début]],1,0)+Horaires356734[[#This Row],[PNP Fin]])</f>
        <v>0</v>
      </c>
      <c r="M48" s="60">
        <f>IF(Horaires356734[[#This Row],[Fin]]&lt;Horaires356734[[#This Row],[début]],1,0)+Horaires356734[[#This Row],[Fin]]</f>
        <v>0</v>
      </c>
      <c r="N48" s="61">
        <f>MAX(0,MIN(Horaires356734[[#This Row],[Fin corrigée si nuit]],fin_nuit)-MAX(Horaires356734[[#This Row],[début]],deb_nuit))*24</f>
        <v>0</v>
      </c>
      <c r="O48" s="62">
        <f>(MAX(0,MIN(Horaires356734[[#This Row],[Fin corrigée si nuit]],fin_nuit)-MAX(Horaires356734[[#This Row],[début]],deb_nuit))-IF(Horaires356734[[#This Row],[PNP Début]]=0,0,MIN(Horaires356734[[#This Row],[PNP Fin corrigée]],fin_nuit)-MAX(Horaires356734[[#This Row],[PNP Début corrigé]],deb_nuit)))*24</f>
        <v>0</v>
      </c>
      <c r="P48" s="62">
        <f>(IF(WEEKDAY(Horaires356734[[#This Row],[Date]],2)=7,MAX(0,MIN(fin_dimJF,Horaires356734[[#This Row],[Fin corrigée si nuit]])-MAX(deb_dimJF,Horaires356734[[#This Row],[début]])),0)+IF(WEEKDAY(Horaires356734[[#This Row],[Date]],2)=6,MAX(0,Horaires356734[[#This Row],[Fin corrigée si nuit]]-(1+deb_dimJF)),0))*24</f>
        <v>0</v>
      </c>
      <c r="Q48"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8" s="62">
        <f>(IF(COUNTIF(JF,Horaires356734[[#This Row],[Date]]),MAX(0,MIN(fin_dimJF,Horaires356734[[#This Row],[Fin corrigée si nuit]])-MAX(deb_dimJF,Horaires356734[[#This Row],[début]])),0)+IF(COUNTIF(JF,Horaires356734[[#This Row],[Date]]+1),MAX(0,Horaires356734[[#This Row],[Fin corrigée si nuit]]-(1+deb_dimJF)),0))*24</f>
        <v>0</v>
      </c>
      <c r="S48"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49" spans="1:19" ht="15" thickBot="1" x14ac:dyDescent="0.4">
      <c r="A49" s="9"/>
      <c r="B49" s="1"/>
      <c r="C49" s="2"/>
      <c r="D49" s="2"/>
      <c r="E49" s="3"/>
      <c r="F49" s="3"/>
      <c r="G49" s="3"/>
      <c r="H49" s="3"/>
      <c r="I49" s="57">
        <f>0.1*(Horaires356734[[#This Row],[Heures de nuit]]+Horaires356734[[#This Row],[heures jour dimanche]]+Horaires356734[[#This Row],[heures jour fériés]])</f>
        <v>0</v>
      </c>
      <c r="J49" s="58">
        <f>(MOD(Horaires356734[[#This Row],[Fin]]-Horaires356734[[#This Row],[début]],1)-MOD(Horaires356734[[#This Row],[PNP Fin]]-Horaires356734[[#This Row],[PNP Début]],1))*24</f>
        <v>0</v>
      </c>
      <c r="K49" s="59">
        <f>IF(Horaires356734[[#This Row],[PNP Début]]=0,0,IF(Horaires356734[[#This Row],[PNP Début]]&lt;Horaires356734[[#This Row],[début]],1,0)+Horaires356734[[#This Row],[PNP Début]])</f>
        <v>0</v>
      </c>
      <c r="L49" s="60">
        <f>IF(Horaires356734[[#This Row],[PNP Fin]]=0,0,IF(Horaires356734[[#This Row],[PNP Fin]]&lt;Horaires356734[[#This Row],[début]],1,0)+Horaires356734[[#This Row],[PNP Fin]])</f>
        <v>0</v>
      </c>
      <c r="M49" s="60">
        <f>IF(Horaires356734[[#This Row],[Fin]]&lt;Horaires356734[[#This Row],[début]],1,0)+Horaires356734[[#This Row],[Fin]]</f>
        <v>0</v>
      </c>
      <c r="N49" s="61">
        <f>MAX(0,MIN(Horaires356734[[#This Row],[Fin corrigée si nuit]],fin_nuit)-MAX(Horaires356734[[#This Row],[début]],deb_nuit))*24</f>
        <v>0</v>
      </c>
      <c r="O49" s="62">
        <f>(MAX(0,MIN(Horaires356734[[#This Row],[Fin corrigée si nuit]],fin_nuit)-MAX(Horaires356734[[#This Row],[début]],deb_nuit))-IF(Horaires356734[[#This Row],[PNP Début]]=0,0,MIN(Horaires356734[[#This Row],[PNP Fin corrigée]],fin_nuit)-MAX(Horaires356734[[#This Row],[PNP Début corrigé]],deb_nuit)))*24</f>
        <v>0</v>
      </c>
      <c r="P49" s="62">
        <f>(IF(WEEKDAY(Horaires356734[[#This Row],[Date]],2)=7,MAX(0,MIN(fin_dimJF,Horaires356734[[#This Row],[Fin corrigée si nuit]])-MAX(deb_dimJF,Horaires356734[[#This Row],[début]])),0)+IF(WEEKDAY(Horaires356734[[#This Row],[Date]],2)=6,MAX(0,Horaires356734[[#This Row],[Fin corrigée si nuit]]-(1+deb_dimJF)),0))*24</f>
        <v>0</v>
      </c>
      <c r="Q49" s="62">
        <f>(IF(WEEKDAY(Horaires356734[[#This Row],[Date]],2)=7,MAX(0,MIN(fin_dimJF,Horaires356734[[#This Row],[Fin corrigée si nuit]])-MAX(deb_dimJF,Horaires356734[[#This Row],[début]])),0)+IF(WEEKDAY(Horaires356734[[#This Row],[Date]],2)=6,MAX(0,Horaires356734[[#This Row],[Fin corrigée si nuit]]-(1+deb_dimJF)),0))*24-
(IF(WEEKDAY(Horaires356734[[#This Row],[Date]],2)=7,MAX(0,MIN(fin_dimJF,Horaires356734[[#This Row],[PNP Fin corrigée]])-MAX(deb_dimJF,Horaires356734[[#This Row],[PNP Début corrigé]])),0)+IF(WEEKDAY(Horaires356734[[#This Row],[Date]],2)=6,MAX(0,Horaires356734[[#This Row],[PNP Fin corrigée]]-(1+deb_dimJF)),0))*24</f>
        <v>0</v>
      </c>
      <c r="R49" s="62">
        <f>(IF(COUNTIF(JF,Horaires356734[[#This Row],[Date]]),MAX(0,MIN(fin_dimJF,Horaires356734[[#This Row],[Fin corrigée si nuit]])-MAX(deb_dimJF,Horaires356734[[#This Row],[début]])),0)+IF(COUNTIF(JF,Horaires356734[[#This Row],[Date]]+1),MAX(0,Horaires356734[[#This Row],[Fin corrigée si nuit]]-(1+deb_dimJF)),0))*24</f>
        <v>0</v>
      </c>
      <c r="S49" s="62">
        <f>(IF(COUNTIF(JF,Horaires356734[[#This Row],[Date]]),MAX(0,MIN(fin_dimJF,Horaires356734[[#This Row],[Fin corrigée si nuit]])-MAX(deb_dimJF,Horaires356734[[#This Row],[début]])),0)+IF(COUNTIF(JF,Horaires356734[[#This Row],[Date]]+1),MAX(0,Horaires356734[[#This Row],[Fin corrigée si nuit]]-(1+deb_dimJF)),0))*24-
(IF(COUNTIF(JF,Horaires356734[[#This Row],[Date]]),MAX(0,MIN(fin_dimJF,Horaires356734[[#This Row],[PNP Fin corrigée]])-MAX(deb_dimJF,Horaires356734[[#This Row],[PNP Début corrigé]])),0)+IF(COUNTIF(JF,Horaires356734[[#This Row],[Date]]+1),MAX(0,Horaires356734[[#This Row],[PNP Fin corrigée]]-(1+deb_dimJF)),0))*24</f>
        <v>0</v>
      </c>
    </row>
    <row r="50" spans="1:19" ht="16" thickBot="1" x14ac:dyDescent="0.4">
      <c r="A50" s="63"/>
      <c r="B50" s="25"/>
      <c r="C50" s="25"/>
      <c r="D50" s="25"/>
      <c r="E50" s="106" t="s">
        <v>32</v>
      </c>
      <c r="F50" s="107"/>
      <c r="G50" s="107"/>
      <c r="H50" s="108"/>
      <c r="I50" s="64">
        <f>SUM(Horaires356734[Majoration])</f>
        <v>0</v>
      </c>
      <c r="J50" s="65">
        <f>SUM(Horaires356734[Heures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K12:N49"/>
  </dataValidations>
  <printOptions horizontalCentered="1"/>
  <pageMargins left="0" right="0" top="0" bottom="0" header="0" footer="0"/>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S60"/>
  <sheetViews>
    <sheetView workbookViewId="0">
      <selection sqref="A1:B2"/>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0.1*(Horaires3567345[[#This Row],[Heures de nuit]]+Horaires3567345[[#This Row],[heures jour dimanche]]+Horaires3567345[[#This Row],[heures jour fériés]])</f>
        <v>0</v>
      </c>
      <c r="J13" s="39">
        <f>(MOD(Horaires3567345[[#This Row],[Fin]]-Horaires3567345[[#This Row],[début]],1)-MOD(Horaires3567345[[#This Row],[PNP Fin]]-Horaires3567345[[#This Row],[PNP Début]],1))*24</f>
        <v>0</v>
      </c>
      <c r="K13" s="40">
        <f>IF(Horaires3567345[[#This Row],[PNP Début]]=0,0,IF(Horaires3567345[[#This Row],[PNP Début]]&lt;Horaires3567345[[#This Row],[début]],1,0)+Horaires3567345[[#This Row],[PNP Début]])</f>
        <v>0</v>
      </c>
      <c r="L13" s="40">
        <f>IF(Horaires3567345[[#This Row],[PNP Fin]]=0,0,IF(Horaires3567345[[#This Row],[PNP Fin]]&lt;Horaires3567345[[#This Row],[début]],1,0)+Horaires3567345[[#This Row],[PNP Fin]])</f>
        <v>0</v>
      </c>
      <c r="M13" s="40">
        <f>IF(Horaires3567345[[#This Row],[Fin]]&lt;Horaires3567345[[#This Row],[début]],1,0)+Horaires3567345[[#This Row],[Fin]]</f>
        <v>0</v>
      </c>
      <c r="N13" s="41">
        <f>MAX(0,MIN(Horaires3567345[[#This Row],[Fin corrigée si nuit]],fin_nuit)-MAX(Horaires3567345[[#This Row],[début]],deb_nuit))*24</f>
        <v>0</v>
      </c>
      <c r="O13" s="41">
        <f>(MAX(0,MIN(Horaires3567345[[#This Row],[Fin corrigée si nuit]],fin_nuit)-MAX(Horaires3567345[[#This Row],[début]],deb_nuit))-IF(Horaires3567345[[#This Row],[PNP Début]]=0,0,MIN(Horaires3567345[[#This Row],[PNP Fin corrigée]],fin_nuit)-MAX(Horaires3567345[[#This Row],[PNP Début corrigé]],deb_nuit)))*24</f>
        <v>0</v>
      </c>
      <c r="P13" s="41">
        <f>(IF(WEEKDAY(Horaires3567345[[#This Row],[Date]],2)=7,MAX(0,MIN(fin_dimJF,Horaires3567345[[#This Row],[Fin corrigée si nuit]])-MAX(deb_dimJF,Horaires3567345[[#This Row],[début]])),0)+IF(WEEKDAY(Horaires3567345[[#This Row],[Date]],2)=6,MAX(0,Horaires3567345[[#This Row],[Fin corrigée si nuit]]-(1+deb_dimJF)),0))*24</f>
        <v>0</v>
      </c>
      <c r="Q13" s="4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13" s="42">
        <f>(IF(COUNTIF(JF,Horaires3567345[[#This Row],[Date]]),MAX(0,MIN(fin_dimJF,Horaires3567345[[#This Row],[Fin corrigée si nuit]])-MAX(deb_dimJF,Horaires3567345[[#This Row],[début]])),0)+IF(COUNTIF(JF,Horaires3567345[[#This Row],[Date]]+1),MAX(0,Horaires3567345[[#This Row],[Fin corrigée si nuit]]-(1+deb_dimJF)),0))*24</f>
        <v>0</v>
      </c>
      <c r="S13" s="4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14" spans="1:19" x14ac:dyDescent="0.35">
      <c r="A14" s="9"/>
      <c r="B14" s="1"/>
      <c r="C14" s="2"/>
      <c r="D14" s="2"/>
      <c r="E14" s="3"/>
      <c r="F14" s="3"/>
      <c r="G14" s="3"/>
      <c r="H14" s="3"/>
      <c r="I14" s="38">
        <f>0.1*(Horaires3567345[[#This Row],[Heures de nuit]]+Horaires3567345[[#This Row],[heures jour dimanche]]+Horaires3567345[[#This Row],[heures jour fériés]])</f>
        <v>0</v>
      </c>
      <c r="J14" s="39">
        <f>(MOD(Horaires3567345[[#This Row],[Fin]]-Horaires3567345[[#This Row],[début]],1)-MOD(Horaires3567345[[#This Row],[PNP Fin]]-Horaires3567345[[#This Row],[PNP Début]],1))*24</f>
        <v>0</v>
      </c>
      <c r="K14" s="40">
        <f>IF(Horaires3567345[[#This Row],[PNP Début]]=0,0,IF(Horaires3567345[[#This Row],[PNP Début]]&lt;Horaires3567345[[#This Row],[début]],1,0)+Horaires3567345[[#This Row],[PNP Début]])</f>
        <v>0</v>
      </c>
      <c r="L14" s="40">
        <f>IF(Horaires3567345[[#This Row],[PNP Fin]]=0,0,IF(Horaires3567345[[#This Row],[PNP Fin]]&lt;Horaires3567345[[#This Row],[début]],1,0)+Horaires3567345[[#This Row],[PNP Fin]])</f>
        <v>0</v>
      </c>
      <c r="M14" s="40">
        <f>IF(Horaires3567345[[#This Row],[Fin]]&lt;Horaires3567345[[#This Row],[début]],1,0)+Horaires3567345[[#This Row],[Fin]]</f>
        <v>0</v>
      </c>
      <c r="N14" s="41">
        <f>MAX(0,MIN(Horaires3567345[[#This Row],[Fin corrigée si nuit]],fin_nuit)-MAX(Horaires3567345[[#This Row],[début]],deb_nuit))*24</f>
        <v>0</v>
      </c>
      <c r="O14" s="41">
        <f>(MAX(0,MIN(Horaires3567345[[#This Row],[Fin corrigée si nuit]],fin_nuit)-MAX(Horaires3567345[[#This Row],[début]],deb_nuit))-IF(Horaires3567345[[#This Row],[PNP Début]]=0,0,MIN(Horaires3567345[[#This Row],[PNP Fin corrigée]],fin_nuit)-MAX(Horaires3567345[[#This Row],[PNP Début corrigé]],deb_nuit)))*24</f>
        <v>0</v>
      </c>
      <c r="P14" s="41">
        <f>(IF(WEEKDAY(Horaires3567345[[#This Row],[Date]],2)=7,MAX(0,MIN(fin_dimJF,Horaires3567345[[#This Row],[Fin corrigée si nuit]])-MAX(deb_dimJF,Horaires3567345[[#This Row],[début]])),0)+IF(WEEKDAY(Horaires3567345[[#This Row],[Date]],2)=6,MAX(0,Horaires3567345[[#This Row],[Fin corrigée si nuit]]-(1+deb_dimJF)),0))*24</f>
        <v>0</v>
      </c>
      <c r="Q14" s="4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14" s="42">
        <f>(IF(COUNTIF(JF,Horaires3567345[[#This Row],[Date]]),MAX(0,MIN(fin_dimJF,Horaires3567345[[#This Row],[Fin corrigée si nuit]])-MAX(deb_dimJF,Horaires3567345[[#This Row],[début]])),0)+IF(COUNTIF(JF,Horaires3567345[[#This Row],[Date]]+1),MAX(0,Horaires3567345[[#This Row],[Fin corrigée si nuit]]-(1+deb_dimJF)),0))*24</f>
        <v>0</v>
      </c>
      <c r="S14" s="4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15" spans="1:19" x14ac:dyDescent="0.35">
      <c r="A15" s="9"/>
      <c r="B15" s="1"/>
      <c r="C15" s="2"/>
      <c r="D15" s="2"/>
      <c r="E15" s="3"/>
      <c r="F15" s="3"/>
      <c r="G15" s="3"/>
      <c r="H15" s="3"/>
      <c r="I15" s="38">
        <f>0.1*(Horaires3567345[[#This Row],[Heures de nuit]]+Horaires3567345[[#This Row],[heures jour dimanche]]+Horaires3567345[[#This Row],[heures jour fériés]])</f>
        <v>0</v>
      </c>
      <c r="J15" s="39">
        <f>(MOD(Horaires3567345[[#This Row],[Fin]]-Horaires3567345[[#This Row],[début]],1)-MOD(Horaires3567345[[#This Row],[PNP Fin]]-Horaires3567345[[#This Row],[PNP Début]],1))*24</f>
        <v>0</v>
      </c>
      <c r="K15" s="40">
        <f>IF(Horaires3567345[[#This Row],[PNP Début]]=0,0,IF(Horaires3567345[[#This Row],[PNP Début]]&lt;Horaires3567345[[#This Row],[début]],1,0)+Horaires3567345[[#This Row],[PNP Début]])</f>
        <v>0</v>
      </c>
      <c r="L15" s="40">
        <f>IF(Horaires3567345[[#This Row],[PNP Fin]]=0,0,IF(Horaires3567345[[#This Row],[PNP Fin]]&lt;Horaires3567345[[#This Row],[début]],1,0)+Horaires3567345[[#This Row],[PNP Fin]])</f>
        <v>0</v>
      </c>
      <c r="M15" s="40">
        <f>IF(Horaires3567345[[#This Row],[Fin]]&lt;Horaires3567345[[#This Row],[début]],1,0)+Horaires3567345[[#This Row],[Fin]]</f>
        <v>0</v>
      </c>
      <c r="N15" s="41">
        <f>MAX(0,MIN(Horaires3567345[[#This Row],[Fin corrigée si nuit]],fin_nuit)-MAX(Horaires3567345[[#This Row],[début]],deb_nuit))*24</f>
        <v>0</v>
      </c>
      <c r="O15" s="41">
        <f>(MAX(0,MIN(Horaires3567345[[#This Row],[Fin corrigée si nuit]],fin_nuit)-MAX(Horaires3567345[[#This Row],[début]],deb_nuit))-IF(Horaires3567345[[#This Row],[PNP Début]]=0,0,MIN(Horaires3567345[[#This Row],[PNP Fin corrigée]],fin_nuit)-MAX(Horaires3567345[[#This Row],[PNP Début corrigé]],deb_nuit)))*24</f>
        <v>0</v>
      </c>
      <c r="P15" s="41">
        <f>(IF(WEEKDAY(Horaires3567345[[#This Row],[Date]],2)=7,MAX(0,MIN(fin_dimJF,Horaires3567345[[#This Row],[Fin corrigée si nuit]])-MAX(deb_dimJF,Horaires3567345[[#This Row],[début]])),0)+IF(WEEKDAY(Horaires3567345[[#This Row],[Date]],2)=6,MAX(0,Horaires3567345[[#This Row],[Fin corrigée si nuit]]-(1+deb_dimJF)),0))*24</f>
        <v>0</v>
      </c>
      <c r="Q15" s="4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15" s="42">
        <f>(IF(COUNTIF(JF,Horaires3567345[[#This Row],[Date]]),MAX(0,MIN(fin_dimJF,Horaires3567345[[#This Row],[Fin corrigée si nuit]])-MAX(deb_dimJF,Horaires3567345[[#This Row],[début]])),0)+IF(COUNTIF(JF,Horaires3567345[[#This Row],[Date]]+1),MAX(0,Horaires3567345[[#This Row],[Fin corrigée si nuit]]-(1+deb_dimJF)),0))*24</f>
        <v>0</v>
      </c>
      <c r="S15" s="4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16" spans="1:19" x14ac:dyDescent="0.35">
      <c r="A16" s="9"/>
      <c r="B16" s="10"/>
      <c r="C16" s="2"/>
      <c r="D16" s="2"/>
      <c r="E16" s="3"/>
      <c r="F16" s="3"/>
      <c r="G16" s="11"/>
      <c r="H16" s="11"/>
      <c r="I16" s="38">
        <f>0.1*(Horaires3567345[[#This Row],[Heures de nuit]]+Horaires3567345[[#This Row],[heures jour dimanche]]+Horaires3567345[[#This Row],[heures jour fériés]])</f>
        <v>0</v>
      </c>
      <c r="J16" s="43">
        <f>(MOD(Horaires3567345[[#This Row],[Fin]]-Horaires3567345[[#This Row],[début]],1)-MOD(Horaires3567345[[#This Row],[PNP Fin]]-Horaires3567345[[#This Row],[PNP Début]],1))*24</f>
        <v>0</v>
      </c>
      <c r="K16" s="40">
        <f>IF(Horaires3567345[[#This Row],[PNP Début]]=0,0,IF(Horaires3567345[[#This Row],[PNP Début]]&lt;Horaires3567345[[#This Row],[début]],1,0)+Horaires3567345[[#This Row],[PNP Début]])</f>
        <v>0</v>
      </c>
      <c r="L16" s="40">
        <f>IF(Horaires3567345[[#This Row],[PNP Fin]]=0,0,IF(Horaires3567345[[#This Row],[PNP Fin]]&lt;Horaires3567345[[#This Row],[début]],1,0)+Horaires3567345[[#This Row],[PNP Fin]])</f>
        <v>0</v>
      </c>
      <c r="M16" s="44">
        <f>IF(Horaires3567345[[#This Row],[Fin]]&lt;Horaires3567345[[#This Row],[début]],1,0)+Horaires3567345[[#This Row],[Fin]]</f>
        <v>0</v>
      </c>
      <c r="N16" s="41">
        <f>MAX(0,MIN(Horaires3567345[[#This Row],[Fin corrigée si nuit]],fin_nuit)-MAX(Horaires3567345[[#This Row],[début]],deb_nuit))*24</f>
        <v>0</v>
      </c>
      <c r="O16" s="45">
        <f>(MAX(0,MIN(Horaires3567345[[#This Row],[Fin corrigée si nuit]],fin_nuit)-MAX(Horaires3567345[[#This Row],[début]],deb_nuit))-IF(Horaires3567345[[#This Row],[PNP Début]]=0,0,MIN(Horaires3567345[[#This Row],[PNP Fin corrigée]],fin_nuit)-MAX(Horaires3567345[[#This Row],[PNP Début corrigé]],deb_nuit)))*24</f>
        <v>0</v>
      </c>
      <c r="P16" s="45">
        <f>(IF(WEEKDAY(Horaires3567345[[#This Row],[Date]],2)=7,MAX(0,MIN(fin_dimJF,Horaires3567345[[#This Row],[Fin corrigée si nuit]])-MAX(deb_dimJF,Horaires3567345[[#This Row],[début]])),0)+IF(WEEKDAY(Horaires3567345[[#This Row],[Date]],2)=6,MAX(0,Horaires3567345[[#This Row],[Fin corrigée si nuit]]-(1+deb_dimJF)),0))*24</f>
        <v>0</v>
      </c>
      <c r="Q16" s="4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16" s="46">
        <f>(IF(COUNTIF(JF,Horaires3567345[[#This Row],[Date]]),MAX(0,MIN(fin_dimJF,Horaires3567345[[#This Row],[Fin corrigée si nuit]])-MAX(deb_dimJF,Horaires3567345[[#This Row],[début]])),0)+IF(COUNTIF(JF,Horaires3567345[[#This Row],[Date]]+1),MAX(0,Horaires3567345[[#This Row],[Fin corrigée si nuit]]-(1+deb_dimJF)),0))*24</f>
        <v>0</v>
      </c>
      <c r="S16" s="46">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17" spans="1:19" x14ac:dyDescent="0.35">
      <c r="A17" s="9"/>
      <c r="B17" s="1"/>
      <c r="C17" s="2"/>
      <c r="D17" s="2"/>
      <c r="E17" s="3"/>
      <c r="F17" s="3"/>
      <c r="G17" s="17"/>
      <c r="H17" s="17"/>
      <c r="I17" s="47">
        <f>0.1*(Horaires3567345[[#This Row],[Heures de nuit]]+Horaires3567345[[#This Row],[heures jour dimanche]]+Horaires3567345[[#This Row],[heures jour fériés]])</f>
        <v>0</v>
      </c>
      <c r="J17" s="48">
        <f>(MOD(Horaires3567345[[#This Row],[Fin]]-Horaires3567345[[#This Row],[début]],1)-MOD(Horaires3567345[[#This Row],[PNP Fin]]-Horaires3567345[[#This Row],[PNP Début]],1))*24</f>
        <v>0</v>
      </c>
      <c r="K17" s="49">
        <f>IF(Horaires3567345[[#This Row],[PNP Début]]=0,0,IF(Horaires3567345[[#This Row],[PNP Début]]&lt;Horaires3567345[[#This Row],[début]],1,0)+Horaires3567345[[#This Row],[PNP Début]])</f>
        <v>0</v>
      </c>
      <c r="L17" s="50">
        <f>IF(Horaires3567345[[#This Row],[PNP Fin]]=0,0,IF(Horaires3567345[[#This Row],[PNP Fin]]&lt;Horaires3567345[[#This Row],[début]],1,0)+Horaires3567345[[#This Row],[PNP Fin]])</f>
        <v>0</v>
      </c>
      <c r="M17" s="50">
        <f>IF(Horaires3567345[[#This Row],[Fin]]&lt;Horaires3567345[[#This Row],[début]],1,0)+Horaires3567345[[#This Row],[Fin]]</f>
        <v>0</v>
      </c>
      <c r="N17" s="41">
        <f>MAX(0,MIN(Horaires3567345[[#This Row],[Fin corrigée si nuit]],fin_nuit)-MAX(Horaires3567345[[#This Row],[début]],deb_nuit))*24</f>
        <v>0</v>
      </c>
      <c r="O17" s="51">
        <f>(MAX(0,MIN(Horaires3567345[[#This Row],[Fin corrigée si nuit]],fin_nuit)-MAX(Horaires3567345[[#This Row],[début]],deb_nuit))-IF(Horaires3567345[[#This Row],[PNP Début]]=0,0,MIN(Horaires3567345[[#This Row],[PNP Fin corrigée]],fin_nuit)-MAX(Horaires3567345[[#This Row],[PNP Début corrigé]],deb_nuit)))*24</f>
        <v>0</v>
      </c>
      <c r="P17" s="51">
        <f>(IF(WEEKDAY(Horaires3567345[[#This Row],[Date]],2)=7,MAX(0,MIN(fin_dimJF,Horaires3567345[[#This Row],[Fin corrigée si nuit]])-MAX(deb_dimJF,Horaires3567345[[#This Row],[début]])),0)+IF(WEEKDAY(Horaires3567345[[#This Row],[Date]],2)=6,MAX(0,Horaires3567345[[#This Row],[Fin corrigée si nuit]]-(1+deb_dimJF)),0))*24</f>
        <v>0</v>
      </c>
      <c r="Q17" s="5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17" s="51">
        <f>(IF(COUNTIF(JF,Horaires3567345[[#This Row],[Date]]),MAX(0,MIN(fin_dimJF,Horaires3567345[[#This Row],[Fin corrigée si nuit]])-MAX(deb_dimJF,Horaires3567345[[#This Row],[début]])),0)+IF(COUNTIF(JF,Horaires3567345[[#This Row],[Date]]+1),MAX(0,Horaires3567345[[#This Row],[Fin corrigée si nuit]]-(1+deb_dimJF)),0))*24</f>
        <v>0</v>
      </c>
      <c r="S17" s="51">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18" spans="1:19" x14ac:dyDescent="0.35">
      <c r="A18" s="9"/>
      <c r="B18" s="69"/>
      <c r="C18" s="16"/>
      <c r="D18" s="16"/>
      <c r="E18" s="17"/>
      <c r="F18" s="17"/>
      <c r="G18" s="17"/>
      <c r="H18" s="17"/>
      <c r="I18" s="47">
        <f>0.1*(Horaires3567345[[#This Row],[Heures de nuit]]+Horaires3567345[[#This Row],[heures jour dimanche]]+Horaires3567345[[#This Row],[heures jour fériés]])</f>
        <v>0</v>
      </c>
      <c r="J18" s="48">
        <f>(MOD(Horaires3567345[[#This Row],[Fin]]-Horaires3567345[[#This Row],[début]],1)-MOD(Horaires3567345[[#This Row],[PNP Fin]]-Horaires3567345[[#This Row],[PNP Début]],1))*24</f>
        <v>0</v>
      </c>
      <c r="K18" s="49">
        <f>IF(Horaires3567345[[#This Row],[PNP Début]]=0,0,IF(Horaires3567345[[#This Row],[PNP Début]]&lt;Horaires3567345[[#This Row],[début]],1,0)+Horaires3567345[[#This Row],[PNP Début]])</f>
        <v>0</v>
      </c>
      <c r="L18" s="50">
        <f>IF(Horaires3567345[[#This Row],[PNP Fin]]=0,0,IF(Horaires3567345[[#This Row],[PNP Fin]]&lt;Horaires3567345[[#This Row],[début]],1,0)+Horaires3567345[[#This Row],[PNP Fin]])</f>
        <v>0</v>
      </c>
      <c r="M18" s="50">
        <f>IF(Horaires3567345[[#This Row],[Fin]]&lt;Horaires3567345[[#This Row],[début]],1,0)+Horaires3567345[[#This Row],[Fin]]</f>
        <v>0</v>
      </c>
      <c r="N18" s="41">
        <f>MAX(0,MIN(Horaires3567345[[#This Row],[Fin corrigée si nuit]],fin_nuit)-MAX(Horaires3567345[[#This Row],[début]],deb_nuit))*24</f>
        <v>0</v>
      </c>
      <c r="O18" s="51">
        <f>(MAX(0,MIN(Horaires3567345[[#This Row],[Fin corrigée si nuit]],fin_nuit)-MAX(Horaires3567345[[#This Row],[début]],deb_nuit))-IF(Horaires3567345[[#This Row],[PNP Début]]=0,0,MIN(Horaires3567345[[#This Row],[PNP Fin corrigée]],fin_nuit)-MAX(Horaires3567345[[#This Row],[PNP Début corrigé]],deb_nuit)))*24</f>
        <v>0</v>
      </c>
      <c r="P18" s="51">
        <f>(IF(WEEKDAY(Horaires3567345[[#This Row],[Date]],2)=7,MAX(0,MIN(fin_dimJF,Horaires3567345[[#This Row],[Fin corrigée si nuit]])-MAX(deb_dimJF,Horaires3567345[[#This Row],[début]])),0)+IF(WEEKDAY(Horaires3567345[[#This Row],[Date]],2)=6,MAX(0,Horaires3567345[[#This Row],[Fin corrigée si nuit]]-(1+deb_dimJF)),0))*24</f>
        <v>0</v>
      </c>
      <c r="Q18" s="5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18" s="51">
        <f>(IF(COUNTIF(JF,Horaires3567345[[#This Row],[Date]]),MAX(0,MIN(fin_dimJF,Horaires3567345[[#This Row],[Fin corrigée si nuit]])-MAX(deb_dimJF,Horaires3567345[[#This Row],[début]])),0)+IF(COUNTIF(JF,Horaires3567345[[#This Row],[Date]]+1),MAX(0,Horaires3567345[[#This Row],[Fin corrigée si nuit]]-(1+deb_dimJF)),0))*24</f>
        <v>0</v>
      </c>
      <c r="S18" s="51">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19" spans="1:19" x14ac:dyDescent="0.35">
      <c r="A19" s="9"/>
      <c r="B19" s="1"/>
      <c r="C19" s="16"/>
      <c r="D19" s="16"/>
      <c r="E19" s="3"/>
      <c r="F19" s="3"/>
      <c r="G19" s="17"/>
      <c r="H19" s="17"/>
      <c r="I19" s="47">
        <f>0.1*(Horaires3567345[[#This Row],[Heures de nuit]]+Horaires3567345[[#This Row],[heures jour dimanche]]+Horaires3567345[[#This Row],[heures jour fériés]])</f>
        <v>0</v>
      </c>
      <c r="J19" s="48">
        <f>(MOD(Horaires3567345[[#This Row],[Fin]]-Horaires3567345[[#This Row],[début]],1)-MOD(Horaires3567345[[#This Row],[PNP Fin]]-Horaires3567345[[#This Row],[PNP Début]],1))*24</f>
        <v>0</v>
      </c>
      <c r="K19" s="49">
        <f>IF(Horaires3567345[[#This Row],[PNP Début]]=0,0,IF(Horaires3567345[[#This Row],[PNP Début]]&lt;Horaires3567345[[#This Row],[début]],1,0)+Horaires3567345[[#This Row],[PNP Début]])</f>
        <v>0</v>
      </c>
      <c r="L19" s="50">
        <f>IF(Horaires3567345[[#This Row],[PNP Fin]]=0,0,IF(Horaires3567345[[#This Row],[PNP Fin]]&lt;Horaires3567345[[#This Row],[début]],1,0)+Horaires3567345[[#This Row],[PNP Fin]])</f>
        <v>0</v>
      </c>
      <c r="M19" s="50">
        <f>IF(Horaires3567345[[#This Row],[Fin]]&lt;Horaires3567345[[#This Row],[début]],1,0)+Horaires3567345[[#This Row],[Fin]]</f>
        <v>0</v>
      </c>
      <c r="N19" s="41">
        <f>MAX(0,MIN(Horaires3567345[[#This Row],[Fin corrigée si nuit]],fin_nuit)-MAX(Horaires3567345[[#This Row],[début]],deb_nuit))*24</f>
        <v>0</v>
      </c>
      <c r="O19" s="51">
        <f>(MAX(0,MIN(Horaires3567345[[#This Row],[Fin corrigée si nuit]],fin_nuit)-MAX(Horaires3567345[[#This Row],[début]],deb_nuit))-IF(Horaires3567345[[#This Row],[PNP Début]]=0,0,MIN(Horaires3567345[[#This Row],[PNP Fin corrigée]],fin_nuit)-MAX(Horaires3567345[[#This Row],[PNP Début corrigé]],deb_nuit)))*24</f>
        <v>0</v>
      </c>
      <c r="P19" s="51">
        <f>(IF(WEEKDAY(Horaires3567345[[#This Row],[Date]],2)=7,MAX(0,MIN(fin_dimJF,Horaires3567345[[#This Row],[Fin corrigée si nuit]])-MAX(deb_dimJF,Horaires3567345[[#This Row],[début]])),0)+IF(WEEKDAY(Horaires3567345[[#This Row],[Date]],2)=6,MAX(0,Horaires3567345[[#This Row],[Fin corrigée si nuit]]-(1+deb_dimJF)),0))*24</f>
        <v>0</v>
      </c>
      <c r="Q19" s="5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19" s="51">
        <f>(IF(COUNTIF(JF,Horaires3567345[[#This Row],[Date]]),MAX(0,MIN(fin_dimJF,Horaires3567345[[#This Row],[Fin corrigée si nuit]])-MAX(deb_dimJF,Horaires3567345[[#This Row],[début]])),0)+IF(COUNTIF(JF,Horaires3567345[[#This Row],[Date]]+1),MAX(0,Horaires3567345[[#This Row],[Fin corrigée si nuit]]-(1+deb_dimJF)),0))*24</f>
        <v>0</v>
      </c>
      <c r="S19" s="51">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0" spans="1:19" x14ac:dyDescent="0.35">
      <c r="A20" s="9"/>
      <c r="B20" s="1"/>
      <c r="C20" s="16"/>
      <c r="D20" s="16"/>
      <c r="E20" s="17"/>
      <c r="F20" s="17"/>
      <c r="G20" s="17"/>
      <c r="H20" s="17"/>
      <c r="I20" s="47">
        <f>0.1*(Horaires3567345[[#This Row],[Heures de nuit]]+Horaires3567345[[#This Row],[heures jour dimanche]]+Horaires3567345[[#This Row],[heures jour fériés]])</f>
        <v>0</v>
      </c>
      <c r="J20" s="48">
        <f>(MOD(Horaires3567345[[#This Row],[Fin]]-Horaires3567345[[#This Row],[début]],1)-MOD(Horaires3567345[[#This Row],[PNP Fin]]-Horaires3567345[[#This Row],[PNP Début]],1))*24</f>
        <v>0</v>
      </c>
      <c r="K20" s="49">
        <f>IF(Horaires3567345[[#This Row],[PNP Début]]=0,0,IF(Horaires3567345[[#This Row],[PNP Début]]&lt;Horaires3567345[[#This Row],[début]],1,0)+Horaires3567345[[#This Row],[PNP Début]])</f>
        <v>0</v>
      </c>
      <c r="L20" s="50">
        <f>IF(Horaires3567345[[#This Row],[PNP Fin]]=0,0,IF(Horaires3567345[[#This Row],[PNP Fin]]&lt;Horaires3567345[[#This Row],[début]],1,0)+Horaires3567345[[#This Row],[PNP Fin]])</f>
        <v>0</v>
      </c>
      <c r="M20" s="50">
        <f>IF(Horaires3567345[[#This Row],[Fin]]&lt;Horaires3567345[[#This Row],[début]],1,0)+Horaires3567345[[#This Row],[Fin]]</f>
        <v>0</v>
      </c>
      <c r="N20" s="41">
        <f>MAX(0,MIN(Horaires3567345[[#This Row],[Fin corrigée si nuit]],fin_nuit)-MAX(Horaires3567345[[#This Row],[début]],deb_nuit))*24</f>
        <v>0</v>
      </c>
      <c r="O20" s="51">
        <f>(MAX(0,MIN(Horaires3567345[[#This Row],[Fin corrigée si nuit]],fin_nuit)-MAX(Horaires3567345[[#This Row],[début]],deb_nuit))-IF(Horaires3567345[[#This Row],[PNP Début]]=0,0,MIN(Horaires3567345[[#This Row],[PNP Fin corrigée]],fin_nuit)-MAX(Horaires3567345[[#This Row],[PNP Début corrigé]],deb_nuit)))*24</f>
        <v>0</v>
      </c>
      <c r="P20" s="51">
        <f>(IF(WEEKDAY(Horaires3567345[[#This Row],[Date]],2)=7,MAX(0,MIN(fin_dimJF,Horaires3567345[[#This Row],[Fin corrigée si nuit]])-MAX(deb_dimJF,Horaires3567345[[#This Row],[début]])),0)+IF(WEEKDAY(Horaires3567345[[#This Row],[Date]],2)=6,MAX(0,Horaires3567345[[#This Row],[Fin corrigée si nuit]]-(1+deb_dimJF)),0))*24</f>
        <v>0</v>
      </c>
      <c r="Q20" s="51">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0" s="51">
        <f>(IF(COUNTIF(JF,Horaires3567345[[#This Row],[Date]]),MAX(0,MIN(fin_dimJF,Horaires3567345[[#This Row],[Fin corrigée si nuit]])-MAX(deb_dimJF,Horaires3567345[[#This Row],[début]])),0)+IF(COUNTIF(JF,Horaires3567345[[#This Row],[Date]]+1),MAX(0,Horaires3567345[[#This Row],[Fin corrigée si nuit]]-(1+deb_dimJF)),0))*24</f>
        <v>0</v>
      </c>
      <c r="S20" s="51">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1" spans="1:19" x14ac:dyDescent="0.35">
      <c r="A21" s="9"/>
      <c r="B21" s="10"/>
      <c r="C21" s="18"/>
      <c r="D21" s="18"/>
      <c r="E21" s="3"/>
      <c r="F21" s="3"/>
      <c r="G21" s="19"/>
      <c r="H21" s="19"/>
      <c r="I21" s="52">
        <f>0.1*(Horaires3567345[[#This Row],[Heures de nuit]]+Horaires3567345[[#This Row],[heures jour dimanche]]+Horaires3567345[[#This Row],[heures jour fériés]])</f>
        <v>0</v>
      </c>
      <c r="J21" s="53">
        <f>(MOD(Horaires3567345[[#This Row],[Fin]]-Horaires3567345[[#This Row],[début]],1)-MOD(Horaires3567345[[#This Row],[PNP Fin]]-Horaires3567345[[#This Row],[PNP Début]],1))*24</f>
        <v>0</v>
      </c>
      <c r="K21" s="54">
        <f>IF(Horaires3567345[[#This Row],[PNP Début]]=0,0,IF(Horaires3567345[[#This Row],[PNP Début]]&lt;Horaires3567345[[#This Row],[début]],1,0)+Horaires3567345[[#This Row],[PNP Début]])</f>
        <v>0</v>
      </c>
      <c r="L21" s="55">
        <f>IF(Horaires3567345[[#This Row],[PNP Fin]]=0,0,IF(Horaires3567345[[#This Row],[PNP Fin]]&lt;Horaires3567345[[#This Row],[début]],1,0)+Horaires3567345[[#This Row],[PNP Fin]])</f>
        <v>0</v>
      </c>
      <c r="M21" s="55">
        <f>IF(Horaires3567345[[#This Row],[Fin]]&lt;Horaires3567345[[#This Row],[début]],1,0)+Horaires3567345[[#This Row],[Fin]]</f>
        <v>0</v>
      </c>
      <c r="N21" s="41">
        <f>MAX(0,MIN(Horaires3567345[[#This Row],[Fin corrigée si nuit]],fin_nuit)-MAX(Horaires3567345[[#This Row],[début]],deb_nuit))*24</f>
        <v>0</v>
      </c>
      <c r="O21" s="56">
        <f>(MAX(0,MIN(Horaires3567345[[#This Row],[Fin corrigée si nuit]],fin_nuit)-MAX(Horaires3567345[[#This Row],[début]],deb_nuit))-IF(Horaires3567345[[#This Row],[PNP Début]]=0,0,MIN(Horaires3567345[[#This Row],[PNP Fin corrigée]],fin_nuit)-MAX(Horaires3567345[[#This Row],[PNP Début corrigé]],deb_nuit)))*24</f>
        <v>0</v>
      </c>
      <c r="P21" s="56">
        <f>(IF(WEEKDAY(Horaires3567345[[#This Row],[Date]],2)=7,MAX(0,MIN(fin_dimJF,Horaires3567345[[#This Row],[Fin corrigée si nuit]])-MAX(deb_dimJF,Horaires3567345[[#This Row],[début]])),0)+IF(WEEKDAY(Horaires3567345[[#This Row],[Date]],2)=6,MAX(0,Horaires3567345[[#This Row],[Fin corrigée si nuit]]-(1+deb_dimJF)),0))*24</f>
        <v>0</v>
      </c>
      <c r="Q21" s="56">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1" s="56">
        <f>(IF(COUNTIF(JF,Horaires3567345[[#This Row],[Date]]),MAX(0,MIN(fin_dimJF,Horaires3567345[[#This Row],[Fin corrigée si nuit]])-MAX(deb_dimJF,Horaires3567345[[#This Row],[début]])),0)+IF(COUNTIF(JF,Horaires3567345[[#This Row],[Date]]+1),MAX(0,Horaires3567345[[#This Row],[Fin corrigée si nuit]]-(1+deb_dimJF)),0))*24</f>
        <v>0</v>
      </c>
      <c r="S21" s="56">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2" spans="1:19" x14ac:dyDescent="0.35">
      <c r="A22" s="9"/>
      <c r="B22" s="1"/>
      <c r="C22" s="18"/>
      <c r="D22" s="18"/>
      <c r="E22" s="3"/>
      <c r="F22" s="3"/>
      <c r="G22" s="3"/>
      <c r="H22" s="3"/>
      <c r="I22" s="57">
        <f>0.1*(Horaires3567345[[#This Row],[Heures de nuit]]+Horaires3567345[[#This Row],[heures jour dimanche]]+Horaires3567345[[#This Row],[heures jour fériés]])</f>
        <v>0</v>
      </c>
      <c r="J22" s="58">
        <f>(MOD(Horaires3567345[[#This Row],[Fin]]-Horaires3567345[[#This Row],[début]],1)-MOD(Horaires3567345[[#This Row],[PNP Fin]]-Horaires3567345[[#This Row],[PNP Début]],1))*24</f>
        <v>0</v>
      </c>
      <c r="K22" s="59">
        <f>IF(Horaires3567345[[#This Row],[PNP Début]]=0,0,IF(Horaires3567345[[#This Row],[PNP Début]]&lt;Horaires3567345[[#This Row],[début]],1,0)+Horaires3567345[[#This Row],[PNP Début]])</f>
        <v>0</v>
      </c>
      <c r="L22" s="60">
        <f>IF(Horaires3567345[[#This Row],[PNP Fin]]=0,0,IF(Horaires3567345[[#This Row],[PNP Fin]]&lt;Horaires3567345[[#This Row],[début]],1,0)+Horaires3567345[[#This Row],[PNP Fin]])</f>
        <v>0</v>
      </c>
      <c r="M22" s="60">
        <f>IF(Horaires3567345[[#This Row],[Fin]]&lt;Horaires3567345[[#This Row],[début]],1,0)+Horaires3567345[[#This Row],[Fin]]</f>
        <v>0</v>
      </c>
      <c r="N22" s="61">
        <f>MAX(0,MIN(Horaires3567345[[#This Row],[Fin corrigée si nuit]],fin_nuit)-MAX(Horaires3567345[[#This Row],[début]],deb_nuit))*24</f>
        <v>0</v>
      </c>
      <c r="O22" s="62">
        <f>(MAX(0,MIN(Horaires3567345[[#This Row],[Fin corrigée si nuit]],fin_nuit)-MAX(Horaires3567345[[#This Row],[début]],deb_nuit))-IF(Horaires3567345[[#This Row],[PNP Début]]=0,0,MIN(Horaires3567345[[#This Row],[PNP Fin corrigée]],fin_nuit)-MAX(Horaires3567345[[#This Row],[PNP Début corrigé]],deb_nuit)))*24</f>
        <v>0</v>
      </c>
      <c r="P22" s="62">
        <f>(IF(WEEKDAY(Horaires3567345[[#This Row],[Date]],2)=7,MAX(0,MIN(fin_dimJF,Horaires3567345[[#This Row],[Fin corrigée si nuit]])-MAX(deb_dimJF,Horaires3567345[[#This Row],[début]])),0)+IF(WEEKDAY(Horaires3567345[[#This Row],[Date]],2)=6,MAX(0,Horaires3567345[[#This Row],[Fin corrigée si nuit]]-(1+deb_dimJF)),0))*24</f>
        <v>0</v>
      </c>
      <c r="Q22"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2" s="62">
        <f>(IF(COUNTIF(JF,Horaires3567345[[#This Row],[Date]]),MAX(0,MIN(fin_dimJF,Horaires3567345[[#This Row],[Fin corrigée si nuit]])-MAX(deb_dimJF,Horaires3567345[[#This Row],[début]])),0)+IF(COUNTIF(JF,Horaires3567345[[#This Row],[Date]]+1),MAX(0,Horaires3567345[[#This Row],[Fin corrigée si nuit]]-(1+deb_dimJF)),0))*24</f>
        <v>0</v>
      </c>
      <c r="S22"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3" spans="1:19" x14ac:dyDescent="0.35">
      <c r="A23" s="9"/>
      <c r="B23" s="1"/>
      <c r="C23" s="18"/>
      <c r="D23" s="18"/>
      <c r="E23" s="3"/>
      <c r="F23" s="3"/>
      <c r="G23" s="3"/>
      <c r="H23" s="3"/>
      <c r="I23" s="57">
        <f>0.1*(Horaires3567345[[#This Row],[Heures de nuit]]+Horaires3567345[[#This Row],[heures jour dimanche]]+Horaires3567345[[#This Row],[heures jour fériés]])</f>
        <v>0</v>
      </c>
      <c r="J23" s="58">
        <f>(MOD(Horaires3567345[[#This Row],[Fin]]-Horaires3567345[[#This Row],[début]],1)-MOD(Horaires3567345[[#This Row],[PNP Fin]]-Horaires3567345[[#This Row],[PNP Début]],1))*24</f>
        <v>0</v>
      </c>
      <c r="K23" s="59">
        <f>IF(Horaires3567345[[#This Row],[PNP Début]]=0,0,IF(Horaires3567345[[#This Row],[PNP Début]]&lt;Horaires3567345[[#This Row],[début]],1,0)+Horaires3567345[[#This Row],[PNP Début]])</f>
        <v>0</v>
      </c>
      <c r="L23" s="60">
        <f>IF(Horaires3567345[[#This Row],[PNP Fin]]=0,0,IF(Horaires3567345[[#This Row],[PNP Fin]]&lt;Horaires3567345[[#This Row],[début]],1,0)+Horaires3567345[[#This Row],[PNP Fin]])</f>
        <v>0</v>
      </c>
      <c r="M23" s="60">
        <f>IF(Horaires3567345[[#This Row],[Fin]]&lt;Horaires3567345[[#This Row],[début]],1,0)+Horaires3567345[[#This Row],[Fin]]</f>
        <v>0</v>
      </c>
      <c r="N23" s="61">
        <f>MAX(0,MIN(Horaires3567345[[#This Row],[Fin corrigée si nuit]],fin_nuit)-MAX(Horaires3567345[[#This Row],[début]],deb_nuit))*24</f>
        <v>0</v>
      </c>
      <c r="O23" s="62">
        <f>(MAX(0,MIN(Horaires3567345[[#This Row],[Fin corrigée si nuit]],fin_nuit)-MAX(Horaires3567345[[#This Row],[début]],deb_nuit))-IF(Horaires3567345[[#This Row],[PNP Début]]=0,0,MIN(Horaires3567345[[#This Row],[PNP Fin corrigée]],fin_nuit)-MAX(Horaires3567345[[#This Row],[PNP Début corrigé]],deb_nuit)))*24</f>
        <v>0</v>
      </c>
      <c r="P23" s="62">
        <f>(IF(WEEKDAY(Horaires3567345[[#This Row],[Date]],2)=7,MAX(0,MIN(fin_dimJF,Horaires3567345[[#This Row],[Fin corrigée si nuit]])-MAX(deb_dimJF,Horaires3567345[[#This Row],[début]])),0)+IF(WEEKDAY(Horaires3567345[[#This Row],[Date]],2)=6,MAX(0,Horaires3567345[[#This Row],[Fin corrigée si nuit]]-(1+deb_dimJF)),0))*24</f>
        <v>0</v>
      </c>
      <c r="Q23"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3" s="62">
        <f>(IF(COUNTIF(JF,Horaires3567345[[#This Row],[Date]]),MAX(0,MIN(fin_dimJF,Horaires3567345[[#This Row],[Fin corrigée si nuit]])-MAX(deb_dimJF,Horaires3567345[[#This Row],[début]])),0)+IF(COUNTIF(JF,Horaires3567345[[#This Row],[Date]]+1),MAX(0,Horaires3567345[[#This Row],[Fin corrigée si nuit]]-(1+deb_dimJF)),0))*24</f>
        <v>0</v>
      </c>
      <c r="S23"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4" spans="1:19" x14ac:dyDescent="0.35">
      <c r="A24" s="9"/>
      <c r="B24" s="1"/>
      <c r="C24" s="2"/>
      <c r="D24" s="2"/>
      <c r="E24" s="3"/>
      <c r="F24" s="3"/>
      <c r="G24" s="3"/>
      <c r="H24" s="3"/>
      <c r="I24" s="57">
        <f>0.1*(Horaires3567345[[#This Row],[Heures de nuit]]+Horaires3567345[[#This Row],[heures jour dimanche]]+Horaires3567345[[#This Row],[heures jour fériés]])</f>
        <v>0</v>
      </c>
      <c r="J24" s="58">
        <f>(MOD(Horaires3567345[[#This Row],[Fin]]-Horaires3567345[[#This Row],[début]],1)-MOD(Horaires3567345[[#This Row],[PNP Fin]]-Horaires3567345[[#This Row],[PNP Début]],1))*24</f>
        <v>0</v>
      </c>
      <c r="K24" s="59">
        <f>IF(Horaires3567345[[#This Row],[PNP Début]]=0,0,IF(Horaires3567345[[#This Row],[PNP Début]]&lt;Horaires3567345[[#This Row],[début]],1,0)+Horaires3567345[[#This Row],[PNP Début]])</f>
        <v>0</v>
      </c>
      <c r="L24" s="60">
        <f>IF(Horaires3567345[[#This Row],[PNP Fin]]=0,0,IF(Horaires3567345[[#This Row],[PNP Fin]]&lt;Horaires3567345[[#This Row],[début]],1,0)+Horaires3567345[[#This Row],[PNP Fin]])</f>
        <v>0</v>
      </c>
      <c r="M24" s="60">
        <f>IF(Horaires3567345[[#This Row],[Fin]]&lt;Horaires3567345[[#This Row],[début]],1,0)+Horaires3567345[[#This Row],[Fin]]</f>
        <v>0</v>
      </c>
      <c r="N24" s="61">
        <f>MAX(0,MIN(Horaires3567345[[#This Row],[Fin corrigée si nuit]],fin_nuit)-MAX(Horaires3567345[[#This Row],[début]],deb_nuit))*24</f>
        <v>0</v>
      </c>
      <c r="O24" s="62">
        <f>(MAX(0,MIN(Horaires3567345[[#This Row],[Fin corrigée si nuit]],fin_nuit)-MAX(Horaires3567345[[#This Row],[début]],deb_nuit))-IF(Horaires3567345[[#This Row],[PNP Début]]=0,0,MIN(Horaires3567345[[#This Row],[PNP Fin corrigée]],fin_nuit)-MAX(Horaires3567345[[#This Row],[PNP Début corrigé]],deb_nuit)))*24</f>
        <v>0</v>
      </c>
      <c r="P24" s="62">
        <f>(IF(WEEKDAY(Horaires3567345[[#This Row],[Date]],2)=7,MAX(0,MIN(fin_dimJF,Horaires3567345[[#This Row],[Fin corrigée si nuit]])-MAX(deb_dimJF,Horaires3567345[[#This Row],[début]])),0)+IF(WEEKDAY(Horaires3567345[[#This Row],[Date]],2)=6,MAX(0,Horaires3567345[[#This Row],[Fin corrigée si nuit]]-(1+deb_dimJF)),0))*24</f>
        <v>0</v>
      </c>
      <c r="Q24"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4" s="62">
        <f>(IF(COUNTIF(JF,Horaires3567345[[#This Row],[Date]]),MAX(0,MIN(fin_dimJF,Horaires3567345[[#This Row],[Fin corrigée si nuit]])-MAX(deb_dimJF,Horaires3567345[[#This Row],[début]])),0)+IF(COUNTIF(JF,Horaires3567345[[#This Row],[Date]]+1),MAX(0,Horaires3567345[[#This Row],[Fin corrigée si nuit]]-(1+deb_dimJF)),0))*24</f>
        <v>0</v>
      </c>
      <c r="S24"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5" spans="1:19" x14ac:dyDescent="0.35">
      <c r="A25" s="9"/>
      <c r="B25" s="1"/>
      <c r="C25" s="2"/>
      <c r="D25" s="2"/>
      <c r="E25" s="3"/>
      <c r="F25" s="3"/>
      <c r="G25" s="3"/>
      <c r="H25" s="3"/>
      <c r="I25" s="57">
        <f>0.1*(Horaires3567345[[#This Row],[Heures de nuit]]+Horaires3567345[[#This Row],[heures jour dimanche]]+Horaires3567345[[#This Row],[heures jour fériés]])</f>
        <v>0</v>
      </c>
      <c r="J25" s="58">
        <f>(MOD(Horaires3567345[[#This Row],[Fin]]-Horaires3567345[[#This Row],[début]],1)-MOD(Horaires3567345[[#This Row],[PNP Fin]]-Horaires3567345[[#This Row],[PNP Début]],1))*24</f>
        <v>0</v>
      </c>
      <c r="K25" s="59">
        <f>IF(Horaires3567345[[#This Row],[PNP Début]]=0,0,IF(Horaires3567345[[#This Row],[PNP Début]]&lt;Horaires3567345[[#This Row],[début]],1,0)+Horaires3567345[[#This Row],[PNP Début]])</f>
        <v>0</v>
      </c>
      <c r="L25" s="60">
        <f>IF(Horaires3567345[[#This Row],[PNP Fin]]=0,0,IF(Horaires3567345[[#This Row],[PNP Fin]]&lt;Horaires3567345[[#This Row],[début]],1,0)+Horaires3567345[[#This Row],[PNP Fin]])</f>
        <v>0</v>
      </c>
      <c r="M25" s="60">
        <f>IF(Horaires3567345[[#This Row],[Fin]]&lt;Horaires3567345[[#This Row],[début]],1,0)+Horaires3567345[[#This Row],[Fin]]</f>
        <v>0</v>
      </c>
      <c r="N25" s="61">
        <f>MAX(0,MIN(Horaires3567345[[#This Row],[Fin corrigée si nuit]],fin_nuit)-MAX(Horaires3567345[[#This Row],[début]],deb_nuit))*24</f>
        <v>0</v>
      </c>
      <c r="O25" s="62">
        <f>(MAX(0,MIN(Horaires3567345[[#This Row],[Fin corrigée si nuit]],fin_nuit)-MAX(Horaires3567345[[#This Row],[début]],deb_nuit))-IF(Horaires3567345[[#This Row],[PNP Début]]=0,0,MIN(Horaires3567345[[#This Row],[PNP Fin corrigée]],fin_nuit)-MAX(Horaires3567345[[#This Row],[PNP Début corrigé]],deb_nuit)))*24</f>
        <v>0</v>
      </c>
      <c r="P25" s="62">
        <f>(IF(WEEKDAY(Horaires3567345[[#This Row],[Date]],2)=7,MAX(0,MIN(fin_dimJF,Horaires3567345[[#This Row],[Fin corrigée si nuit]])-MAX(deb_dimJF,Horaires3567345[[#This Row],[début]])),0)+IF(WEEKDAY(Horaires3567345[[#This Row],[Date]],2)=6,MAX(0,Horaires3567345[[#This Row],[Fin corrigée si nuit]]-(1+deb_dimJF)),0))*24</f>
        <v>0</v>
      </c>
      <c r="Q25"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5" s="62">
        <f>(IF(COUNTIF(JF,Horaires3567345[[#This Row],[Date]]),MAX(0,MIN(fin_dimJF,Horaires3567345[[#This Row],[Fin corrigée si nuit]])-MAX(deb_dimJF,Horaires3567345[[#This Row],[début]])),0)+IF(COUNTIF(JF,Horaires3567345[[#This Row],[Date]]+1),MAX(0,Horaires3567345[[#This Row],[Fin corrigée si nuit]]-(1+deb_dimJF)),0))*24</f>
        <v>0</v>
      </c>
      <c r="S25"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6" spans="1:19" ht="21" customHeight="1" x14ac:dyDescent="0.35">
      <c r="A26" s="9"/>
      <c r="B26" s="1"/>
      <c r="C26" s="2"/>
      <c r="D26" s="2"/>
      <c r="E26" s="3"/>
      <c r="F26" s="3"/>
      <c r="G26" s="3"/>
      <c r="H26" s="3"/>
      <c r="I26" s="57">
        <f>0.1*(Horaires3567345[[#This Row],[Heures de nuit]]+Horaires3567345[[#This Row],[heures jour dimanche]]+Horaires3567345[[#This Row],[heures jour fériés]])</f>
        <v>0</v>
      </c>
      <c r="J26" s="58">
        <f>(MOD(Horaires3567345[[#This Row],[Fin]]-Horaires3567345[[#This Row],[début]],1)-MOD(Horaires3567345[[#This Row],[PNP Fin]]-Horaires3567345[[#This Row],[PNP Début]],1))*24</f>
        <v>0</v>
      </c>
      <c r="K26" s="59">
        <f>IF(Horaires3567345[[#This Row],[PNP Début]]=0,0,IF(Horaires3567345[[#This Row],[PNP Début]]&lt;Horaires3567345[[#This Row],[début]],1,0)+Horaires3567345[[#This Row],[PNP Début]])</f>
        <v>0</v>
      </c>
      <c r="L26" s="60">
        <f>IF(Horaires3567345[[#This Row],[PNP Fin]]=0,0,IF(Horaires3567345[[#This Row],[PNP Fin]]&lt;Horaires3567345[[#This Row],[début]],1,0)+Horaires3567345[[#This Row],[PNP Fin]])</f>
        <v>0</v>
      </c>
      <c r="M26" s="60">
        <f>IF(Horaires3567345[[#This Row],[Fin]]&lt;Horaires3567345[[#This Row],[début]],1,0)+Horaires3567345[[#This Row],[Fin]]</f>
        <v>0</v>
      </c>
      <c r="N26" s="61">
        <f>MAX(0,MIN(Horaires3567345[[#This Row],[Fin corrigée si nuit]],fin_nuit)-MAX(Horaires3567345[[#This Row],[début]],deb_nuit))*24</f>
        <v>0</v>
      </c>
      <c r="O26" s="62">
        <f>(MAX(0,MIN(Horaires3567345[[#This Row],[Fin corrigée si nuit]],fin_nuit)-MAX(Horaires3567345[[#This Row],[début]],deb_nuit))-IF(Horaires3567345[[#This Row],[PNP Début]]=0,0,MIN(Horaires3567345[[#This Row],[PNP Fin corrigée]],fin_nuit)-MAX(Horaires3567345[[#This Row],[PNP Début corrigé]],deb_nuit)))*24</f>
        <v>0</v>
      </c>
      <c r="P26" s="62">
        <f>(IF(WEEKDAY(Horaires3567345[[#This Row],[Date]],2)=7,MAX(0,MIN(fin_dimJF,Horaires3567345[[#This Row],[Fin corrigée si nuit]])-MAX(deb_dimJF,Horaires3567345[[#This Row],[début]])),0)+IF(WEEKDAY(Horaires3567345[[#This Row],[Date]],2)=6,MAX(0,Horaires3567345[[#This Row],[Fin corrigée si nuit]]-(1+deb_dimJF)),0))*24</f>
        <v>0</v>
      </c>
      <c r="Q26"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6" s="62">
        <f>(IF(COUNTIF(JF,Horaires3567345[[#This Row],[Date]]),MAX(0,MIN(fin_dimJF,Horaires3567345[[#This Row],[Fin corrigée si nuit]])-MAX(deb_dimJF,Horaires3567345[[#This Row],[début]])),0)+IF(COUNTIF(JF,Horaires3567345[[#This Row],[Date]]+1),MAX(0,Horaires3567345[[#This Row],[Fin corrigée si nuit]]-(1+deb_dimJF)),0))*24</f>
        <v>0</v>
      </c>
      <c r="S26"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7" spans="1:19" x14ac:dyDescent="0.35">
      <c r="A27" s="9"/>
      <c r="B27" s="1"/>
      <c r="C27" s="2"/>
      <c r="D27" s="2"/>
      <c r="E27" s="3"/>
      <c r="F27" s="3"/>
      <c r="G27" s="3"/>
      <c r="H27" s="3"/>
      <c r="I27" s="57">
        <f>0.1*(Horaires3567345[[#This Row],[Heures de nuit]]+Horaires3567345[[#This Row],[heures jour dimanche]]+Horaires3567345[[#This Row],[heures jour fériés]])</f>
        <v>0</v>
      </c>
      <c r="J27" s="58">
        <f>(MOD(Horaires3567345[[#This Row],[Fin]]-Horaires3567345[[#This Row],[début]],1)-MOD(Horaires3567345[[#This Row],[PNP Fin]]-Horaires3567345[[#This Row],[PNP Début]],1))*24</f>
        <v>0</v>
      </c>
      <c r="K27" s="59">
        <f>IF(Horaires3567345[[#This Row],[PNP Début]]=0,0,IF(Horaires3567345[[#This Row],[PNP Début]]&lt;Horaires3567345[[#This Row],[début]],1,0)+Horaires3567345[[#This Row],[PNP Début]])</f>
        <v>0</v>
      </c>
      <c r="L27" s="60">
        <f>IF(Horaires3567345[[#This Row],[PNP Fin]]=0,0,IF(Horaires3567345[[#This Row],[PNP Fin]]&lt;Horaires3567345[[#This Row],[début]],1,0)+Horaires3567345[[#This Row],[PNP Fin]])</f>
        <v>0</v>
      </c>
      <c r="M27" s="60">
        <f>IF(Horaires3567345[[#This Row],[Fin]]&lt;Horaires3567345[[#This Row],[début]],1,0)+Horaires3567345[[#This Row],[Fin]]</f>
        <v>0</v>
      </c>
      <c r="N27" s="61">
        <f>MAX(0,MIN(Horaires3567345[[#This Row],[Fin corrigée si nuit]],fin_nuit)-MAX(Horaires3567345[[#This Row],[début]],deb_nuit))*24</f>
        <v>0</v>
      </c>
      <c r="O27" s="62">
        <f>(MAX(0,MIN(Horaires3567345[[#This Row],[Fin corrigée si nuit]],fin_nuit)-MAX(Horaires3567345[[#This Row],[début]],deb_nuit))-IF(Horaires3567345[[#This Row],[PNP Début]]=0,0,MIN(Horaires3567345[[#This Row],[PNP Fin corrigée]],fin_nuit)-MAX(Horaires3567345[[#This Row],[PNP Début corrigé]],deb_nuit)))*24</f>
        <v>0</v>
      </c>
      <c r="P27" s="62">
        <f>(IF(WEEKDAY(Horaires3567345[[#This Row],[Date]],2)=7,MAX(0,MIN(fin_dimJF,Horaires3567345[[#This Row],[Fin corrigée si nuit]])-MAX(deb_dimJF,Horaires3567345[[#This Row],[début]])),0)+IF(WEEKDAY(Horaires3567345[[#This Row],[Date]],2)=6,MAX(0,Horaires3567345[[#This Row],[Fin corrigée si nuit]]-(1+deb_dimJF)),0))*24</f>
        <v>0</v>
      </c>
      <c r="Q27"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7" s="62">
        <f>(IF(COUNTIF(JF,Horaires3567345[[#This Row],[Date]]),MAX(0,MIN(fin_dimJF,Horaires3567345[[#This Row],[Fin corrigée si nuit]])-MAX(deb_dimJF,Horaires3567345[[#This Row],[début]])),0)+IF(COUNTIF(JF,Horaires3567345[[#This Row],[Date]]+1),MAX(0,Horaires3567345[[#This Row],[Fin corrigée si nuit]]-(1+deb_dimJF)),0))*24</f>
        <v>0</v>
      </c>
      <c r="S27"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8" spans="1:19" x14ac:dyDescent="0.35">
      <c r="A28" s="9"/>
      <c r="B28" s="1"/>
      <c r="C28" s="2"/>
      <c r="D28" s="2"/>
      <c r="E28" s="3"/>
      <c r="F28" s="3"/>
      <c r="G28" s="3"/>
      <c r="H28" s="3"/>
      <c r="I28" s="57">
        <f>0.1*(Horaires3567345[[#This Row],[Heures de nuit]]+Horaires3567345[[#This Row],[heures jour dimanche]]+Horaires3567345[[#This Row],[heures jour fériés]])</f>
        <v>0</v>
      </c>
      <c r="J28" s="58">
        <f>(MOD(Horaires3567345[[#This Row],[Fin]]-Horaires3567345[[#This Row],[début]],1)-MOD(Horaires3567345[[#This Row],[PNP Fin]]-Horaires3567345[[#This Row],[PNP Début]],1))*24</f>
        <v>0</v>
      </c>
      <c r="K28" s="59">
        <f>IF(Horaires3567345[[#This Row],[PNP Début]]=0,0,IF(Horaires3567345[[#This Row],[PNP Début]]&lt;Horaires3567345[[#This Row],[début]],1,0)+Horaires3567345[[#This Row],[PNP Début]])</f>
        <v>0</v>
      </c>
      <c r="L28" s="60">
        <f>IF(Horaires3567345[[#This Row],[PNP Fin]]=0,0,IF(Horaires3567345[[#This Row],[PNP Fin]]&lt;Horaires3567345[[#This Row],[début]],1,0)+Horaires3567345[[#This Row],[PNP Fin]])</f>
        <v>0</v>
      </c>
      <c r="M28" s="60">
        <f>IF(Horaires3567345[[#This Row],[Fin]]&lt;Horaires3567345[[#This Row],[début]],1,0)+Horaires3567345[[#This Row],[Fin]]</f>
        <v>0</v>
      </c>
      <c r="N28" s="61">
        <f>MAX(0,MIN(Horaires3567345[[#This Row],[Fin corrigée si nuit]],fin_nuit)-MAX(Horaires3567345[[#This Row],[début]],deb_nuit))*24</f>
        <v>0</v>
      </c>
      <c r="O28" s="62">
        <f>(MAX(0,MIN(Horaires3567345[[#This Row],[Fin corrigée si nuit]],fin_nuit)-MAX(Horaires3567345[[#This Row],[début]],deb_nuit))-IF(Horaires3567345[[#This Row],[PNP Début]]=0,0,MIN(Horaires3567345[[#This Row],[PNP Fin corrigée]],fin_nuit)-MAX(Horaires3567345[[#This Row],[PNP Début corrigé]],deb_nuit)))*24</f>
        <v>0</v>
      </c>
      <c r="P28" s="62">
        <f>(IF(WEEKDAY(Horaires3567345[[#This Row],[Date]],2)=7,MAX(0,MIN(fin_dimJF,Horaires3567345[[#This Row],[Fin corrigée si nuit]])-MAX(deb_dimJF,Horaires3567345[[#This Row],[début]])),0)+IF(WEEKDAY(Horaires3567345[[#This Row],[Date]],2)=6,MAX(0,Horaires3567345[[#This Row],[Fin corrigée si nuit]]-(1+deb_dimJF)),0))*24</f>
        <v>0</v>
      </c>
      <c r="Q28"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8" s="62">
        <f>(IF(COUNTIF(JF,Horaires3567345[[#This Row],[Date]]),MAX(0,MIN(fin_dimJF,Horaires3567345[[#This Row],[Fin corrigée si nuit]])-MAX(deb_dimJF,Horaires3567345[[#This Row],[début]])),0)+IF(COUNTIF(JF,Horaires3567345[[#This Row],[Date]]+1),MAX(0,Horaires3567345[[#This Row],[Fin corrigée si nuit]]-(1+deb_dimJF)),0))*24</f>
        <v>0</v>
      </c>
      <c r="S28"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29" spans="1:19" x14ac:dyDescent="0.35">
      <c r="A29" s="9"/>
      <c r="B29" s="1"/>
      <c r="C29" s="2"/>
      <c r="D29" s="2"/>
      <c r="E29" s="3"/>
      <c r="F29" s="3"/>
      <c r="G29" s="3"/>
      <c r="H29" s="3"/>
      <c r="I29" s="57">
        <f>0.1*(Horaires3567345[[#This Row],[Heures de nuit]]+Horaires3567345[[#This Row],[heures jour dimanche]]+Horaires3567345[[#This Row],[heures jour fériés]])</f>
        <v>0</v>
      </c>
      <c r="J29" s="58">
        <f>(MOD(Horaires3567345[[#This Row],[Fin]]-Horaires3567345[[#This Row],[début]],1)-MOD(Horaires3567345[[#This Row],[PNP Fin]]-Horaires3567345[[#This Row],[PNP Début]],1))*24</f>
        <v>0</v>
      </c>
      <c r="K29" s="59">
        <f>IF(Horaires3567345[[#This Row],[PNP Début]]=0,0,IF(Horaires3567345[[#This Row],[PNP Début]]&lt;Horaires3567345[[#This Row],[début]],1,0)+Horaires3567345[[#This Row],[PNP Début]])</f>
        <v>0</v>
      </c>
      <c r="L29" s="60">
        <f>IF(Horaires3567345[[#This Row],[PNP Fin]]=0,0,IF(Horaires3567345[[#This Row],[PNP Fin]]&lt;Horaires3567345[[#This Row],[début]],1,0)+Horaires3567345[[#This Row],[PNP Fin]])</f>
        <v>0</v>
      </c>
      <c r="M29" s="60">
        <f>IF(Horaires3567345[[#This Row],[Fin]]&lt;Horaires3567345[[#This Row],[début]],1,0)+Horaires3567345[[#This Row],[Fin]]</f>
        <v>0</v>
      </c>
      <c r="N29" s="61">
        <f>MAX(0,MIN(Horaires3567345[[#This Row],[Fin corrigée si nuit]],fin_nuit)-MAX(Horaires3567345[[#This Row],[début]],deb_nuit))*24</f>
        <v>0</v>
      </c>
      <c r="O29" s="62">
        <f>(MAX(0,MIN(Horaires3567345[[#This Row],[Fin corrigée si nuit]],fin_nuit)-MAX(Horaires3567345[[#This Row],[début]],deb_nuit))-IF(Horaires3567345[[#This Row],[PNP Début]]=0,0,MIN(Horaires3567345[[#This Row],[PNP Fin corrigée]],fin_nuit)-MAX(Horaires3567345[[#This Row],[PNP Début corrigé]],deb_nuit)))*24</f>
        <v>0</v>
      </c>
      <c r="P29" s="62">
        <f>(IF(WEEKDAY(Horaires3567345[[#This Row],[Date]],2)=7,MAX(0,MIN(fin_dimJF,Horaires3567345[[#This Row],[Fin corrigée si nuit]])-MAX(deb_dimJF,Horaires3567345[[#This Row],[début]])),0)+IF(WEEKDAY(Horaires3567345[[#This Row],[Date]],2)=6,MAX(0,Horaires3567345[[#This Row],[Fin corrigée si nuit]]-(1+deb_dimJF)),0))*24</f>
        <v>0</v>
      </c>
      <c r="Q29"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29" s="62">
        <f>(IF(COUNTIF(JF,Horaires3567345[[#This Row],[Date]]),MAX(0,MIN(fin_dimJF,Horaires3567345[[#This Row],[Fin corrigée si nuit]])-MAX(deb_dimJF,Horaires3567345[[#This Row],[début]])),0)+IF(COUNTIF(JF,Horaires3567345[[#This Row],[Date]]+1),MAX(0,Horaires3567345[[#This Row],[Fin corrigée si nuit]]-(1+deb_dimJF)),0))*24</f>
        <v>0</v>
      </c>
      <c r="S29"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0" spans="1:19" x14ac:dyDescent="0.35">
      <c r="A30" s="9"/>
      <c r="B30" s="1"/>
      <c r="C30" s="2"/>
      <c r="D30" s="2"/>
      <c r="E30" s="3"/>
      <c r="F30" s="3"/>
      <c r="G30" s="3"/>
      <c r="H30" s="3"/>
      <c r="I30" s="57">
        <f>0.1*(Horaires3567345[[#This Row],[Heures de nuit]]+Horaires3567345[[#This Row],[heures jour dimanche]]+Horaires3567345[[#This Row],[heures jour fériés]])</f>
        <v>0</v>
      </c>
      <c r="J30" s="58">
        <f>(MOD(Horaires3567345[[#This Row],[Fin]]-Horaires3567345[[#This Row],[début]],1)-MOD(Horaires3567345[[#This Row],[PNP Fin]]-Horaires3567345[[#This Row],[PNP Début]],1))*24</f>
        <v>0</v>
      </c>
      <c r="K30" s="59">
        <f>IF(Horaires3567345[[#This Row],[PNP Début]]=0,0,IF(Horaires3567345[[#This Row],[PNP Début]]&lt;Horaires3567345[[#This Row],[début]],1,0)+Horaires3567345[[#This Row],[PNP Début]])</f>
        <v>0</v>
      </c>
      <c r="L30" s="60">
        <f>IF(Horaires3567345[[#This Row],[PNP Fin]]=0,0,IF(Horaires3567345[[#This Row],[PNP Fin]]&lt;Horaires3567345[[#This Row],[début]],1,0)+Horaires3567345[[#This Row],[PNP Fin]])</f>
        <v>0</v>
      </c>
      <c r="M30" s="60">
        <f>IF(Horaires3567345[[#This Row],[Fin]]&lt;Horaires3567345[[#This Row],[début]],1,0)+Horaires3567345[[#This Row],[Fin]]</f>
        <v>0</v>
      </c>
      <c r="N30" s="61">
        <f>MAX(0,MIN(Horaires3567345[[#This Row],[Fin corrigée si nuit]],fin_nuit)-MAX(Horaires3567345[[#This Row],[début]],deb_nuit))*24</f>
        <v>0</v>
      </c>
      <c r="O30" s="62">
        <f>(MAX(0,MIN(Horaires3567345[[#This Row],[Fin corrigée si nuit]],fin_nuit)-MAX(Horaires3567345[[#This Row],[début]],deb_nuit))-IF(Horaires3567345[[#This Row],[PNP Début]]=0,0,MIN(Horaires3567345[[#This Row],[PNP Fin corrigée]],fin_nuit)-MAX(Horaires3567345[[#This Row],[PNP Début corrigé]],deb_nuit)))*24</f>
        <v>0</v>
      </c>
      <c r="P30" s="62">
        <f>(IF(WEEKDAY(Horaires3567345[[#This Row],[Date]],2)=7,MAX(0,MIN(fin_dimJF,Horaires3567345[[#This Row],[Fin corrigée si nuit]])-MAX(deb_dimJF,Horaires3567345[[#This Row],[début]])),0)+IF(WEEKDAY(Horaires3567345[[#This Row],[Date]],2)=6,MAX(0,Horaires3567345[[#This Row],[Fin corrigée si nuit]]-(1+deb_dimJF)),0))*24</f>
        <v>0</v>
      </c>
      <c r="Q30"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0" s="62">
        <f>(IF(COUNTIF(JF,Horaires3567345[[#This Row],[Date]]),MAX(0,MIN(fin_dimJF,Horaires3567345[[#This Row],[Fin corrigée si nuit]])-MAX(deb_dimJF,Horaires3567345[[#This Row],[début]])),0)+IF(COUNTIF(JF,Horaires3567345[[#This Row],[Date]]+1),MAX(0,Horaires3567345[[#This Row],[Fin corrigée si nuit]]-(1+deb_dimJF)),0))*24</f>
        <v>0</v>
      </c>
      <c r="S30"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1" spans="1:19" x14ac:dyDescent="0.35">
      <c r="A31" s="9"/>
      <c r="B31" s="1"/>
      <c r="C31" s="2"/>
      <c r="D31" s="2"/>
      <c r="E31" s="3"/>
      <c r="F31" s="3"/>
      <c r="G31" s="3"/>
      <c r="H31" s="3"/>
      <c r="I31" s="57">
        <f>0.1*(Horaires3567345[[#This Row],[Heures de nuit]]+Horaires3567345[[#This Row],[heures jour dimanche]]+Horaires3567345[[#This Row],[heures jour fériés]])</f>
        <v>0</v>
      </c>
      <c r="J31" s="58">
        <f>(MOD(Horaires3567345[[#This Row],[Fin]]-Horaires3567345[[#This Row],[début]],1)-MOD(Horaires3567345[[#This Row],[PNP Fin]]-Horaires3567345[[#This Row],[PNP Début]],1))*24</f>
        <v>0</v>
      </c>
      <c r="K31" s="59">
        <f>IF(Horaires3567345[[#This Row],[PNP Début]]=0,0,IF(Horaires3567345[[#This Row],[PNP Début]]&lt;Horaires3567345[[#This Row],[début]],1,0)+Horaires3567345[[#This Row],[PNP Début]])</f>
        <v>0</v>
      </c>
      <c r="L31" s="60">
        <f>IF(Horaires3567345[[#This Row],[PNP Fin]]=0,0,IF(Horaires3567345[[#This Row],[PNP Fin]]&lt;Horaires3567345[[#This Row],[début]],1,0)+Horaires3567345[[#This Row],[PNP Fin]])</f>
        <v>0</v>
      </c>
      <c r="M31" s="60">
        <f>IF(Horaires3567345[[#This Row],[Fin]]&lt;Horaires3567345[[#This Row],[début]],1,0)+Horaires3567345[[#This Row],[Fin]]</f>
        <v>0</v>
      </c>
      <c r="N31" s="61">
        <f>MAX(0,MIN(Horaires3567345[[#This Row],[Fin corrigée si nuit]],fin_nuit)-MAX(Horaires3567345[[#This Row],[début]],deb_nuit))*24</f>
        <v>0</v>
      </c>
      <c r="O31" s="62">
        <f>(MAX(0,MIN(Horaires3567345[[#This Row],[Fin corrigée si nuit]],fin_nuit)-MAX(Horaires3567345[[#This Row],[début]],deb_nuit))-IF(Horaires3567345[[#This Row],[PNP Début]]=0,0,MIN(Horaires3567345[[#This Row],[PNP Fin corrigée]],fin_nuit)-MAX(Horaires3567345[[#This Row],[PNP Début corrigé]],deb_nuit)))*24</f>
        <v>0</v>
      </c>
      <c r="P31" s="62">
        <f>(IF(WEEKDAY(Horaires3567345[[#This Row],[Date]],2)=7,MAX(0,MIN(fin_dimJF,Horaires3567345[[#This Row],[Fin corrigée si nuit]])-MAX(deb_dimJF,Horaires3567345[[#This Row],[début]])),0)+IF(WEEKDAY(Horaires3567345[[#This Row],[Date]],2)=6,MAX(0,Horaires3567345[[#This Row],[Fin corrigée si nuit]]-(1+deb_dimJF)),0))*24</f>
        <v>0</v>
      </c>
      <c r="Q31"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1" s="62">
        <f>(IF(COUNTIF(JF,Horaires3567345[[#This Row],[Date]]),MAX(0,MIN(fin_dimJF,Horaires3567345[[#This Row],[Fin corrigée si nuit]])-MAX(deb_dimJF,Horaires3567345[[#This Row],[début]])),0)+IF(COUNTIF(JF,Horaires3567345[[#This Row],[Date]]+1),MAX(0,Horaires3567345[[#This Row],[Fin corrigée si nuit]]-(1+deb_dimJF)),0))*24</f>
        <v>0</v>
      </c>
      <c r="S31"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2" spans="1:19" ht="14.5" customHeight="1" x14ac:dyDescent="0.35">
      <c r="A32" s="9"/>
      <c r="B32" s="1"/>
      <c r="C32" s="2"/>
      <c r="D32" s="2"/>
      <c r="E32" s="3"/>
      <c r="F32" s="3"/>
      <c r="G32" s="3"/>
      <c r="H32" s="3"/>
      <c r="I32" s="57">
        <f>0.1*(Horaires3567345[[#This Row],[Heures de nuit]]+Horaires3567345[[#This Row],[heures jour dimanche]]+Horaires3567345[[#This Row],[heures jour fériés]])</f>
        <v>0</v>
      </c>
      <c r="J32" s="58">
        <f>(MOD(Horaires3567345[[#This Row],[Fin]]-Horaires3567345[[#This Row],[début]],1)-MOD(Horaires3567345[[#This Row],[PNP Fin]]-Horaires3567345[[#This Row],[PNP Début]],1))*24</f>
        <v>0</v>
      </c>
      <c r="K32" s="59">
        <f>IF(Horaires3567345[[#This Row],[PNP Début]]=0,0,IF(Horaires3567345[[#This Row],[PNP Début]]&lt;Horaires3567345[[#This Row],[début]],1,0)+Horaires3567345[[#This Row],[PNP Début]])</f>
        <v>0</v>
      </c>
      <c r="L32" s="60">
        <f>IF(Horaires3567345[[#This Row],[PNP Fin]]=0,0,IF(Horaires3567345[[#This Row],[PNP Fin]]&lt;Horaires3567345[[#This Row],[début]],1,0)+Horaires3567345[[#This Row],[PNP Fin]])</f>
        <v>0</v>
      </c>
      <c r="M32" s="60">
        <f>IF(Horaires3567345[[#This Row],[Fin]]&lt;Horaires3567345[[#This Row],[début]],1,0)+Horaires3567345[[#This Row],[Fin]]</f>
        <v>0</v>
      </c>
      <c r="N32" s="61">
        <f>MAX(0,MIN(Horaires3567345[[#This Row],[Fin corrigée si nuit]],fin_nuit)-MAX(Horaires3567345[[#This Row],[début]],deb_nuit))*24</f>
        <v>0</v>
      </c>
      <c r="O32" s="62">
        <f>(MAX(0,MIN(Horaires3567345[[#This Row],[Fin corrigée si nuit]],fin_nuit)-MAX(Horaires3567345[[#This Row],[début]],deb_nuit))-IF(Horaires3567345[[#This Row],[PNP Début]]=0,0,MIN(Horaires3567345[[#This Row],[PNP Fin corrigée]],fin_nuit)-MAX(Horaires3567345[[#This Row],[PNP Début corrigé]],deb_nuit)))*24</f>
        <v>0</v>
      </c>
      <c r="P32" s="62">
        <f>(IF(WEEKDAY(Horaires3567345[[#This Row],[Date]],2)=7,MAX(0,MIN(fin_dimJF,Horaires3567345[[#This Row],[Fin corrigée si nuit]])-MAX(deb_dimJF,Horaires3567345[[#This Row],[début]])),0)+IF(WEEKDAY(Horaires3567345[[#This Row],[Date]],2)=6,MAX(0,Horaires3567345[[#This Row],[Fin corrigée si nuit]]-(1+deb_dimJF)),0))*24</f>
        <v>0</v>
      </c>
      <c r="Q32"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2" s="62">
        <f>(IF(COUNTIF(JF,Horaires3567345[[#This Row],[Date]]),MAX(0,MIN(fin_dimJF,Horaires3567345[[#This Row],[Fin corrigée si nuit]])-MAX(deb_dimJF,Horaires3567345[[#This Row],[début]])),0)+IF(COUNTIF(JF,Horaires3567345[[#This Row],[Date]]+1),MAX(0,Horaires3567345[[#This Row],[Fin corrigée si nuit]]-(1+deb_dimJF)),0))*24</f>
        <v>0</v>
      </c>
      <c r="S32"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3" spans="1:19" x14ac:dyDescent="0.35">
      <c r="A33" s="9"/>
      <c r="B33" s="1"/>
      <c r="C33" s="2"/>
      <c r="D33" s="2"/>
      <c r="E33" s="3"/>
      <c r="F33" s="3"/>
      <c r="G33" s="3"/>
      <c r="H33" s="3"/>
      <c r="I33" s="57">
        <f>0.1*(Horaires3567345[[#This Row],[Heures de nuit]]+Horaires3567345[[#This Row],[heures jour dimanche]]+Horaires3567345[[#This Row],[heures jour fériés]])</f>
        <v>0</v>
      </c>
      <c r="J33" s="58">
        <f>(MOD(Horaires3567345[[#This Row],[Fin]]-Horaires3567345[[#This Row],[début]],1)-MOD(Horaires3567345[[#This Row],[PNP Fin]]-Horaires3567345[[#This Row],[PNP Début]],1))*24</f>
        <v>0</v>
      </c>
      <c r="K33" s="59">
        <f>IF(Horaires3567345[[#This Row],[PNP Début]]=0,0,IF(Horaires3567345[[#This Row],[PNP Début]]&lt;Horaires3567345[[#This Row],[début]],1,0)+Horaires3567345[[#This Row],[PNP Début]])</f>
        <v>0</v>
      </c>
      <c r="L33" s="60">
        <f>IF(Horaires3567345[[#This Row],[PNP Fin]]=0,0,IF(Horaires3567345[[#This Row],[PNP Fin]]&lt;Horaires3567345[[#This Row],[début]],1,0)+Horaires3567345[[#This Row],[PNP Fin]])</f>
        <v>0</v>
      </c>
      <c r="M33" s="60">
        <f>IF(Horaires3567345[[#This Row],[Fin]]&lt;Horaires3567345[[#This Row],[début]],1,0)+Horaires3567345[[#This Row],[Fin]]</f>
        <v>0</v>
      </c>
      <c r="N33" s="61">
        <f>MAX(0,MIN(Horaires3567345[[#This Row],[Fin corrigée si nuit]],fin_nuit)-MAX(Horaires3567345[[#This Row],[début]],deb_nuit))*24</f>
        <v>0</v>
      </c>
      <c r="O33" s="62">
        <f>(MAX(0,MIN(Horaires3567345[[#This Row],[Fin corrigée si nuit]],fin_nuit)-MAX(Horaires3567345[[#This Row],[début]],deb_nuit))-IF(Horaires3567345[[#This Row],[PNP Début]]=0,0,MIN(Horaires3567345[[#This Row],[PNP Fin corrigée]],fin_nuit)-MAX(Horaires3567345[[#This Row],[PNP Début corrigé]],deb_nuit)))*24</f>
        <v>0</v>
      </c>
      <c r="P33" s="62">
        <f>(IF(WEEKDAY(Horaires3567345[[#This Row],[Date]],2)=7,MAX(0,MIN(fin_dimJF,Horaires3567345[[#This Row],[Fin corrigée si nuit]])-MAX(deb_dimJF,Horaires3567345[[#This Row],[début]])),0)+IF(WEEKDAY(Horaires3567345[[#This Row],[Date]],2)=6,MAX(0,Horaires3567345[[#This Row],[Fin corrigée si nuit]]-(1+deb_dimJF)),0))*24</f>
        <v>0</v>
      </c>
      <c r="Q33"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3" s="62">
        <f>(IF(COUNTIF(JF,Horaires3567345[[#This Row],[Date]]),MAX(0,MIN(fin_dimJF,Horaires3567345[[#This Row],[Fin corrigée si nuit]])-MAX(deb_dimJF,Horaires3567345[[#This Row],[début]])),0)+IF(COUNTIF(JF,Horaires3567345[[#This Row],[Date]]+1),MAX(0,Horaires3567345[[#This Row],[Fin corrigée si nuit]]-(1+deb_dimJF)),0))*24</f>
        <v>0</v>
      </c>
      <c r="S33"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4" spans="1:19" x14ac:dyDescent="0.35">
      <c r="A34" s="9"/>
      <c r="B34" s="1"/>
      <c r="C34" s="2"/>
      <c r="D34" s="2"/>
      <c r="E34" s="3"/>
      <c r="F34" s="3"/>
      <c r="G34" s="3"/>
      <c r="H34" s="3"/>
      <c r="I34" s="57">
        <f>0.1*(Horaires3567345[[#This Row],[Heures de nuit]]+Horaires3567345[[#This Row],[heures jour dimanche]]+Horaires3567345[[#This Row],[heures jour fériés]])</f>
        <v>0</v>
      </c>
      <c r="J34" s="58">
        <f>(MOD(Horaires3567345[[#This Row],[Fin]]-Horaires3567345[[#This Row],[début]],1)-MOD(Horaires3567345[[#This Row],[PNP Fin]]-Horaires3567345[[#This Row],[PNP Début]],1))*24</f>
        <v>0</v>
      </c>
      <c r="K34" s="59">
        <f>IF(Horaires3567345[[#This Row],[PNP Début]]=0,0,IF(Horaires3567345[[#This Row],[PNP Début]]&lt;Horaires3567345[[#This Row],[début]],1,0)+Horaires3567345[[#This Row],[PNP Début]])</f>
        <v>0</v>
      </c>
      <c r="L34" s="60">
        <f>IF(Horaires3567345[[#This Row],[PNP Fin]]=0,0,IF(Horaires3567345[[#This Row],[PNP Fin]]&lt;Horaires3567345[[#This Row],[début]],1,0)+Horaires3567345[[#This Row],[PNP Fin]])</f>
        <v>0</v>
      </c>
      <c r="M34" s="60">
        <f>IF(Horaires3567345[[#This Row],[Fin]]&lt;Horaires3567345[[#This Row],[début]],1,0)+Horaires3567345[[#This Row],[Fin]]</f>
        <v>0</v>
      </c>
      <c r="N34" s="61">
        <f>MAX(0,MIN(Horaires3567345[[#This Row],[Fin corrigée si nuit]],fin_nuit)-MAX(Horaires3567345[[#This Row],[début]],deb_nuit))*24</f>
        <v>0</v>
      </c>
      <c r="O34" s="62">
        <f>(MAX(0,MIN(Horaires3567345[[#This Row],[Fin corrigée si nuit]],fin_nuit)-MAX(Horaires3567345[[#This Row],[début]],deb_nuit))-IF(Horaires3567345[[#This Row],[PNP Début]]=0,0,MIN(Horaires3567345[[#This Row],[PNP Fin corrigée]],fin_nuit)-MAX(Horaires3567345[[#This Row],[PNP Début corrigé]],deb_nuit)))*24</f>
        <v>0</v>
      </c>
      <c r="P34" s="62">
        <f>(IF(WEEKDAY(Horaires3567345[[#This Row],[Date]],2)=7,MAX(0,MIN(fin_dimJF,Horaires3567345[[#This Row],[Fin corrigée si nuit]])-MAX(deb_dimJF,Horaires3567345[[#This Row],[début]])),0)+IF(WEEKDAY(Horaires3567345[[#This Row],[Date]],2)=6,MAX(0,Horaires3567345[[#This Row],[Fin corrigée si nuit]]-(1+deb_dimJF)),0))*24</f>
        <v>0</v>
      </c>
      <c r="Q34"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4" s="62">
        <f>(IF(COUNTIF(JF,Horaires3567345[[#This Row],[Date]]),MAX(0,MIN(fin_dimJF,Horaires3567345[[#This Row],[Fin corrigée si nuit]])-MAX(deb_dimJF,Horaires3567345[[#This Row],[début]])),0)+IF(COUNTIF(JF,Horaires3567345[[#This Row],[Date]]+1),MAX(0,Horaires3567345[[#This Row],[Fin corrigée si nuit]]-(1+deb_dimJF)),0))*24</f>
        <v>0</v>
      </c>
      <c r="S34"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5" spans="1:19" x14ac:dyDescent="0.35">
      <c r="A35" s="9"/>
      <c r="B35" s="1"/>
      <c r="C35" s="2"/>
      <c r="D35" s="2"/>
      <c r="E35" s="3"/>
      <c r="F35" s="3"/>
      <c r="G35" s="3"/>
      <c r="H35" s="3"/>
      <c r="I35" s="57">
        <f>0.1*(Horaires3567345[[#This Row],[Heures de nuit]]+Horaires3567345[[#This Row],[heures jour dimanche]]+Horaires3567345[[#This Row],[heures jour fériés]])</f>
        <v>0</v>
      </c>
      <c r="J35" s="58">
        <f>(MOD(Horaires3567345[[#This Row],[Fin]]-Horaires3567345[[#This Row],[début]],1)-MOD(Horaires3567345[[#This Row],[PNP Fin]]-Horaires3567345[[#This Row],[PNP Début]],1))*24</f>
        <v>0</v>
      </c>
      <c r="K35" s="59">
        <f>IF(Horaires3567345[[#This Row],[PNP Début]]=0,0,IF(Horaires3567345[[#This Row],[PNP Début]]&lt;Horaires3567345[[#This Row],[début]],1,0)+Horaires3567345[[#This Row],[PNP Début]])</f>
        <v>0</v>
      </c>
      <c r="L35" s="60">
        <f>IF(Horaires3567345[[#This Row],[PNP Fin]]=0,0,IF(Horaires3567345[[#This Row],[PNP Fin]]&lt;Horaires3567345[[#This Row],[début]],1,0)+Horaires3567345[[#This Row],[PNP Fin]])</f>
        <v>0</v>
      </c>
      <c r="M35" s="60">
        <f>IF(Horaires3567345[[#This Row],[Fin]]&lt;Horaires3567345[[#This Row],[début]],1,0)+Horaires3567345[[#This Row],[Fin]]</f>
        <v>0</v>
      </c>
      <c r="N35" s="61">
        <f>MAX(0,MIN(Horaires3567345[[#This Row],[Fin corrigée si nuit]],fin_nuit)-MAX(Horaires3567345[[#This Row],[début]],deb_nuit))*24</f>
        <v>0</v>
      </c>
      <c r="O35" s="62">
        <f>(MAX(0,MIN(Horaires3567345[[#This Row],[Fin corrigée si nuit]],fin_nuit)-MAX(Horaires3567345[[#This Row],[début]],deb_nuit))-IF(Horaires3567345[[#This Row],[PNP Début]]=0,0,MIN(Horaires3567345[[#This Row],[PNP Fin corrigée]],fin_nuit)-MAX(Horaires3567345[[#This Row],[PNP Début corrigé]],deb_nuit)))*24</f>
        <v>0</v>
      </c>
      <c r="P35" s="62">
        <f>(IF(WEEKDAY(Horaires3567345[[#This Row],[Date]],2)=7,MAX(0,MIN(fin_dimJF,Horaires3567345[[#This Row],[Fin corrigée si nuit]])-MAX(deb_dimJF,Horaires3567345[[#This Row],[début]])),0)+IF(WEEKDAY(Horaires3567345[[#This Row],[Date]],2)=6,MAX(0,Horaires3567345[[#This Row],[Fin corrigée si nuit]]-(1+deb_dimJF)),0))*24</f>
        <v>0</v>
      </c>
      <c r="Q35"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5" s="62">
        <f>(IF(COUNTIF(JF,Horaires3567345[[#This Row],[Date]]),MAX(0,MIN(fin_dimJF,Horaires3567345[[#This Row],[Fin corrigée si nuit]])-MAX(deb_dimJF,Horaires3567345[[#This Row],[début]])),0)+IF(COUNTIF(JF,Horaires3567345[[#This Row],[Date]]+1),MAX(0,Horaires3567345[[#This Row],[Fin corrigée si nuit]]-(1+deb_dimJF)),0))*24</f>
        <v>0</v>
      </c>
      <c r="S35"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6" spans="1:19" x14ac:dyDescent="0.35">
      <c r="A36" s="9"/>
      <c r="B36" s="1"/>
      <c r="C36" s="2"/>
      <c r="D36" s="2"/>
      <c r="E36" s="3"/>
      <c r="F36" s="3"/>
      <c r="G36" s="3"/>
      <c r="H36" s="3"/>
      <c r="I36" s="57">
        <f>0.1*(Horaires3567345[[#This Row],[Heures de nuit]]+Horaires3567345[[#This Row],[heures jour dimanche]]+Horaires3567345[[#This Row],[heures jour fériés]])</f>
        <v>0</v>
      </c>
      <c r="J36" s="58">
        <f>(MOD(Horaires3567345[[#This Row],[Fin]]-Horaires3567345[[#This Row],[début]],1)-MOD(Horaires3567345[[#This Row],[PNP Fin]]-Horaires3567345[[#This Row],[PNP Début]],1))*24</f>
        <v>0</v>
      </c>
      <c r="K36" s="59">
        <f>IF(Horaires3567345[[#This Row],[PNP Début]]=0,0,IF(Horaires3567345[[#This Row],[PNP Début]]&lt;Horaires3567345[[#This Row],[début]],1,0)+Horaires3567345[[#This Row],[PNP Début]])</f>
        <v>0</v>
      </c>
      <c r="L36" s="60">
        <f>IF(Horaires3567345[[#This Row],[PNP Fin]]=0,0,IF(Horaires3567345[[#This Row],[PNP Fin]]&lt;Horaires3567345[[#This Row],[début]],1,0)+Horaires3567345[[#This Row],[PNP Fin]])</f>
        <v>0</v>
      </c>
      <c r="M36" s="60">
        <f>IF(Horaires3567345[[#This Row],[Fin]]&lt;Horaires3567345[[#This Row],[début]],1,0)+Horaires3567345[[#This Row],[Fin]]</f>
        <v>0</v>
      </c>
      <c r="N36" s="61">
        <f>MAX(0,MIN(Horaires3567345[[#This Row],[Fin corrigée si nuit]],fin_nuit)-MAX(Horaires3567345[[#This Row],[début]],deb_nuit))*24</f>
        <v>0</v>
      </c>
      <c r="O36" s="62">
        <f>(MAX(0,MIN(Horaires3567345[[#This Row],[Fin corrigée si nuit]],fin_nuit)-MAX(Horaires3567345[[#This Row],[début]],deb_nuit))-IF(Horaires3567345[[#This Row],[PNP Début]]=0,0,MIN(Horaires3567345[[#This Row],[PNP Fin corrigée]],fin_nuit)-MAX(Horaires3567345[[#This Row],[PNP Début corrigé]],deb_nuit)))*24</f>
        <v>0</v>
      </c>
      <c r="P36" s="62">
        <f>(IF(WEEKDAY(Horaires3567345[[#This Row],[Date]],2)=7,MAX(0,MIN(fin_dimJF,Horaires3567345[[#This Row],[Fin corrigée si nuit]])-MAX(deb_dimJF,Horaires3567345[[#This Row],[début]])),0)+IF(WEEKDAY(Horaires3567345[[#This Row],[Date]],2)=6,MAX(0,Horaires3567345[[#This Row],[Fin corrigée si nuit]]-(1+deb_dimJF)),0))*24</f>
        <v>0</v>
      </c>
      <c r="Q36"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6" s="62">
        <f>(IF(COUNTIF(JF,Horaires3567345[[#This Row],[Date]]),MAX(0,MIN(fin_dimJF,Horaires3567345[[#This Row],[Fin corrigée si nuit]])-MAX(deb_dimJF,Horaires3567345[[#This Row],[début]])),0)+IF(COUNTIF(JF,Horaires3567345[[#This Row],[Date]]+1),MAX(0,Horaires3567345[[#This Row],[Fin corrigée si nuit]]-(1+deb_dimJF)),0))*24</f>
        <v>0</v>
      </c>
      <c r="S36"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7" spans="1:19" x14ac:dyDescent="0.35">
      <c r="A37" s="9"/>
      <c r="B37" s="1"/>
      <c r="C37" s="2"/>
      <c r="D37" s="2"/>
      <c r="E37" s="3"/>
      <c r="F37" s="3"/>
      <c r="G37" s="3"/>
      <c r="H37" s="3"/>
      <c r="I37" s="57">
        <f>0.1*(Horaires3567345[[#This Row],[Heures de nuit]]+Horaires3567345[[#This Row],[heures jour dimanche]]+Horaires3567345[[#This Row],[heures jour fériés]])</f>
        <v>0</v>
      </c>
      <c r="J37" s="58">
        <f>(MOD(Horaires3567345[[#This Row],[Fin]]-Horaires3567345[[#This Row],[début]],1)-MOD(Horaires3567345[[#This Row],[PNP Fin]]-Horaires3567345[[#This Row],[PNP Début]],1))*24</f>
        <v>0</v>
      </c>
      <c r="K37" s="59">
        <f>IF(Horaires3567345[[#This Row],[PNP Début]]=0,0,IF(Horaires3567345[[#This Row],[PNP Début]]&lt;Horaires3567345[[#This Row],[début]],1,0)+Horaires3567345[[#This Row],[PNP Début]])</f>
        <v>0</v>
      </c>
      <c r="L37" s="60">
        <f>IF(Horaires3567345[[#This Row],[PNP Fin]]=0,0,IF(Horaires3567345[[#This Row],[PNP Fin]]&lt;Horaires3567345[[#This Row],[début]],1,0)+Horaires3567345[[#This Row],[PNP Fin]])</f>
        <v>0</v>
      </c>
      <c r="M37" s="60">
        <f>IF(Horaires3567345[[#This Row],[Fin]]&lt;Horaires3567345[[#This Row],[début]],1,0)+Horaires3567345[[#This Row],[Fin]]</f>
        <v>0</v>
      </c>
      <c r="N37" s="61">
        <f>MAX(0,MIN(Horaires3567345[[#This Row],[Fin corrigée si nuit]],fin_nuit)-MAX(Horaires3567345[[#This Row],[début]],deb_nuit))*24</f>
        <v>0</v>
      </c>
      <c r="O37" s="62">
        <f>(MAX(0,MIN(Horaires3567345[[#This Row],[Fin corrigée si nuit]],fin_nuit)-MAX(Horaires3567345[[#This Row],[début]],deb_nuit))-IF(Horaires3567345[[#This Row],[PNP Début]]=0,0,MIN(Horaires3567345[[#This Row],[PNP Fin corrigée]],fin_nuit)-MAX(Horaires3567345[[#This Row],[PNP Début corrigé]],deb_nuit)))*24</f>
        <v>0</v>
      </c>
      <c r="P37" s="62">
        <f>(IF(WEEKDAY(Horaires3567345[[#This Row],[Date]],2)=7,MAX(0,MIN(fin_dimJF,Horaires3567345[[#This Row],[Fin corrigée si nuit]])-MAX(deb_dimJF,Horaires3567345[[#This Row],[début]])),0)+IF(WEEKDAY(Horaires3567345[[#This Row],[Date]],2)=6,MAX(0,Horaires3567345[[#This Row],[Fin corrigée si nuit]]-(1+deb_dimJF)),0))*24</f>
        <v>0</v>
      </c>
      <c r="Q37"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7" s="62">
        <f>(IF(COUNTIF(JF,Horaires3567345[[#This Row],[Date]]),MAX(0,MIN(fin_dimJF,Horaires3567345[[#This Row],[Fin corrigée si nuit]])-MAX(deb_dimJF,Horaires3567345[[#This Row],[début]])),0)+IF(COUNTIF(JF,Horaires3567345[[#This Row],[Date]]+1),MAX(0,Horaires3567345[[#This Row],[Fin corrigée si nuit]]-(1+deb_dimJF)),0))*24</f>
        <v>0</v>
      </c>
      <c r="S37"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8" spans="1:19" x14ac:dyDescent="0.35">
      <c r="A38" s="9"/>
      <c r="B38" s="1"/>
      <c r="C38" s="2"/>
      <c r="D38" s="2"/>
      <c r="E38" s="3"/>
      <c r="F38" s="3"/>
      <c r="G38" s="3"/>
      <c r="H38" s="3"/>
      <c r="I38" s="57">
        <f>0.1*(Horaires3567345[[#This Row],[Heures de nuit]]+Horaires3567345[[#This Row],[heures jour dimanche]]+Horaires3567345[[#This Row],[heures jour fériés]])</f>
        <v>0</v>
      </c>
      <c r="J38" s="58">
        <f>(MOD(Horaires3567345[[#This Row],[Fin]]-Horaires3567345[[#This Row],[début]],1)-MOD(Horaires3567345[[#This Row],[PNP Fin]]-Horaires3567345[[#This Row],[PNP Début]],1))*24</f>
        <v>0</v>
      </c>
      <c r="K38" s="59">
        <f>IF(Horaires3567345[[#This Row],[PNP Début]]=0,0,IF(Horaires3567345[[#This Row],[PNP Début]]&lt;Horaires3567345[[#This Row],[début]],1,0)+Horaires3567345[[#This Row],[PNP Début]])</f>
        <v>0</v>
      </c>
      <c r="L38" s="60">
        <f>IF(Horaires3567345[[#This Row],[PNP Fin]]=0,0,IF(Horaires3567345[[#This Row],[PNP Fin]]&lt;Horaires3567345[[#This Row],[début]],1,0)+Horaires3567345[[#This Row],[PNP Fin]])</f>
        <v>0</v>
      </c>
      <c r="M38" s="60">
        <f>IF(Horaires3567345[[#This Row],[Fin]]&lt;Horaires3567345[[#This Row],[début]],1,0)+Horaires3567345[[#This Row],[Fin]]</f>
        <v>0</v>
      </c>
      <c r="N38" s="61">
        <f>MAX(0,MIN(Horaires3567345[[#This Row],[Fin corrigée si nuit]],fin_nuit)-MAX(Horaires3567345[[#This Row],[début]],deb_nuit))*24</f>
        <v>0</v>
      </c>
      <c r="O38" s="62">
        <f>(MAX(0,MIN(Horaires3567345[[#This Row],[Fin corrigée si nuit]],fin_nuit)-MAX(Horaires3567345[[#This Row],[début]],deb_nuit))-IF(Horaires3567345[[#This Row],[PNP Début]]=0,0,MIN(Horaires3567345[[#This Row],[PNP Fin corrigée]],fin_nuit)-MAX(Horaires3567345[[#This Row],[PNP Début corrigé]],deb_nuit)))*24</f>
        <v>0</v>
      </c>
      <c r="P38" s="62">
        <f>(IF(WEEKDAY(Horaires3567345[[#This Row],[Date]],2)=7,MAX(0,MIN(fin_dimJF,Horaires3567345[[#This Row],[Fin corrigée si nuit]])-MAX(deb_dimJF,Horaires3567345[[#This Row],[début]])),0)+IF(WEEKDAY(Horaires3567345[[#This Row],[Date]],2)=6,MAX(0,Horaires3567345[[#This Row],[Fin corrigée si nuit]]-(1+deb_dimJF)),0))*24</f>
        <v>0</v>
      </c>
      <c r="Q38"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8" s="62">
        <f>(IF(COUNTIF(JF,Horaires3567345[[#This Row],[Date]]),MAX(0,MIN(fin_dimJF,Horaires3567345[[#This Row],[Fin corrigée si nuit]])-MAX(deb_dimJF,Horaires3567345[[#This Row],[début]])),0)+IF(COUNTIF(JF,Horaires3567345[[#This Row],[Date]]+1),MAX(0,Horaires3567345[[#This Row],[Fin corrigée si nuit]]-(1+deb_dimJF)),0))*24</f>
        <v>0</v>
      </c>
      <c r="S38"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39" spans="1:19" x14ac:dyDescent="0.35">
      <c r="A39" s="9"/>
      <c r="B39" s="1"/>
      <c r="C39" s="2"/>
      <c r="D39" s="2"/>
      <c r="E39" s="3"/>
      <c r="F39" s="3"/>
      <c r="G39" s="3"/>
      <c r="H39" s="3"/>
      <c r="I39" s="57">
        <f>0.1*(Horaires3567345[[#This Row],[Heures de nuit]]+Horaires3567345[[#This Row],[heures jour dimanche]]+Horaires3567345[[#This Row],[heures jour fériés]])</f>
        <v>0</v>
      </c>
      <c r="J39" s="58">
        <f>(MOD(Horaires3567345[[#This Row],[Fin]]-Horaires3567345[[#This Row],[début]],1)-MOD(Horaires3567345[[#This Row],[PNP Fin]]-Horaires3567345[[#This Row],[PNP Début]],1))*24</f>
        <v>0</v>
      </c>
      <c r="K39" s="59">
        <f>IF(Horaires3567345[[#This Row],[PNP Début]]=0,0,IF(Horaires3567345[[#This Row],[PNP Début]]&lt;Horaires3567345[[#This Row],[début]],1,0)+Horaires3567345[[#This Row],[PNP Début]])</f>
        <v>0</v>
      </c>
      <c r="L39" s="60">
        <f>IF(Horaires3567345[[#This Row],[PNP Fin]]=0,0,IF(Horaires3567345[[#This Row],[PNP Fin]]&lt;Horaires3567345[[#This Row],[début]],1,0)+Horaires3567345[[#This Row],[PNP Fin]])</f>
        <v>0</v>
      </c>
      <c r="M39" s="60">
        <f>IF(Horaires3567345[[#This Row],[Fin]]&lt;Horaires3567345[[#This Row],[début]],1,0)+Horaires3567345[[#This Row],[Fin]]</f>
        <v>0</v>
      </c>
      <c r="N39" s="61">
        <f>MAX(0,MIN(Horaires3567345[[#This Row],[Fin corrigée si nuit]],fin_nuit)-MAX(Horaires3567345[[#This Row],[début]],deb_nuit))*24</f>
        <v>0</v>
      </c>
      <c r="O39" s="62">
        <f>(MAX(0,MIN(Horaires3567345[[#This Row],[Fin corrigée si nuit]],fin_nuit)-MAX(Horaires3567345[[#This Row],[début]],deb_nuit))-IF(Horaires3567345[[#This Row],[PNP Début]]=0,0,MIN(Horaires3567345[[#This Row],[PNP Fin corrigée]],fin_nuit)-MAX(Horaires3567345[[#This Row],[PNP Début corrigé]],deb_nuit)))*24</f>
        <v>0</v>
      </c>
      <c r="P39" s="62">
        <f>(IF(WEEKDAY(Horaires3567345[[#This Row],[Date]],2)=7,MAX(0,MIN(fin_dimJF,Horaires3567345[[#This Row],[Fin corrigée si nuit]])-MAX(deb_dimJF,Horaires3567345[[#This Row],[début]])),0)+IF(WEEKDAY(Horaires3567345[[#This Row],[Date]],2)=6,MAX(0,Horaires3567345[[#This Row],[Fin corrigée si nuit]]-(1+deb_dimJF)),0))*24</f>
        <v>0</v>
      </c>
      <c r="Q39"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39" s="62">
        <f>(IF(COUNTIF(JF,Horaires3567345[[#This Row],[Date]]),MAX(0,MIN(fin_dimJF,Horaires3567345[[#This Row],[Fin corrigée si nuit]])-MAX(deb_dimJF,Horaires3567345[[#This Row],[début]])),0)+IF(COUNTIF(JF,Horaires3567345[[#This Row],[Date]]+1),MAX(0,Horaires3567345[[#This Row],[Fin corrigée si nuit]]-(1+deb_dimJF)),0))*24</f>
        <v>0</v>
      </c>
      <c r="S39"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0" spans="1:19" x14ac:dyDescent="0.35">
      <c r="A40" s="9"/>
      <c r="B40" s="1"/>
      <c r="C40" s="2"/>
      <c r="D40" s="2"/>
      <c r="E40" s="3"/>
      <c r="F40" s="3"/>
      <c r="G40" s="3"/>
      <c r="H40" s="3"/>
      <c r="I40" s="57">
        <f>0.1*(Horaires3567345[[#This Row],[Heures de nuit]]+Horaires3567345[[#This Row],[heures jour dimanche]]+Horaires3567345[[#This Row],[heures jour fériés]])</f>
        <v>0</v>
      </c>
      <c r="J40" s="58">
        <f>(MOD(Horaires3567345[[#This Row],[Fin]]-Horaires3567345[[#This Row],[début]],1)-MOD(Horaires3567345[[#This Row],[PNP Fin]]-Horaires3567345[[#This Row],[PNP Début]],1))*24</f>
        <v>0</v>
      </c>
      <c r="K40" s="59">
        <f>IF(Horaires3567345[[#This Row],[PNP Début]]=0,0,IF(Horaires3567345[[#This Row],[PNP Début]]&lt;Horaires3567345[[#This Row],[début]],1,0)+Horaires3567345[[#This Row],[PNP Début]])</f>
        <v>0</v>
      </c>
      <c r="L40" s="60">
        <f>IF(Horaires3567345[[#This Row],[PNP Fin]]=0,0,IF(Horaires3567345[[#This Row],[PNP Fin]]&lt;Horaires3567345[[#This Row],[début]],1,0)+Horaires3567345[[#This Row],[PNP Fin]])</f>
        <v>0</v>
      </c>
      <c r="M40" s="60">
        <f>IF(Horaires3567345[[#This Row],[Fin]]&lt;Horaires3567345[[#This Row],[début]],1,0)+Horaires3567345[[#This Row],[Fin]]</f>
        <v>0</v>
      </c>
      <c r="N40" s="61">
        <f>MAX(0,MIN(Horaires3567345[[#This Row],[Fin corrigée si nuit]],fin_nuit)-MAX(Horaires3567345[[#This Row],[début]],deb_nuit))*24</f>
        <v>0</v>
      </c>
      <c r="O40" s="62">
        <f>(MAX(0,MIN(Horaires3567345[[#This Row],[Fin corrigée si nuit]],fin_nuit)-MAX(Horaires3567345[[#This Row],[début]],deb_nuit))-IF(Horaires3567345[[#This Row],[PNP Début]]=0,0,MIN(Horaires3567345[[#This Row],[PNP Fin corrigée]],fin_nuit)-MAX(Horaires3567345[[#This Row],[PNP Début corrigé]],deb_nuit)))*24</f>
        <v>0</v>
      </c>
      <c r="P40" s="62">
        <f>(IF(WEEKDAY(Horaires3567345[[#This Row],[Date]],2)=7,MAX(0,MIN(fin_dimJF,Horaires3567345[[#This Row],[Fin corrigée si nuit]])-MAX(deb_dimJF,Horaires3567345[[#This Row],[début]])),0)+IF(WEEKDAY(Horaires3567345[[#This Row],[Date]],2)=6,MAX(0,Horaires3567345[[#This Row],[Fin corrigée si nuit]]-(1+deb_dimJF)),0))*24</f>
        <v>0</v>
      </c>
      <c r="Q40"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0" s="62">
        <f>(IF(COUNTIF(JF,Horaires3567345[[#This Row],[Date]]),MAX(0,MIN(fin_dimJF,Horaires3567345[[#This Row],[Fin corrigée si nuit]])-MAX(deb_dimJF,Horaires3567345[[#This Row],[début]])),0)+IF(COUNTIF(JF,Horaires3567345[[#This Row],[Date]]+1),MAX(0,Horaires3567345[[#This Row],[Fin corrigée si nuit]]-(1+deb_dimJF)),0))*24</f>
        <v>0</v>
      </c>
      <c r="S40"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1" spans="1:19" x14ac:dyDescent="0.35">
      <c r="A41" s="9"/>
      <c r="B41" s="1"/>
      <c r="C41" s="2"/>
      <c r="D41" s="2"/>
      <c r="E41" s="3"/>
      <c r="F41" s="3"/>
      <c r="G41" s="3"/>
      <c r="H41" s="3"/>
      <c r="I41" s="57">
        <f>0.1*(Horaires3567345[[#This Row],[Heures de nuit]]+Horaires3567345[[#This Row],[heures jour dimanche]]+Horaires3567345[[#This Row],[heures jour fériés]])</f>
        <v>0</v>
      </c>
      <c r="J41" s="58">
        <f>(MOD(Horaires3567345[[#This Row],[Fin]]-Horaires3567345[[#This Row],[début]],1)-MOD(Horaires3567345[[#This Row],[PNP Fin]]-Horaires3567345[[#This Row],[PNP Début]],1))*24</f>
        <v>0</v>
      </c>
      <c r="K41" s="59">
        <f>IF(Horaires3567345[[#This Row],[PNP Début]]=0,0,IF(Horaires3567345[[#This Row],[PNP Début]]&lt;Horaires3567345[[#This Row],[début]],1,0)+Horaires3567345[[#This Row],[PNP Début]])</f>
        <v>0</v>
      </c>
      <c r="L41" s="60">
        <f>IF(Horaires3567345[[#This Row],[PNP Fin]]=0,0,IF(Horaires3567345[[#This Row],[PNP Fin]]&lt;Horaires3567345[[#This Row],[début]],1,0)+Horaires3567345[[#This Row],[PNP Fin]])</f>
        <v>0</v>
      </c>
      <c r="M41" s="60">
        <f>IF(Horaires3567345[[#This Row],[Fin]]&lt;Horaires3567345[[#This Row],[début]],1,0)+Horaires3567345[[#This Row],[Fin]]</f>
        <v>0</v>
      </c>
      <c r="N41" s="61">
        <f>MAX(0,MIN(Horaires3567345[[#This Row],[Fin corrigée si nuit]],fin_nuit)-MAX(Horaires3567345[[#This Row],[début]],deb_nuit))*24</f>
        <v>0</v>
      </c>
      <c r="O41" s="62">
        <f>(MAX(0,MIN(Horaires3567345[[#This Row],[Fin corrigée si nuit]],fin_nuit)-MAX(Horaires3567345[[#This Row],[début]],deb_nuit))-IF(Horaires3567345[[#This Row],[PNP Début]]=0,0,MIN(Horaires3567345[[#This Row],[PNP Fin corrigée]],fin_nuit)-MAX(Horaires3567345[[#This Row],[PNP Début corrigé]],deb_nuit)))*24</f>
        <v>0</v>
      </c>
      <c r="P41" s="62">
        <f>(IF(WEEKDAY(Horaires3567345[[#This Row],[Date]],2)=7,MAX(0,MIN(fin_dimJF,Horaires3567345[[#This Row],[Fin corrigée si nuit]])-MAX(deb_dimJF,Horaires3567345[[#This Row],[début]])),0)+IF(WEEKDAY(Horaires3567345[[#This Row],[Date]],2)=6,MAX(0,Horaires3567345[[#This Row],[Fin corrigée si nuit]]-(1+deb_dimJF)),0))*24</f>
        <v>0</v>
      </c>
      <c r="Q41"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1" s="62">
        <f>(IF(COUNTIF(JF,Horaires3567345[[#This Row],[Date]]),MAX(0,MIN(fin_dimJF,Horaires3567345[[#This Row],[Fin corrigée si nuit]])-MAX(deb_dimJF,Horaires3567345[[#This Row],[début]])),0)+IF(COUNTIF(JF,Horaires3567345[[#This Row],[Date]]+1),MAX(0,Horaires3567345[[#This Row],[Fin corrigée si nuit]]-(1+deb_dimJF)),0))*24</f>
        <v>0</v>
      </c>
      <c r="S41"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2" spans="1:19" x14ac:dyDescent="0.35">
      <c r="A42" s="9"/>
      <c r="B42" s="1"/>
      <c r="C42" s="2"/>
      <c r="D42" s="2"/>
      <c r="E42" s="3"/>
      <c r="F42" s="3"/>
      <c r="G42" s="3"/>
      <c r="H42" s="3"/>
      <c r="I42" s="57">
        <f>0.1*(Horaires3567345[[#This Row],[Heures de nuit]]+Horaires3567345[[#This Row],[heures jour dimanche]]+Horaires3567345[[#This Row],[heures jour fériés]])</f>
        <v>0</v>
      </c>
      <c r="J42" s="58">
        <f>(MOD(Horaires3567345[[#This Row],[Fin]]-Horaires3567345[[#This Row],[début]],1)-MOD(Horaires3567345[[#This Row],[PNP Fin]]-Horaires3567345[[#This Row],[PNP Début]],1))*24</f>
        <v>0</v>
      </c>
      <c r="K42" s="59">
        <f>IF(Horaires3567345[[#This Row],[PNP Début]]=0,0,IF(Horaires3567345[[#This Row],[PNP Début]]&lt;Horaires3567345[[#This Row],[début]],1,0)+Horaires3567345[[#This Row],[PNP Début]])</f>
        <v>0</v>
      </c>
      <c r="L42" s="60">
        <f>IF(Horaires3567345[[#This Row],[PNP Fin]]=0,0,IF(Horaires3567345[[#This Row],[PNP Fin]]&lt;Horaires3567345[[#This Row],[début]],1,0)+Horaires3567345[[#This Row],[PNP Fin]])</f>
        <v>0</v>
      </c>
      <c r="M42" s="60">
        <f>IF(Horaires3567345[[#This Row],[Fin]]&lt;Horaires3567345[[#This Row],[début]],1,0)+Horaires3567345[[#This Row],[Fin]]</f>
        <v>0</v>
      </c>
      <c r="N42" s="61">
        <f>MAX(0,MIN(Horaires3567345[[#This Row],[Fin corrigée si nuit]],fin_nuit)-MAX(Horaires3567345[[#This Row],[début]],deb_nuit))*24</f>
        <v>0</v>
      </c>
      <c r="O42" s="62">
        <f>(MAX(0,MIN(Horaires3567345[[#This Row],[Fin corrigée si nuit]],fin_nuit)-MAX(Horaires3567345[[#This Row],[début]],deb_nuit))-IF(Horaires3567345[[#This Row],[PNP Début]]=0,0,MIN(Horaires3567345[[#This Row],[PNP Fin corrigée]],fin_nuit)-MAX(Horaires3567345[[#This Row],[PNP Début corrigé]],deb_nuit)))*24</f>
        <v>0</v>
      </c>
      <c r="P42" s="62">
        <f>(IF(WEEKDAY(Horaires3567345[[#This Row],[Date]],2)=7,MAX(0,MIN(fin_dimJF,Horaires3567345[[#This Row],[Fin corrigée si nuit]])-MAX(deb_dimJF,Horaires3567345[[#This Row],[début]])),0)+IF(WEEKDAY(Horaires3567345[[#This Row],[Date]],2)=6,MAX(0,Horaires3567345[[#This Row],[Fin corrigée si nuit]]-(1+deb_dimJF)),0))*24</f>
        <v>0</v>
      </c>
      <c r="Q42"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2" s="62">
        <f>(IF(COUNTIF(JF,Horaires3567345[[#This Row],[Date]]),MAX(0,MIN(fin_dimJF,Horaires3567345[[#This Row],[Fin corrigée si nuit]])-MAX(deb_dimJF,Horaires3567345[[#This Row],[début]])),0)+IF(COUNTIF(JF,Horaires3567345[[#This Row],[Date]]+1),MAX(0,Horaires3567345[[#This Row],[Fin corrigée si nuit]]-(1+deb_dimJF)),0))*24</f>
        <v>0</v>
      </c>
      <c r="S42"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3" spans="1:19" x14ac:dyDescent="0.35">
      <c r="A43" s="9"/>
      <c r="B43" s="1"/>
      <c r="C43" s="2"/>
      <c r="D43" s="2"/>
      <c r="E43" s="3"/>
      <c r="F43" s="3"/>
      <c r="G43" s="3"/>
      <c r="H43" s="3"/>
      <c r="I43" s="57">
        <f>0.1*(Horaires3567345[[#This Row],[Heures de nuit]]+Horaires3567345[[#This Row],[heures jour dimanche]]+Horaires3567345[[#This Row],[heures jour fériés]])</f>
        <v>0</v>
      </c>
      <c r="J43" s="58">
        <f>(MOD(Horaires3567345[[#This Row],[Fin]]-Horaires3567345[[#This Row],[début]],1)-MOD(Horaires3567345[[#This Row],[PNP Fin]]-Horaires3567345[[#This Row],[PNP Début]],1))*24</f>
        <v>0</v>
      </c>
      <c r="K43" s="59">
        <f>IF(Horaires3567345[[#This Row],[PNP Début]]=0,0,IF(Horaires3567345[[#This Row],[PNP Début]]&lt;Horaires3567345[[#This Row],[début]],1,0)+Horaires3567345[[#This Row],[PNP Début]])</f>
        <v>0</v>
      </c>
      <c r="L43" s="60">
        <f>IF(Horaires3567345[[#This Row],[PNP Fin]]=0,0,IF(Horaires3567345[[#This Row],[PNP Fin]]&lt;Horaires3567345[[#This Row],[début]],1,0)+Horaires3567345[[#This Row],[PNP Fin]])</f>
        <v>0</v>
      </c>
      <c r="M43" s="60">
        <f>IF(Horaires3567345[[#This Row],[Fin]]&lt;Horaires3567345[[#This Row],[début]],1,0)+Horaires3567345[[#This Row],[Fin]]</f>
        <v>0</v>
      </c>
      <c r="N43" s="61">
        <f>MAX(0,MIN(Horaires3567345[[#This Row],[Fin corrigée si nuit]],fin_nuit)-MAX(Horaires3567345[[#This Row],[début]],deb_nuit))*24</f>
        <v>0</v>
      </c>
      <c r="O43" s="62">
        <f>(MAX(0,MIN(Horaires3567345[[#This Row],[Fin corrigée si nuit]],fin_nuit)-MAX(Horaires3567345[[#This Row],[début]],deb_nuit))-IF(Horaires3567345[[#This Row],[PNP Début]]=0,0,MIN(Horaires3567345[[#This Row],[PNP Fin corrigée]],fin_nuit)-MAX(Horaires3567345[[#This Row],[PNP Début corrigé]],deb_nuit)))*24</f>
        <v>0</v>
      </c>
      <c r="P43" s="62">
        <f>(IF(WEEKDAY(Horaires3567345[[#This Row],[Date]],2)=7,MAX(0,MIN(fin_dimJF,Horaires3567345[[#This Row],[Fin corrigée si nuit]])-MAX(deb_dimJF,Horaires3567345[[#This Row],[début]])),0)+IF(WEEKDAY(Horaires3567345[[#This Row],[Date]],2)=6,MAX(0,Horaires3567345[[#This Row],[Fin corrigée si nuit]]-(1+deb_dimJF)),0))*24</f>
        <v>0</v>
      </c>
      <c r="Q43"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3" s="62">
        <f>(IF(COUNTIF(JF,Horaires3567345[[#This Row],[Date]]),MAX(0,MIN(fin_dimJF,Horaires3567345[[#This Row],[Fin corrigée si nuit]])-MAX(deb_dimJF,Horaires3567345[[#This Row],[début]])),0)+IF(COUNTIF(JF,Horaires3567345[[#This Row],[Date]]+1),MAX(0,Horaires3567345[[#This Row],[Fin corrigée si nuit]]-(1+deb_dimJF)),0))*24</f>
        <v>0</v>
      </c>
      <c r="S43"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4" spans="1:19" x14ac:dyDescent="0.35">
      <c r="A44" s="9"/>
      <c r="B44" s="1"/>
      <c r="C44" s="2"/>
      <c r="D44" s="2"/>
      <c r="E44" s="3"/>
      <c r="F44" s="3"/>
      <c r="G44" s="3"/>
      <c r="H44" s="3"/>
      <c r="I44" s="57">
        <f>0.1*(Horaires3567345[[#This Row],[Heures de nuit]]+Horaires3567345[[#This Row],[heures jour dimanche]]+Horaires3567345[[#This Row],[heures jour fériés]])</f>
        <v>0</v>
      </c>
      <c r="J44" s="58">
        <f>(MOD(Horaires3567345[[#This Row],[Fin]]-Horaires3567345[[#This Row],[début]],1)-MOD(Horaires3567345[[#This Row],[PNP Fin]]-Horaires3567345[[#This Row],[PNP Début]],1))*24</f>
        <v>0</v>
      </c>
      <c r="K44" s="59">
        <f>IF(Horaires3567345[[#This Row],[PNP Début]]=0,0,IF(Horaires3567345[[#This Row],[PNP Début]]&lt;Horaires3567345[[#This Row],[début]],1,0)+Horaires3567345[[#This Row],[PNP Début]])</f>
        <v>0</v>
      </c>
      <c r="L44" s="60">
        <f>IF(Horaires3567345[[#This Row],[PNP Fin]]=0,0,IF(Horaires3567345[[#This Row],[PNP Fin]]&lt;Horaires3567345[[#This Row],[début]],1,0)+Horaires3567345[[#This Row],[PNP Fin]])</f>
        <v>0</v>
      </c>
      <c r="M44" s="60">
        <f>IF(Horaires3567345[[#This Row],[Fin]]&lt;Horaires3567345[[#This Row],[début]],1,0)+Horaires3567345[[#This Row],[Fin]]</f>
        <v>0</v>
      </c>
      <c r="N44" s="61">
        <f>MAX(0,MIN(Horaires3567345[[#This Row],[Fin corrigée si nuit]],fin_nuit)-MAX(Horaires3567345[[#This Row],[début]],deb_nuit))*24</f>
        <v>0</v>
      </c>
      <c r="O44" s="62">
        <f>(MAX(0,MIN(Horaires3567345[[#This Row],[Fin corrigée si nuit]],fin_nuit)-MAX(Horaires3567345[[#This Row],[début]],deb_nuit))-IF(Horaires3567345[[#This Row],[PNP Début]]=0,0,MIN(Horaires3567345[[#This Row],[PNP Fin corrigée]],fin_nuit)-MAX(Horaires3567345[[#This Row],[PNP Début corrigé]],deb_nuit)))*24</f>
        <v>0</v>
      </c>
      <c r="P44" s="62">
        <f>(IF(WEEKDAY(Horaires3567345[[#This Row],[Date]],2)=7,MAX(0,MIN(fin_dimJF,Horaires3567345[[#This Row],[Fin corrigée si nuit]])-MAX(deb_dimJF,Horaires3567345[[#This Row],[début]])),0)+IF(WEEKDAY(Horaires3567345[[#This Row],[Date]],2)=6,MAX(0,Horaires3567345[[#This Row],[Fin corrigée si nuit]]-(1+deb_dimJF)),0))*24</f>
        <v>0</v>
      </c>
      <c r="Q44"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4" s="62">
        <f>(IF(COUNTIF(JF,Horaires3567345[[#This Row],[Date]]),MAX(0,MIN(fin_dimJF,Horaires3567345[[#This Row],[Fin corrigée si nuit]])-MAX(deb_dimJF,Horaires3567345[[#This Row],[début]])),0)+IF(COUNTIF(JF,Horaires3567345[[#This Row],[Date]]+1),MAX(0,Horaires3567345[[#This Row],[Fin corrigée si nuit]]-(1+deb_dimJF)),0))*24</f>
        <v>0</v>
      </c>
      <c r="S44"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5" spans="1:19" x14ac:dyDescent="0.35">
      <c r="A45" s="9"/>
      <c r="B45" s="1"/>
      <c r="C45" s="2"/>
      <c r="D45" s="2"/>
      <c r="E45" s="3"/>
      <c r="F45" s="3"/>
      <c r="G45" s="3"/>
      <c r="H45" s="3"/>
      <c r="I45" s="57">
        <f>0.1*(Horaires3567345[[#This Row],[Heures de nuit]]+Horaires3567345[[#This Row],[heures jour dimanche]]+Horaires3567345[[#This Row],[heures jour fériés]])</f>
        <v>0</v>
      </c>
      <c r="J45" s="58">
        <f>(MOD(Horaires3567345[[#This Row],[Fin]]-Horaires3567345[[#This Row],[début]],1)-MOD(Horaires3567345[[#This Row],[PNP Fin]]-Horaires3567345[[#This Row],[PNP Début]],1))*24</f>
        <v>0</v>
      </c>
      <c r="K45" s="59">
        <f>IF(Horaires3567345[[#This Row],[PNP Début]]=0,0,IF(Horaires3567345[[#This Row],[PNP Début]]&lt;Horaires3567345[[#This Row],[début]],1,0)+Horaires3567345[[#This Row],[PNP Début]])</f>
        <v>0</v>
      </c>
      <c r="L45" s="60">
        <f>IF(Horaires3567345[[#This Row],[PNP Fin]]=0,0,IF(Horaires3567345[[#This Row],[PNP Fin]]&lt;Horaires3567345[[#This Row],[début]],1,0)+Horaires3567345[[#This Row],[PNP Fin]])</f>
        <v>0</v>
      </c>
      <c r="M45" s="60">
        <f>IF(Horaires3567345[[#This Row],[Fin]]&lt;Horaires3567345[[#This Row],[début]],1,0)+Horaires3567345[[#This Row],[Fin]]</f>
        <v>0</v>
      </c>
      <c r="N45" s="61">
        <f>MAX(0,MIN(Horaires3567345[[#This Row],[Fin corrigée si nuit]],fin_nuit)-MAX(Horaires3567345[[#This Row],[début]],deb_nuit))*24</f>
        <v>0</v>
      </c>
      <c r="O45" s="62">
        <f>(MAX(0,MIN(Horaires3567345[[#This Row],[Fin corrigée si nuit]],fin_nuit)-MAX(Horaires3567345[[#This Row],[début]],deb_nuit))-IF(Horaires3567345[[#This Row],[PNP Début]]=0,0,MIN(Horaires3567345[[#This Row],[PNP Fin corrigée]],fin_nuit)-MAX(Horaires3567345[[#This Row],[PNP Début corrigé]],deb_nuit)))*24</f>
        <v>0</v>
      </c>
      <c r="P45" s="62">
        <f>(IF(WEEKDAY(Horaires3567345[[#This Row],[Date]],2)=7,MAX(0,MIN(fin_dimJF,Horaires3567345[[#This Row],[Fin corrigée si nuit]])-MAX(deb_dimJF,Horaires3567345[[#This Row],[début]])),0)+IF(WEEKDAY(Horaires3567345[[#This Row],[Date]],2)=6,MAX(0,Horaires3567345[[#This Row],[Fin corrigée si nuit]]-(1+deb_dimJF)),0))*24</f>
        <v>0</v>
      </c>
      <c r="Q45"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5" s="62">
        <f>(IF(COUNTIF(JF,Horaires3567345[[#This Row],[Date]]),MAX(0,MIN(fin_dimJF,Horaires3567345[[#This Row],[Fin corrigée si nuit]])-MAX(deb_dimJF,Horaires3567345[[#This Row],[début]])),0)+IF(COUNTIF(JF,Horaires3567345[[#This Row],[Date]]+1),MAX(0,Horaires3567345[[#This Row],[Fin corrigée si nuit]]-(1+deb_dimJF)),0))*24</f>
        <v>0</v>
      </c>
      <c r="S45"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6" spans="1:19" x14ac:dyDescent="0.35">
      <c r="A46" s="9"/>
      <c r="B46" s="1"/>
      <c r="C46" s="2"/>
      <c r="D46" s="2"/>
      <c r="E46" s="3"/>
      <c r="F46" s="3"/>
      <c r="G46" s="3"/>
      <c r="H46" s="3"/>
      <c r="I46" s="57">
        <f>0.1*(Horaires3567345[[#This Row],[Heures de nuit]]+Horaires3567345[[#This Row],[heures jour dimanche]]+Horaires3567345[[#This Row],[heures jour fériés]])</f>
        <v>0</v>
      </c>
      <c r="J46" s="58">
        <f>(MOD(Horaires3567345[[#This Row],[Fin]]-Horaires3567345[[#This Row],[début]],1)-MOD(Horaires3567345[[#This Row],[PNP Fin]]-Horaires3567345[[#This Row],[PNP Début]],1))*24</f>
        <v>0</v>
      </c>
      <c r="K46" s="59">
        <f>IF(Horaires3567345[[#This Row],[PNP Début]]=0,0,IF(Horaires3567345[[#This Row],[PNP Début]]&lt;Horaires3567345[[#This Row],[début]],1,0)+Horaires3567345[[#This Row],[PNP Début]])</f>
        <v>0</v>
      </c>
      <c r="L46" s="60">
        <f>IF(Horaires3567345[[#This Row],[PNP Fin]]=0,0,IF(Horaires3567345[[#This Row],[PNP Fin]]&lt;Horaires3567345[[#This Row],[début]],1,0)+Horaires3567345[[#This Row],[PNP Fin]])</f>
        <v>0</v>
      </c>
      <c r="M46" s="60">
        <f>IF(Horaires3567345[[#This Row],[Fin]]&lt;Horaires3567345[[#This Row],[début]],1,0)+Horaires3567345[[#This Row],[Fin]]</f>
        <v>0</v>
      </c>
      <c r="N46" s="61">
        <f>MAX(0,MIN(Horaires3567345[[#This Row],[Fin corrigée si nuit]],fin_nuit)-MAX(Horaires3567345[[#This Row],[début]],deb_nuit))*24</f>
        <v>0</v>
      </c>
      <c r="O46" s="62">
        <f>(MAX(0,MIN(Horaires3567345[[#This Row],[Fin corrigée si nuit]],fin_nuit)-MAX(Horaires3567345[[#This Row],[début]],deb_nuit))-IF(Horaires3567345[[#This Row],[PNP Début]]=0,0,MIN(Horaires3567345[[#This Row],[PNP Fin corrigée]],fin_nuit)-MAX(Horaires3567345[[#This Row],[PNP Début corrigé]],deb_nuit)))*24</f>
        <v>0</v>
      </c>
      <c r="P46" s="62">
        <f>(IF(WEEKDAY(Horaires3567345[[#This Row],[Date]],2)=7,MAX(0,MIN(fin_dimJF,Horaires3567345[[#This Row],[Fin corrigée si nuit]])-MAX(deb_dimJF,Horaires3567345[[#This Row],[début]])),0)+IF(WEEKDAY(Horaires3567345[[#This Row],[Date]],2)=6,MAX(0,Horaires3567345[[#This Row],[Fin corrigée si nuit]]-(1+deb_dimJF)),0))*24</f>
        <v>0</v>
      </c>
      <c r="Q46"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6" s="62">
        <f>(IF(COUNTIF(JF,Horaires3567345[[#This Row],[Date]]),MAX(0,MIN(fin_dimJF,Horaires3567345[[#This Row],[Fin corrigée si nuit]])-MAX(deb_dimJF,Horaires3567345[[#This Row],[début]])),0)+IF(COUNTIF(JF,Horaires3567345[[#This Row],[Date]]+1),MAX(0,Horaires3567345[[#This Row],[Fin corrigée si nuit]]-(1+deb_dimJF)),0))*24</f>
        <v>0</v>
      </c>
      <c r="S46"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7" spans="1:19" x14ac:dyDescent="0.35">
      <c r="A47" s="9"/>
      <c r="B47" s="1"/>
      <c r="C47" s="2"/>
      <c r="D47" s="2"/>
      <c r="E47" s="3"/>
      <c r="F47" s="3"/>
      <c r="G47" s="3"/>
      <c r="H47" s="3"/>
      <c r="I47" s="57">
        <f>0.1*(Horaires3567345[[#This Row],[Heures de nuit]]+Horaires3567345[[#This Row],[heures jour dimanche]]+Horaires3567345[[#This Row],[heures jour fériés]])</f>
        <v>0</v>
      </c>
      <c r="J47" s="58">
        <f>(MOD(Horaires3567345[[#This Row],[Fin]]-Horaires3567345[[#This Row],[début]],1)-MOD(Horaires3567345[[#This Row],[PNP Fin]]-Horaires3567345[[#This Row],[PNP Début]],1))*24</f>
        <v>0</v>
      </c>
      <c r="K47" s="59">
        <f>IF(Horaires3567345[[#This Row],[PNP Début]]=0,0,IF(Horaires3567345[[#This Row],[PNP Début]]&lt;Horaires3567345[[#This Row],[début]],1,0)+Horaires3567345[[#This Row],[PNP Début]])</f>
        <v>0</v>
      </c>
      <c r="L47" s="60">
        <f>IF(Horaires3567345[[#This Row],[PNP Fin]]=0,0,IF(Horaires3567345[[#This Row],[PNP Fin]]&lt;Horaires3567345[[#This Row],[début]],1,0)+Horaires3567345[[#This Row],[PNP Fin]])</f>
        <v>0</v>
      </c>
      <c r="M47" s="60">
        <f>IF(Horaires3567345[[#This Row],[Fin]]&lt;Horaires3567345[[#This Row],[début]],1,0)+Horaires3567345[[#This Row],[Fin]]</f>
        <v>0</v>
      </c>
      <c r="N47" s="61">
        <f>MAX(0,MIN(Horaires3567345[[#This Row],[Fin corrigée si nuit]],fin_nuit)-MAX(Horaires3567345[[#This Row],[début]],deb_nuit))*24</f>
        <v>0</v>
      </c>
      <c r="O47" s="62">
        <f>(MAX(0,MIN(Horaires3567345[[#This Row],[Fin corrigée si nuit]],fin_nuit)-MAX(Horaires3567345[[#This Row],[début]],deb_nuit))-IF(Horaires3567345[[#This Row],[PNP Début]]=0,0,MIN(Horaires3567345[[#This Row],[PNP Fin corrigée]],fin_nuit)-MAX(Horaires3567345[[#This Row],[PNP Début corrigé]],deb_nuit)))*24</f>
        <v>0</v>
      </c>
      <c r="P47" s="62">
        <f>(IF(WEEKDAY(Horaires3567345[[#This Row],[Date]],2)=7,MAX(0,MIN(fin_dimJF,Horaires3567345[[#This Row],[Fin corrigée si nuit]])-MAX(deb_dimJF,Horaires3567345[[#This Row],[début]])),0)+IF(WEEKDAY(Horaires3567345[[#This Row],[Date]],2)=6,MAX(0,Horaires3567345[[#This Row],[Fin corrigée si nuit]]-(1+deb_dimJF)),0))*24</f>
        <v>0</v>
      </c>
      <c r="Q47"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7" s="62">
        <f>(IF(COUNTIF(JF,Horaires3567345[[#This Row],[Date]]),MAX(0,MIN(fin_dimJF,Horaires3567345[[#This Row],[Fin corrigée si nuit]])-MAX(deb_dimJF,Horaires3567345[[#This Row],[début]])),0)+IF(COUNTIF(JF,Horaires3567345[[#This Row],[Date]]+1),MAX(0,Horaires3567345[[#This Row],[Fin corrigée si nuit]]-(1+deb_dimJF)),0))*24</f>
        <v>0</v>
      </c>
      <c r="S47"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8" spans="1:19" x14ac:dyDescent="0.35">
      <c r="A48" s="9"/>
      <c r="B48" s="1"/>
      <c r="C48" s="2"/>
      <c r="D48" s="2"/>
      <c r="E48" s="3"/>
      <c r="F48" s="3"/>
      <c r="G48" s="3"/>
      <c r="H48" s="3"/>
      <c r="I48" s="57">
        <f>0.1*(Horaires3567345[[#This Row],[Heures de nuit]]+Horaires3567345[[#This Row],[heures jour dimanche]]+Horaires3567345[[#This Row],[heures jour fériés]])</f>
        <v>0</v>
      </c>
      <c r="J48" s="58">
        <f>(MOD(Horaires3567345[[#This Row],[Fin]]-Horaires3567345[[#This Row],[début]],1)-MOD(Horaires3567345[[#This Row],[PNP Fin]]-Horaires3567345[[#This Row],[PNP Début]],1))*24</f>
        <v>0</v>
      </c>
      <c r="K48" s="59">
        <f>IF(Horaires3567345[[#This Row],[PNP Début]]=0,0,IF(Horaires3567345[[#This Row],[PNP Début]]&lt;Horaires3567345[[#This Row],[début]],1,0)+Horaires3567345[[#This Row],[PNP Début]])</f>
        <v>0</v>
      </c>
      <c r="L48" s="60">
        <f>IF(Horaires3567345[[#This Row],[PNP Fin]]=0,0,IF(Horaires3567345[[#This Row],[PNP Fin]]&lt;Horaires3567345[[#This Row],[début]],1,0)+Horaires3567345[[#This Row],[PNP Fin]])</f>
        <v>0</v>
      </c>
      <c r="M48" s="60">
        <f>IF(Horaires3567345[[#This Row],[Fin]]&lt;Horaires3567345[[#This Row],[début]],1,0)+Horaires3567345[[#This Row],[Fin]]</f>
        <v>0</v>
      </c>
      <c r="N48" s="61">
        <f>MAX(0,MIN(Horaires3567345[[#This Row],[Fin corrigée si nuit]],fin_nuit)-MAX(Horaires3567345[[#This Row],[début]],deb_nuit))*24</f>
        <v>0</v>
      </c>
      <c r="O48" s="62">
        <f>(MAX(0,MIN(Horaires3567345[[#This Row],[Fin corrigée si nuit]],fin_nuit)-MAX(Horaires3567345[[#This Row],[début]],deb_nuit))-IF(Horaires3567345[[#This Row],[PNP Début]]=0,0,MIN(Horaires3567345[[#This Row],[PNP Fin corrigée]],fin_nuit)-MAX(Horaires3567345[[#This Row],[PNP Début corrigé]],deb_nuit)))*24</f>
        <v>0</v>
      </c>
      <c r="P48" s="62">
        <f>(IF(WEEKDAY(Horaires3567345[[#This Row],[Date]],2)=7,MAX(0,MIN(fin_dimJF,Horaires3567345[[#This Row],[Fin corrigée si nuit]])-MAX(deb_dimJF,Horaires3567345[[#This Row],[début]])),0)+IF(WEEKDAY(Horaires3567345[[#This Row],[Date]],2)=6,MAX(0,Horaires3567345[[#This Row],[Fin corrigée si nuit]]-(1+deb_dimJF)),0))*24</f>
        <v>0</v>
      </c>
      <c r="Q48"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8" s="62">
        <f>(IF(COUNTIF(JF,Horaires3567345[[#This Row],[Date]]),MAX(0,MIN(fin_dimJF,Horaires3567345[[#This Row],[Fin corrigée si nuit]])-MAX(deb_dimJF,Horaires3567345[[#This Row],[début]])),0)+IF(COUNTIF(JF,Horaires3567345[[#This Row],[Date]]+1),MAX(0,Horaires3567345[[#This Row],[Fin corrigée si nuit]]-(1+deb_dimJF)),0))*24</f>
        <v>0</v>
      </c>
      <c r="S48"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49" spans="1:19" ht="15" thickBot="1" x14ac:dyDescent="0.4">
      <c r="A49" s="9"/>
      <c r="B49" s="1"/>
      <c r="C49" s="2"/>
      <c r="D49" s="2"/>
      <c r="E49" s="3"/>
      <c r="F49" s="3"/>
      <c r="G49" s="3"/>
      <c r="H49" s="3"/>
      <c r="I49" s="57">
        <f>0.1*(Horaires3567345[[#This Row],[Heures de nuit]]+Horaires3567345[[#This Row],[heures jour dimanche]]+Horaires3567345[[#This Row],[heures jour fériés]])</f>
        <v>0</v>
      </c>
      <c r="J49" s="58">
        <f>(MOD(Horaires3567345[[#This Row],[Fin]]-Horaires3567345[[#This Row],[début]],1)-MOD(Horaires3567345[[#This Row],[PNP Fin]]-Horaires3567345[[#This Row],[PNP Début]],1))*24</f>
        <v>0</v>
      </c>
      <c r="K49" s="59">
        <f>IF(Horaires3567345[[#This Row],[PNP Début]]=0,0,IF(Horaires3567345[[#This Row],[PNP Début]]&lt;Horaires3567345[[#This Row],[début]],1,0)+Horaires3567345[[#This Row],[PNP Début]])</f>
        <v>0</v>
      </c>
      <c r="L49" s="60">
        <f>IF(Horaires3567345[[#This Row],[PNP Fin]]=0,0,IF(Horaires3567345[[#This Row],[PNP Fin]]&lt;Horaires3567345[[#This Row],[début]],1,0)+Horaires3567345[[#This Row],[PNP Fin]])</f>
        <v>0</v>
      </c>
      <c r="M49" s="60">
        <f>IF(Horaires3567345[[#This Row],[Fin]]&lt;Horaires3567345[[#This Row],[début]],1,0)+Horaires3567345[[#This Row],[Fin]]</f>
        <v>0</v>
      </c>
      <c r="N49" s="61">
        <f>MAX(0,MIN(Horaires3567345[[#This Row],[Fin corrigée si nuit]],fin_nuit)-MAX(Horaires3567345[[#This Row],[début]],deb_nuit))*24</f>
        <v>0</v>
      </c>
      <c r="O49" s="62">
        <f>(MAX(0,MIN(Horaires3567345[[#This Row],[Fin corrigée si nuit]],fin_nuit)-MAX(Horaires3567345[[#This Row],[début]],deb_nuit))-IF(Horaires3567345[[#This Row],[PNP Début]]=0,0,MIN(Horaires3567345[[#This Row],[PNP Fin corrigée]],fin_nuit)-MAX(Horaires3567345[[#This Row],[PNP Début corrigé]],deb_nuit)))*24</f>
        <v>0</v>
      </c>
      <c r="P49" s="62">
        <f>(IF(WEEKDAY(Horaires3567345[[#This Row],[Date]],2)=7,MAX(0,MIN(fin_dimJF,Horaires3567345[[#This Row],[Fin corrigée si nuit]])-MAX(deb_dimJF,Horaires3567345[[#This Row],[début]])),0)+IF(WEEKDAY(Horaires3567345[[#This Row],[Date]],2)=6,MAX(0,Horaires3567345[[#This Row],[Fin corrigée si nuit]]-(1+deb_dimJF)),0))*24</f>
        <v>0</v>
      </c>
      <c r="Q49" s="62">
        <f>(IF(WEEKDAY(Horaires3567345[[#This Row],[Date]],2)=7,MAX(0,MIN(fin_dimJF,Horaires3567345[[#This Row],[Fin corrigée si nuit]])-MAX(deb_dimJF,Horaires3567345[[#This Row],[début]])),0)+IF(WEEKDAY(Horaires3567345[[#This Row],[Date]],2)=6,MAX(0,Horaires3567345[[#This Row],[Fin corrigée si nuit]]-(1+deb_dimJF)),0))*24-
(IF(WEEKDAY(Horaires3567345[[#This Row],[Date]],2)=7,MAX(0,MIN(fin_dimJF,Horaires3567345[[#This Row],[PNP Fin corrigée]])-MAX(deb_dimJF,Horaires3567345[[#This Row],[PNP Début corrigé]])),0)+IF(WEEKDAY(Horaires3567345[[#This Row],[Date]],2)=6,MAX(0,Horaires3567345[[#This Row],[PNP Fin corrigée]]-(1+deb_dimJF)),0))*24</f>
        <v>0</v>
      </c>
      <c r="R49" s="62">
        <f>(IF(COUNTIF(JF,Horaires3567345[[#This Row],[Date]]),MAX(0,MIN(fin_dimJF,Horaires3567345[[#This Row],[Fin corrigée si nuit]])-MAX(deb_dimJF,Horaires3567345[[#This Row],[début]])),0)+IF(COUNTIF(JF,Horaires3567345[[#This Row],[Date]]+1),MAX(0,Horaires3567345[[#This Row],[Fin corrigée si nuit]]-(1+deb_dimJF)),0))*24</f>
        <v>0</v>
      </c>
      <c r="S49" s="62">
        <f>(IF(COUNTIF(JF,Horaires3567345[[#This Row],[Date]]),MAX(0,MIN(fin_dimJF,Horaires3567345[[#This Row],[Fin corrigée si nuit]])-MAX(deb_dimJF,Horaires3567345[[#This Row],[début]])),0)+IF(COUNTIF(JF,Horaires3567345[[#This Row],[Date]]+1),MAX(0,Horaires3567345[[#This Row],[Fin corrigée si nuit]]-(1+deb_dimJF)),0))*24-
(IF(COUNTIF(JF,Horaires3567345[[#This Row],[Date]]),MAX(0,MIN(fin_dimJF,Horaires3567345[[#This Row],[PNP Fin corrigée]])-MAX(deb_dimJF,Horaires3567345[[#This Row],[PNP Début corrigé]])),0)+IF(COUNTIF(JF,Horaires3567345[[#This Row],[Date]]+1),MAX(0,Horaires3567345[[#This Row],[PNP Fin corrigée]]-(1+deb_dimJF)),0))*24</f>
        <v>0</v>
      </c>
    </row>
    <row r="50" spans="1:19" ht="16" thickBot="1" x14ac:dyDescent="0.4">
      <c r="A50" s="63"/>
      <c r="B50" s="25"/>
      <c r="C50" s="25"/>
      <c r="D50" s="25"/>
      <c r="E50" s="106" t="s">
        <v>32</v>
      </c>
      <c r="F50" s="107"/>
      <c r="G50" s="107"/>
      <c r="H50" s="108"/>
      <c r="I50" s="64">
        <f>SUM(Horaires3567345[Majoration])</f>
        <v>0</v>
      </c>
      <c r="J50" s="65">
        <f>SUM(Horaires3567345[Heures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allowBlank="1" showInputMessage="1" showErrorMessage="1" error="Tapez les heures sous le format_x000a_00:00" sqref="K12:N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rintOptions horizontalCentered="1"/>
  <pageMargins left="0" right="0" top="0" bottom="0" header="0" footer="0"/>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S60"/>
  <sheetViews>
    <sheetView workbookViewId="0">
      <selection activeCell="I5" sqref="I5:J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0.1*(Horaires356739[[#This Row],[Heures de nuit]]+Horaires356739[[#This Row],[heures jour dimanche]]+Horaires356739[[#This Row],[heures jour fériés]])</f>
        <v>0</v>
      </c>
      <c r="J13" s="39">
        <f>(MOD(Horaires356739[[#This Row],[Fin]]-Horaires356739[[#This Row],[début]],1)-MOD(Horaires356739[[#This Row],[PNP Fin]]-Horaires356739[[#This Row],[PNP Début]],1))*24</f>
        <v>0</v>
      </c>
      <c r="K13" s="40">
        <f>IF(Horaires356739[[#This Row],[PNP Début]]=0,0,IF(Horaires356739[[#This Row],[PNP Début]]&lt;Horaires356739[[#This Row],[début]],1,0)+Horaires356739[[#This Row],[PNP Début]])</f>
        <v>0</v>
      </c>
      <c r="L13" s="40">
        <f>IF(Horaires356739[[#This Row],[PNP Fin]]=0,0,IF(Horaires356739[[#This Row],[PNP Fin]]&lt;Horaires356739[[#This Row],[début]],1,0)+Horaires356739[[#This Row],[PNP Fin]])</f>
        <v>0</v>
      </c>
      <c r="M13" s="40">
        <f>IF(Horaires356739[[#This Row],[Fin]]&lt;Horaires356739[[#This Row],[début]],1,0)+Horaires356739[[#This Row],[Fin]]</f>
        <v>0</v>
      </c>
      <c r="N13" s="41">
        <f>MAX(0,MIN(Horaires356739[[#This Row],[Fin corrigée si nuit]],fin_nuit)-MAX(Horaires356739[[#This Row],[début]],deb_nuit))*24</f>
        <v>0</v>
      </c>
      <c r="O13" s="41">
        <f>(MAX(0,MIN(Horaires356739[[#This Row],[Fin corrigée si nuit]],fin_nuit)-MAX(Horaires356739[[#This Row],[début]],deb_nuit))-IF(Horaires356739[[#This Row],[PNP Début]]=0,0,MIN(Horaires356739[[#This Row],[PNP Fin corrigée]],fin_nuit)-MAX(Horaires356739[[#This Row],[PNP Début corrigé]],deb_nuit)))*24</f>
        <v>0</v>
      </c>
      <c r="P13" s="41">
        <f>(IF(WEEKDAY(Horaires356739[[#This Row],[Date]],2)=7,MAX(0,MIN(fin_dimJF,Horaires356739[[#This Row],[Fin corrigée si nuit]])-MAX(deb_dimJF,Horaires356739[[#This Row],[début]])),0)+IF(WEEKDAY(Horaires356739[[#This Row],[Date]],2)=6,MAX(0,Horaires356739[[#This Row],[Fin corrigée si nuit]]-(1+deb_dimJF)),0))*24</f>
        <v>0</v>
      </c>
      <c r="Q13" s="4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13" s="42">
        <f>(IF(COUNTIF(JF,Horaires356739[[#This Row],[Date]]),MAX(0,MIN(fin_dimJF,Horaires356739[[#This Row],[Fin corrigée si nuit]])-MAX(deb_dimJF,Horaires356739[[#This Row],[début]])),0)+IF(COUNTIF(JF,Horaires356739[[#This Row],[Date]]+1),MAX(0,Horaires356739[[#This Row],[Fin corrigée si nuit]]-(1+deb_dimJF)),0))*24</f>
        <v>0</v>
      </c>
      <c r="S13" s="4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14" spans="1:19" x14ac:dyDescent="0.35">
      <c r="A14" s="9"/>
      <c r="B14" s="1"/>
      <c r="C14" s="2"/>
      <c r="D14" s="2"/>
      <c r="E14" s="3"/>
      <c r="F14" s="3"/>
      <c r="G14" s="3"/>
      <c r="H14" s="3"/>
      <c r="I14" s="38">
        <f>0.1*(Horaires356739[[#This Row],[Heures de nuit]]+Horaires356739[[#This Row],[heures jour dimanche]]+Horaires356739[[#This Row],[heures jour fériés]])</f>
        <v>0</v>
      </c>
      <c r="J14" s="39">
        <f>(MOD(Horaires356739[[#This Row],[Fin]]-Horaires356739[[#This Row],[début]],1)-MOD(Horaires356739[[#This Row],[PNP Fin]]-Horaires356739[[#This Row],[PNP Début]],1))*24</f>
        <v>0</v>
      </c>
      <c r="K14" s="40">
        <f>IF(Horaires356739[[#This Row],[PNP Début]]=0,0,IF(Horaires356739[[#This Row],[PNP Début]]&lt;Horaires356739[[#This Row],[début]],1,0)+Horaires356739[[#This Row],[PNP Début]])</f>
        <v>0</v>
      </c>
      <c r="L14" s="40">
        <f>IF(Horaires356739[[#This Row],[PNP Fin]]=0,0,IF(Horaires356739[[#This Row],[PNP Fin]]&lt;Horaires356739[[#This Row],[début]],1,0)+Horaires356739[[#This Row],[PNP Fin]])</f>
        <v>0</v>
      </c>
      <c r="M14" s="40">
        <f>IF(Horaires356739[[#This Row],[Fin]]&lt;Horaires356739[[#This Row],[début]],1,0)+Horaires356739[[#This Row],[Fin]]</f>
        <v>0</v>
      </c>
      <c r="N14" s="41">
        <f>MAX(0,MIN(Horaires356739[[#This Row],[Fin corrigée si nuit]],fin_nuit)-MAX(Horaires356739[[#This Row],[début]],deb_nuit))*24</f>
        <v>0</v>
      </c>
      <c r="O14" s="41">
        <f>(MAX(0,MIN(Horaires356739[[#This Row],[Fin corrigée si nuit]],fin_nuit)-MAX(Horaires356739[[#This Row],[début]],deb_nuit))-IF(Horaires356739[[#This Row],[PNP Début]]=0,0,MIN(Horaires356739[[#This Row],[PNP Fin corrigée]],fin_nuit)-MAX(Horaires356739[[#This Row],[PNP Début corrigé]],deb_nuit)))*24</f>
        <v>0</v>
      </c>
      <c r="P14" s="41">
        <f>(IF(WEEKDAY(Horaires356739[[#This Row],[Date]],2)=7,MAX(0,MIN(fin_dimJF,Horaires356739[[#This Row],[Fin corrigée si nuit]])-MAX(deb_dimJF,Horaires356739[[#This Row],[début]])),0)+IF(WEEKDAY(Horaires356739[[#This Row],[Date]],2)=6,MAX(0,Horaires356739[[#This Row],[Fin corrigée si nuit]]-(1+deb_dimJF)),0))*24</f>
        <v>0</v>
      </c>
      <c r="Q14" s="4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14" s="42">
        <f>(IF(COUNTIF(JF,Horaires356739[[#This Row],[Date]]),MAX(0,MIN(fin_dimJF,Horaires356739[[#This Row],[Fin corrigée si nuit]])-MAX(deb_dimJF,Horaires356739[[#This Row],[début]])),0)+IF(COUNTIF(JF,Horaires356739[[#This Row],[Date]]+1),MAX(0,Horaires356739[[#This Row],[Fin corrigée si nuit]]-(1+deb_dimJF)),0))*24</f>
        <v>0</v>
      </c>
      <c r="S14" s="4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15" spans="1:19" x14ac:dyDescent="0.35">
      <c r="A15" s="9"/>
      <c r="B15" s="1"/>
      <c r="C15" s="2"/>
      <c r="D15" s="2"/>
      <c r="E15" s="3"/>
      <c r="F15" s="3"/>
      <c r="G15" s="3"/>
      <c r="H15" s="3"/>
      <c r="I15" s="38">
        <f>0.1*(Horaires356739[[#This Row],[Heures de nuit]]+Horaires356739[[#This Row],[heures jour dimanche]]+Horaires356739[[#This Row],[heures jour fériés]])</f>
        <v>0</v>
      </c>
      <c r="J15" s="39">
        <f>(MOD(Horaires356739[[#This Row],[Fin]]-Horaires356739[[#This Row],[début]],1)-MOD(Horaires356739[[#This Row],[PNP Fin]]-Horaires356739[[#This Row],[PNP Début]],1))*24</f>
        <v>0</v>
      </c>
      <c r="K15" s="40">
        <f>IF(Horaires356739[[#This Row],[PNP Début]]=0,0,IF(Horaires356739[[#This Row],[PNP Début]]&lt;Horaires356739[[#This Row],[début]],1,0)+Horaires356739[[#This Row],[PNP Début]])</f>
        <v>0</v>
      </c>
      <c r="L15" s="40">
        <f>IF(Horaires356739[[#This Row],[PNP Fin]]=0,0,IF(Horaires356739[[#This Row],[PNP Fin]]&lt;Horaires356739[[#This Row],[début]],1,0)+Horaires356739[[#This Row],[PNP Fin]])</f>
        <v>0</v>
      </c>
      <c r="M15" s="40">
        <f>IF(Horaires356739[[#This Row],[Fin]]&lt;Horaires356739[[#This Row],[début]],1,0)+Horaires356739[[#This Row],[Fin]]</f>
        <v>0</v>
      </c>
      <c r="N15" s="41">
        <f>MAX(0,MIN(Horaires356739[[#This Row],[Fin corrigée si nuit]],fin_nuit)-MAX(Horaires356739[[#This Row],[début]],deb_nuit))*24</f>
        <v>0</v>
      </c>
      <c r="O15" s="41">
        <f>(MAX(0,MIN(Horaires356739[[#This Row],[Fin corrigée si nuit]],fin_nuit)-MAX(Horaires356739[[#This Row],[début]],deb_nuit))-IF(Horaires356739[[#This Row],[PNP Début]]=0,0,MIN(Horaires356739[[#This Row],[PNP Fin corrigée]],fin_nuit)-MAX(Horaires356739[[#This Row],[PNP Début corrigé]],deb_nuit)))*24</f>
        <v>0</v>
      </c>
      <c r="P15" s="41">
        <f>(IF(WEEKDAY(Horaires356739[[#This Row],[Date]],2)=7,MAX(0,MIN(fin_dimJF,Horaires356739[[#This Row],[Fin corrigée si nuit]])-MAX(deb_dimJF,Horaires356739[[#This Row],[début]])),0)+IF(WEEKDAY(Horaires356739[[#This Row],[Date]],2)=6,MAX(0,Horaires356739[[#This Row],[Fin corrigée si nuit]]-(1+deb_dimJF)),0))*24</f>
        <v>0</v>
      </c>
      <c r="Q15" s="4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15" s="42">
        <f>(IF(COUNTIF(JF,Horaires356739[[#This Row],[Date]]),MAX(0,MIN(fin_dimJF,Horaires356739[[#This Row],[Fin corrigée si nuit]])-MAX(deb_dimJF,Horaires356739[[#This Row],[début]])),0)+IF(COUNTIF(JF,Horaires356739[[#This Row],[Date]]+1),MAX(0,Horaires356739[[#This Row],[Fin corrigée si nuit]]-(1+deb_dimJF)),0))*24</f>
        <v>0</v>
      </c>
      <c r="S15" s="4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16" spans="1:19" x14ac:dyDescent="0.35">
      <c r="A16" s="9"/>
      <c r="B16" s="10"/>
      <c r="C16" s="2"/>
      <c r="D16" s="2"/>
      <c r="E16" s="3"/>
      <c r="F16" s="3"/>
      <c r="G16" s="11"/>
      <c r="H16" s="11"/>
      <c r="I16" s="38">
        <f>0.1*(Horaires356739[[#This Row],[Heures de nuit]]+Horaires356739[[#This Row],[heures jour dimanche]]+Horaires356739[[#This Row],[heures jour fériés]])</f>
        <v>0</v>
      </c>
      <c r="J16" s="43">
        <f>(MOD(Horaires356739[[#This Row],[Fin]]-Horaires356739[[#This Row],[début]],1)-MOD(Horaires356739[[#This Row],[PNP Fin]]-Horaires356739[[#This Row],[PNP Début]],1))*24</f>
        <v>0</v>
      </c>
      <c r="K16" s="40">
        <f>IF(Horaires356739[[#This Row],[PNP Début]]=0,0,IF(Horaires356739[[#This Row],[PNP Début]]&lt;Horaires356739[[#This Row],[début]],1,0)+Horaires356739[[#This Row],[PNP Début]])</f>
        <v>0</v>
      </c>
      <c r="L16" s="40">
        <f>IF(Horaires356739[[#This Row],[PNP Fin]]=0,0,IF(Horaires356739[[#This Row],[PNP Fin]]&lt;Horaires356739[[#This Row],[début]],1,0)+Horaires356739[[#This Row],[PNP Fin]])</f>
        <v>0</v>
      </c>
      <c r="M16" s="44">
        <f>IF(Horaires356739[[#This Row],[Fin]]&lt;Horaires356739[[#This Row],[début]],1,0)+Horaires356739[[#This Row],[Fin]]</f>
        <v>0</v>
      </c>
      <c r="N16" s="41">
        <f>MAX(0,MIN(Horaires356739[[#This Row],[Fin corrigée si nuit]],fin_nuit)-MAX(Horaires356739[[#This Row],[début]],deb_nuit))*24</f>
        <v>0</v>
      </c>
      <c r="O16" s="45">
        <f>(MAX(0,MIN(Horaires356739[[#This Row],[Fin corrigée si nuit]],fin_nuit)-MAX(Horaires356739[[#This Row],[début]],deb_nuit))-IF(Horaires356739[[#This Row],[PNP Début]]=0,0,MIN(Horaires356739[[#This Row],[PNP Fin corrigée]],fin_nuit)-MAX(Horaires356739[[#This Row],[PNP Début corrigé]],deb_nuit)))*24</f>
        <v>0</v>
      </c>
      <c r="P16" s="45">
        <f>(IF(WEEKDAY(Horaires356739[[#This Row],[Date]],2)=7,MAX(0,MIN(fin_dimJF,Horaires356739[[#This Row],[Fin corrigée si nuit]])-MAX(deb_dimJF,Horaires356739[[#This Row],[début]])),0)+IF(WEEKDAY(Horaires356739[[#This Row],[Date]],2)=6,MAX(0,Horaires356739[[#This Row],[Fin corrigée si nuit]]-(1+deb_dimJF)),0))*24</f>
        <v>0</v>
      </c>
      <c r="Q16" s="4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16" s="46">
        <f>(IF(COUNTIF(JF,Horaires356739[[#This Row],[Date]]),MAX(0,MIN(fin_dimJF,Horaires356739[[#This Row],[Fin corrigée si nuit]])-MAX(deb_dimJF,Horaires356739[[#This Row],[début]])),0)+IF(COUNTIF(JF,Horaires356739[[#This Row],[Date]]+1),MAX(0,Horaires356739[[#This Row],[Fin corrigée si nuit]]-(1+deb_dimJF)),0))*24</f>
        <v>0</v>
      </c>
      <c r="S16" s="46">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17" spans="1:19" x14ac:dyDescent="0.35">
      <c r="A17" s="9"/>
      <c r="B17" s="1"/>
      <c r="C17" s="2"/>
      <c r="D17" s="2"/>
      <c r="E17" s="3"/>
      <c r="F17" s="3"/>
      <c r="G17" s="17"/>
      <c r="H17" s="17"/>
      <c r="I17" s="47">
        <f>0.1*(Horaires356739[[#This Row],[Heures de nuit]]+Horaires356739[[#This Row],[heures jour dimanche]]+Horaires356739[[#This Row],[heures jour fériés]])</f>
        <v>0</v>
      </c>
      <c r="J17" s="48">
        <f>(MOD(Horaires356739[[#This Row],[Fin]]-Horaires356739[[#This Row],[début]],1)-MOD(Horaires356739[[#This Row],[PNP Fin]]-Horaires356739[[#This Row],[PNP Début]],1))*24</f>
        <v>0</v>
      </c>
      <c r="K17" s="49">
        <f>IF(Horaires356739[[#This Row],[PNP Début]]=0,0,IF(Horaires356739[[#This Row],[PNP Début]]&lt;Horaires356739[[#This Row],[début]],1,0)+Horaires356739[[#This Row],[PNP Début]])</f>
        <v>0</v>
      </c>
      <c r="L17" s="50">
        <f>IF(Horaires356739[[#This Row],[PNP Fin]]=0,0,IF(Horaires356739[[#This Row],[PNP Fin]]&lt;Horaires356739[[#This Row],[début]],1,0)+Horaires356739[[#This Row],[PNP Fin]])</f>
        <v>0</v>
      </c>
      <c r="M17" s="50">
        <f>IF(Horaires356739[[#This Row],[Fin]]&lt;Horaires356739[[#This Row],[début]],1,0)+Horaires356739[[#This Row],[Fin]]</f>
        <v>0</v>
      </c>
      <c r="N17" s="41">
        <f>MAX(0,MIN(Horaires356739[[#This Row],[Fin corrigée si nuit]],fin_nuit)-MAX(Horaires356739[[#This Row],[début]],deb_nuit))*24</f>
        <v>0</v>
      </c>
      <c r="O17" s="51">
        <f>(MAX(0,MIN(Horaires356739[[#This Row],[Fin corrigée si nuit]],fin_nuit)-MAX(Horaires356739[[#This Row],[début]],deb_nuit))-IF(Horaires356739[[#This Row],[PNP Début]]=0,0,MIN(Horaires356739[[#This Row],[PNP Fin corrigée]],fin_nuit)-MAX(Horaires356739[[#This Row],[PNP Début corrigé]],deb_nuit)))*24</f>
        <v>0</v>
      </c>
      <c r="P17" s="51">
        <f>(IF(WEEKDAY(Horaires356739[[#This Row],[Date]],2)=7,MAX(0,MIN(fin_dimJF,Horaires356739[[#This Row],[Fin corrigée si nuit]])-MAX(deb_dimJF,Horaires356739[[#This Row],[début]])),0)+IF(WEEKDAY(Horaires356739[[#This Row],[Date]],2)=6,MAX(0,Horaires356739[[#This Row],[Fin corrigée si nuit]]-(1+deb_dimJF)),0))*24</f>
        <v>0</v>
      </c>
      <c r="Q17" s="5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17" s="51">
        <f>(IF(COUNTIF(JF,Horaires356739[[#This Row],[Date]]),MAX(0,MIN(fin_dimJF,Horaires356739[[#This Row],[Fin corrigée si nuit]])-MAX(deb_dimJF,Horaires356739[[#This Row],[début]])),0)+IF(COUNTIF(JF,Horaires356739[[#This Row],[Date]]+1),MAX(0,Horaires356739[[#This Row],[Fin corrigée si nuit]]-(1+deb_dimJF)),0))*24</f>
        <v>0</v>
      </c>
      <c r="S17" s="51">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18" spans="1:19" x14ac:dyDescent="0.35">
      <c r="A18" s="9"/>
      <c r="B18" s="69"/>
      <c r="C18" s="16"/>
      <c r="D18" s="16"/>
      <c r="E18" s="17"/>
      <c r="F18" s="17"/>
      <c r="G18" s="17"/>
      <c r="H18" s="17"/>
      <c r="I18" s="47">
        <f>0.1*(Horaires356739[[#This Row],[Heures de nuit]]+Horaires356739[[#This Row],[heures jour dimanche]]+Horaires356739[[#This Row],[heures jour fériés]])</f>
        <v>0</v>
      </c>
      <c r="J18" s="48">
        <f>(MOD(Horaires356739[[#This Row],[Fin]]-Horaires356739[[#This Row],[début]],1)-MOD(Horaires356739[[#This Row],[PNP Fin]]-Horaires356739[[#This Row],[PNP Début]],1))*24</f>
        <v>0</v>
      </c>
      <c r="K18" s="49">
        <f>IF(Horaires356739[[#This Row],[PNP Début]]=0,0,IF(Horaires356739[[#This Row],[PNP Début]]&lt;Horaires356739[[#This Row],[début]],1,0)+Horaires356739[[#This Row],[PNP Début]])</f>
        <v>0</v>
      </c>
      <c r="L18" s="50">
        <f>IF(Horaires356739[[#This Row],[PNP Fin]]=0,0,IF(Horaires356739[[#This Row],[PNP Fin]]&lt;Horaires356739[[#This Row],[début]],1,0)+Horaires356739[[#This Row],[PNP Fin]])</f>
        <v>0</v>
      </c>
      <c r="M18" s="50">
        <f>IF(Horaires356739[[#This Row],[Fin]]&lt;Horaires356739[[#This Row],[début]],1,0)+Horaires356739[[#This Row],[Fin]]</f>
        <v>0</v>
      </c>
      <c r="N18" s="41">
        <f>MAX(0,MIN(Horaires356739[[#This Row],[Fin corrigée si nuit]],fin_nuit)-MAX(Horaires356739[[#This Row],[début]],deb_nuit))*24</f>
        <v>0</v>
      </c>
      <c r="O18" s="51">
        <f>(MAX(0,MIN(Horaires356739[[#This Row],[Fin corrigée si nuit]],fin_nuit)-MAX(Horaires356739[[#This Row],[début]],deb_nuit))-IF(Horaires356739[[#This Row],[PNP Début]]=0,0,MIN(Horaires356739[[#This Row],[PNP Fin corrigée]],fin_nuit)-MAX(Horaires356739[[#This Row],[PNP Début corrigé]],deb_nuit)))*24</f>
        <v>0</v>
      </c>
      <c r="P18" s="51">
        <f>(IF(WEEKDAY(Horaires356739[[#This Row],[Date]],2)=7,MAX(0,MIN(fin_dimJF,Horaires356739[[#This Row],[Fin corrigée si nuit]])-MAX(deb_dimJF,Horaires356739[[#This Row],[début]])),0)+IF(WEEKDAY(Horaires356739[[#This Row],[Date]],2)=6,MAX(0,Horaires356739[[#This Row],[Fin corrigée si nuit]]-(1+deb_dimJF)),0))*24</f>
        <v>0</v>
      </c>
      <c r="Q18" s="5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18" s="51">
        <f>(IF(COUNTIF(JF,Horaires356739[[#This Row],[Date]]),MAX(0,MIN(fin_dimJF,Horaires356739[[#This Row],[Fin corrigée si nuit]])-MAX(deb_dimJF,Horaires356739[[#This Row],[début]])),0)+IF(COUNTIF(JF,Horaires356739[[#This Row],[Date]]+1),MAX(0,Horaires356739[[#This Row],[Fin corrigée si nuit]]-(1+deb_dimJF)),0))*24</f>
        <v>0</v>
      </c>
      <c r="S18" s="51">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19" spans="1:19" x14ac:dyDescent="0.35">
      <c r="A19" s="9"/>
      <c r="B19" s="1"/>
      <c r="C19" s="16"/>
      <c r="D19" s="16"/>
      <c r="E19" s="3"/>
      <c r="F19" s="3"/>
      <c r="G19" s="17"/>
      <c r="H19" s="17"/>
      <c r="I19" s="47">
        <f>0.1*(Horaires356739[[#This Row],[Heures de nuit]]+Horaires356739[[#This Row],[heures jour dimanche]]+Horaires356739[[#This Row],[heures jour fériés]])</f>
        <v>0</v>
      </c>
      <c r="J19" s="48">
        <f>(MOD(Horaires356739[[#This Row],[Fin]]-Horaires356739[[#This Row],[début]],1)-MOD(Horaires356739[[#This Row],[PNP Fin]]-Horaires356739[[#This Row],[PNP Début]],1))*24</f>
        <v>0</v>
      </c>
      <c r="K19" s="49">
        <f>IF(Horaires356739[[#This Row],[PNP Début]]=0,0,IF(Horaires356739[[#This Row],[PNP Début]]&lt;Horaires356739[[#This Row],[début]],1,0)+Horaires356739[[#This Row],[PNP Début]])</f>
        <v>0</v>
      </c>
      <c r="L19" s="50">
        <f>IF(Horaires356739[[#This Row],[PNP Fin]]=0,0,IF(Horaires356739[[#This Row],[PNP Fin]]&lt;Horaires356739[[#This Row],[début]],1,0)+Horaires356739[[#This Row],[PNP Fin]])</f>
        <v>0</v>
      </c>
      <c r="M19" s="50">
        <f>IF(Horaires356739[[#This Row],[Fin]]&lt;Horaires356739[[#This Row],[début]],1,0)+Horaires356739[[#This Row],[Fin]]</f>
        <v>0</v>
      </c>
      <c r="N19" s="41">
        <f>MAX(0,MIN(Horaires356739[[#This Row],[Fin corrigée si nuit]],fin_nuit)-MAX(Horaires356739[[#This Row],[début]],deb_nuit))*24</f>
        <v>0</v>
      </c>
      <c r="O19" s="51">
        <f>(MAX(0,MIN(Horaires356739[[#This Row],[Fin corrigée si nuit]],fin_nuit)-MAX(Horaires356739[[#This Row],[début]],deb_nuit))-IF(Horaires356739[[#This Row],[PNP Début]]=0,0,MIN(Horaires356739[[#This Row],[PNP Fin corrigée]],fin_nuit)-MAX(Horaires356739[[#This Row],[PNP Début corrigé]],deb_nuit)))*24</f>
        <v>0</v>
      </c>
      <c r="P19" s="51">
        <f>(IF(WEEKDAY(Horaires356739[[#This Row],[Date]],2)=7,MAX(0,MIN(fin_dimJF,Horaires356739[[#This Row],[Fin corrigée si nuit]])-MAX(deb_dimJF,Horaires356739[[#This Row],[début]])),0)+IF(WEEKDAY(Horaires356739[[#This Row],[Date]],2)=6,MAX(0,Horaires356739[[#This Row],[Fin corrigée si nuit]]-(1+deb_dimJF)),0))*24</f>
        <v>0</v>
      </c>
      <c r="Q19" s="5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19" s="51">
        <f>(IF(COUNTIF(JF,Horaires356739[[#This Row],[Date]]),MAX(0,MIN(fin_dimJF,Horaires356739[[#This Row],[Fin corrigée si nuit]])-MAX(deb_dimJF,Horaires356739[[#This Row],[début]])),0)+IF(COUNTIF(JF,Horaires356739[[#This Row],[Date]]+1),MAX(0,Horaires356739[[#This Row],[Fin corrigée si nuit]]-(1+deb_dimJF)),0))*24</f>
        <v>0</v>
      </c>
      <c r="S19" s="51">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0" spans="1:19" x14ac:dyDescent="0.35">
      <c r="A20" s="9"/>
      <c r="B20" s="1"/>
      <c r="C20" s="16"/>
      <c r="D20" s="16"/>
      <c r="E20" s="17"/>
      <c r="F20" s="17"/>
      <c r="G20" s="17"/>
      <c r="H20" s="17"/>
      <c r="I20" s="47">
        <f>0.1*(Horaires356739[[#This Row],[Heures de nuit]]+Horaires356739[[#This Row],[heures jour dimanche]]+Horaires356739[[#This Row],[heures jour fériés]])</f>
        <v>0</v>
      </c>
      <c r="J20" s="48">
        <f>(MOD(Horaires356739[[#This Row],[Fin]]-Horaires356739[[#This Row],[début]],1)-MOD(Horaires356739[[#This Row],[PNP Fin]]-Horaires356739[[#This Row],[PNP Début]],1))*24</f>
        <v>0</v>
      </c>
      <c r="K20" s="49">
        <f>IF(Horaires356739[[#This Row],[PNP Début]]=0,0,IF(Horaires356739[[#This Row],[PNP Début]]&lt;Horaires356739[[#This Row],[début]],1,0)+Horaires356739[[#This Row],[PNP Début]])</f>
        <v>0</v>
      </c>
      <c r="L20" s="50">
        <f>IF(Horaires356739[[#This Row],[PNP Fin]]=0,0,IF(Horaires356739[[#This Row],[PNP Fin]]&lt;Horaires356739[[#This Row],[début]],1,0)+Horaires356739[[#This Row],[PNP Fin]])</f>
        <v>0</v>
      </c>
      <c r="M20" s="50">
        <f>IF(Horaires356739[[#This Row],[Fin]]&lt;Horaires356739[[#This Row],[début]],1,0)+Horaires356739[[#This Row],[Fin]]</f>
        <v>0</v>
      </c>
      <c r="N20" s="41">
        <f>MAX(0,MIN(Horaires356739[[#This Row],[Fin corrigée si nuit]],fin_nuit)-MAX(Horaires356739[[#This Row],[début]],deb_nuit))*24</f>
        <v>0</v>
      </c>
      <c r="O20" s="51">
        <f>(MAX(0,MIN(Horaires356739[[#This Row],[Fin corrigée si nuit]],fin_nuit)-MAX(Horaires356739[[#This Row],[début]],deb_nuit))-IF(Horaires356739[[#This Row],[PNP Début]]=0,0,MIN(Horaires356739[[#This Row],[PNP Fin corrigée]],fin_nuit)-MAX(Horaires356739[[#This Row],[PNP Début corrigé]],deb_nuit)))*24</f>
        <v>0</v>
      </c>
      <c r="P20" s="51">
        <f>(IF(WEEKDAY(Horaires356739[[#This Row],[Date]],2)=7,MAX(0,MIN(fin_dimJF,Horaires356739[[#This Row],[Fin corrigée si nuit]])-MAX(deb_dimJF,Horaires356739[[#This Row],[début]])),0)+IF(WEEKDAY(Horaires356739[[#This Row],[Date]],2)=6,MAX(0,Horaires356739[[#This Row],[Fin corrigée si nuit]]-(1+deb_dimJF)),0))*24</f>
        <v>0</v>
      </c>
      <c r="Q20" s="51">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0" s="51">
        <f>(IF(COUNTIF(JF,Horaires356739[[#This Row],[Date]]),MAX(0,MIN(fin_dimJF,Horaires356739[[#This Row],[Fin corrigée si nuit]])-MAX(deb_dimJF,Horaires356739[[#This Row],[début]])),0)+IF(COUNTIF(JF,Horaires356739[[#This Row],[Date]]+1),MAX(0,Horaires356739[[#This Row],[Fin corrigée si nuit]]-(1+deb_dimJF)),0))*24</f>
        <v>0</v>
      </c>
      <c r="S20" s="51">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1" spans="1:19" x14ac:dyDescent="0.35">
      <c r="A21" s="9"/>
      <c r="B21" s="10"/>
      <c r="C21" s="18"/>
      <c r="D21" s="18"/>
      <c r="E21" s="3"/>
      <c r="F21" s="3"/>
      <c r="G21" s="19"/>
      <c r="H21" s="19"/>
      <c r="I21" s="52">
        <f>0.1*(Horaires356739[[#This Row],[Heures de nuit]]+Horaires356739[[#This Row],[heures jour dimanche]]+Horaires356739[[#This Row],[heures jour fériés]])</f>
        <v>0</v>
      </c>
      <c r="J21" s="53">
        <f>(MOD(Horaires356739[[#This Row],[Fin]]-Horaires356739[[#This Row],[début]],1)-MOD(Horaires356739[[#This Row],[PNP Fin]]-Horaires356739[[#This Row],[PNP Début]],1))*24</f>
        <v>0</v>
      </c>
      <c r="K21" s="54">
        <f>IF(Horaires356739[[#This Row],[PNP Début]]=0,0,IF(Horaires356739[[#This Row],[PNP Début]]&lt;Horaires356739[[#This Row],[début]],1,0)+Horaires356739[[#This Row],[PNP Début]])</f>
        <v>0</v>
      </c>
      <c r="L21" s="55">
        <f>IF(Horaires356739[[#This Row],[PNP Fin]]=0,0,IF(Horaires356739[[#This Row],[PNP Fin]]&lt;Horaires356739[[#This Row],[début]],1,0)+Horaires356739[[#This Row],[PNP Fin]])</f>
        <v>0</v>
      </c>
      <c r="M21" s="55">
        <f>IF(Horaires356739[[#This Row],[Fin]]&lt;Horaires356739[[#This Row],[début]],1,0)+Horaires356739[[#This Row],[Fin]]</f>
        <v>0</v>
      </c>
      <c r="N21" s="41">
        <f>MAX(0,MIN(Horaires356739[[#This Row],[Fin corrigée si nuit]],fin_nuit)-MAX(Horaires356739[[#This Row],[début]],deb_nuit))*24</f>
        <v>0</v>
      </c>
      <c r="O21" s="56">
        <f>(MAX(0,MIN(Horaires356739[[#This Row],[Fin corrigée si nuit]],fin_nuit)-MAX(Horaires356739[[#This Row],[début]],deb_nuit))-IF(Horaires356739[[#This Row],[PNP Début]]=0,0,MIN(Horaires356739[[#This Row],[PNP Fin corrigée]],fin_nuit)-MAX(Horaires356739[[#This Row],[PNP Début corrigé]],deb_nuit)))*24</f>
        <v>0</v>
      </c>
      <c r="P21" s="56">
        <f>(IF(WEEKDAY(Horaires356739[[#This Row],[Date]],2)=7,MAX(0,MIN(fin_dimJF,Horaires356739[[#This Row],[Fin corrigée si nuit]])-MAX(deb_dimJF,Horaires356739[[#This Row],[début]])),0)+IF(WEEKDAY(Horaires356739[[#This Row],[Date]],2)=6,MAX(0,Horaires356739[[#This Row],[Fin corrigée si nuit]]-(1+deb_dimJF)),0))*24</f>
        <v>0</v>
      </c>
      <c r="Q21" s="56">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1" s="56">
        <f>(IF(COUNTIF(JF,Horaires356739[[#This Row],[Date]]),MAX(0,MIN(fin_dimJF,Horaires356739[[#This Row],[Fin corrigée si nuit]])-MAX(deb_dimJF,Horaires356739[[#This Row],[début]])),0)+IF(COUNTIF(JF,Horaires356739[[#This Row],[Date]]+1),MAX(0,Horaires356739[[#This Row],[Fin corrigée si nuit]]-(1+deb_dimJF)),0))*24</f>
        <v>0</v>
      </c>
      <c r="S21" s="56">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2" spans="1:19" x14ac:dyDescent="0.35">
      <c r="A22" s="9"/>
      <c r="B22" s="1"/>
      <c r="C22" s="18"/>
      <c r="D22" s="18"/>
      <c r="E22" s="3"/>
      <c r="F22" s="3"/>
      <c r="G22" s="3"/>
      <c r="H22" s="3"/>
      <c r="I22" s="57">
        <f>0.1*(Horaires356739[[#This Row],[Heures de nuit]]+Horaires356739[[#This Row],[heures jour dimanche]]+Horaires356739[[#This Row],[heures jour fériés]])</f>
        <v>0</v>
      </c>
      <c r="J22" s="58">
        <f>(MOD(Horaires356739[[#This Row],[Fin]]-Horaires356739[[#This Row],[début]],1)-MOD(Horaires356739[[#This Row],[PNP Fin]]-Horaires356739[[#This Row],[PNP Début]],1))*24</f>
        <v>0</v>
      </c>
      <c r="K22" s="59">
        <f>IF(Horaires356739[[#This Row],[PNP Début]]=0,0,IF(Horaires356739[[#This Row],[PNP Début]]&lt;Horaires356739[[#This Row],[début]],1,0)+Horaires356739[[#This Row],[PNP Début]])</f>
        <v>0</v>
      </c>
      <c r="L22" s="60">
        <f>IF(Horaires356739[[#This Row],[PNP Fin]]=0,0,IF(Horaires356739[[#This Row],[PNP Fin]]&lt;Horaires356739[[#This Row],[début]],1,0)+Horaires356739[[#This Row],[PNP Fin]])</f>
        <v>0</v>
      </c>
      <c r="M22" s="60">
        <f>IF(Horaires356739[[#This Row],[Fin]]&lt;Horaires356739[[#This Row],[début]],1,0)+Horaires356739[[#This Row],[Fin]]</f>
        <v>0</v>
      </c>
      <c r="N22" s="61">
        <f>MAX(0,MIN(Horaires356739[[#This Row],[Fin corrigée si nuit]],fin_nuit)-MAX(Horaires356739[[#This Row],[début]],deb_nuit))*24</f>
        <v>0</v>
      </c>
      <c r="O22" s="62">
        <f>(MAX(0,MIN(Horaires356739[[#This Row],[Fin corrigée si nuit]],fin_nuit)-MAX(Horaires356739[[#This Row],[début]],deb_nuit))-IF(Horaires356739[[#This Row],[PNP Début]]=0,0,MIN(Horaires356739[[#This Row],[PNP Fin corrigée]],fin_nuit)-MAX(Horaires356739[[#This Row],[PNP Début corrigé]],deb_nuit)))*24</f>
        <v>0</v>
      </c>
      <c r="P22" s="62">
        <f>(IF(WEEKDAY(Horaires356739[[#This Row],[Date]],2)=7,MAX(0,MIN(fin_dimJF,Horaires356739[[#This Row],[Fin corrigée si nuit]])-MAX(deb_dimJF,Horaires356739[[#This Row],[début]])),0)+IF(WEEKDAY(Horaires356739[[#This Row],[Date]],2)=6,MAX(0,Horaires356739[[#This Row],[Fin corrigée si nuit]]-(1+deb_dimJF)),0))*24</f>
        <v>0</v>
      </c>
      <c r="Q22"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2" s="62">
        <f>(IF(COUNTIF(JF,Horaires356739[[#This Row],[Date]]),MAX(0,MIN(fin_dimJF,Horaires356739[[#This Row],[Fin corrigée si nuit]])-MAX(deb_dimJF,Horaires356739[[#This Row],[début]])),0)+IF(COUNTIF(JF,Horaires356739[[#This Row],[Date]]+1),MAX(0,Horaires356739[[#This Row],[Fin corrigée si nuit]]-(1+deb_dimJF)),0))*24</f>
        <v>0</v>
      </c>
      <c r="S22"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3" spans="1:19" x14ac:dyDescent="0.35">
      <c r="A23" s="9"/>
      <c r="B23" s="1"/>
      <c r="C23" s="18"/>
      <c r="D23" s="18"/>
      <c r="E23" s="3"/>
      <c r="F23" s="3"/>
      <c r="G23" s="3"/>
      <c r="H23" s="3"/>
      <c r="I23" s="57">
        <f>0.1*(Horaires356739[[#This Row],[Heures de nuit]]+Horaires356739[[#This Row],[heures jour dimanche]]+Horaires356739[[#This Row],[heures jour fériés]])</f>
        <v>0</v>
      </c>
      <c r="J23" s="58">
        <f>(MOD(Horaires356739[[#This Row],[Fin]]-Horaires356739[[#This Row],[début]],1)-MOD(Horaires356739[[#This Row],[PNP Fin]]-Horaires356739[[#This Row],[PNP Début]],1))*24</f>
        <v>0</v>
      </c>
      <c r="K23" s="59">
        <f>IF(Horaires356739[[#This Row],[PNP Début]]=0,0,IF(Horaires356739[[#This Row],[PNP Début]]&lt;Horaires356739[[#This Row],[début]],1,0)+Horaires356739[[#This Row],[PNP Début]])</f>
        <v>0</v>
      </c>
      <c r="L23" s="60">
        <f>IF(Horaires356739[[#This Row],[PNP Fin]]=0,0,IF(Horaires356739[[#This Row],[PNP Fin]]&lt;Horaires356739[[#This Row],[début]],1,0)+Horaires356739[[#This Row],[PNP Fin]])</f>
        <v>0</v>
      </c>
      <c r="M23" s="60">
        <f>IF(Horaires356739[[#This Row],[Fin]]&lt;Horaires356739[[#This Row],[début]],1,0)+Horaires356739[[#This Row],[Fin]]</f>
        <v>0</v>
      </c>
      <c r="N23" s="61">
        <f>MAX(0,MIN(Horaires356739[[#This Row],[Fin corrigée si nuit]],fin_nuit)-MAX(Horaires356739[[#This Row],[début]],deb_nuit))*24</f>
        <v>0</v>
      </c>
      <c r="O23" s="62">
        <f>(MAX(0,MIN(Horaires356739[[#This Row],[Fin corrigée si nuit]],fin_nuit)-MAX(Horaires356739[[#This Row],[début]],deb_nuit))-IF(Horaires356739[[#This Row],[PNP Début]]=0,0,MIN(Horaires356739[[#This Row],[PNP Fin corrigée]],fin_nuit)-MAX(Horaires356739[[#This Row],[PNP Début corrigé]],deb_nuit)))*24</f>
        <v>0</v>
      </c>
      <c r="P23" s="62">
        <f>(IF(WEEKDAY(Horaires356739[[#This Row],[Date]],2)=7,MAX(0,MIN(fin_dimJF,Horaires356739[[#This Row],[Fin corrigée si nuit]])-MAX(deb_dimJF,Horaires356739[[#This Row],[début]])),0)+IF(WEEKDAY(Horaires356739[[#This Row],[Date]],2)=6,MAX(0,Horaires356739[[#This Row],[Fin corrigée si nuit]]-(1+deb_dimJF)),0))*24</f>
        <v>0</v>
      </c>
      <c r="Q23"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3" s="62">
        <f>(IF(COUNTIF(JF,Horaires356739[[#This Row],[Date]]),MAX(0,MIN(fin_dimJF,Horaires356739[[#This Row],[Fin corrigée si nuit]])-MAX(deb_dimJF,Horaires356739[[#This Row],[début]])),0)+IF(COUNTIF(JF,Horaires356739[[#This Row],[Date]]+1),MAX(0,Horaires356739[[#This Row],[Fin corrigée si nuit]]-(1+deb_dimJF)),0))*24</f>
        <v>0</v>
      </c>
      <c r="S23"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4" spans="1:19" x14ac:dyDescent="0.35">
      <c r="A24" s="9"/>
      <c r="B24" s="1"/>
      <c r="C24" s="2"/>
      <c r="D24" s="2"/>
      <c r="E24" s="3"/>
      <c r="F24" s="3"/>
      <c r="G24" s="3"/>
      <c r="H24" s="3"/>
      <c r="I24" s="57">
        <f>0.1*(Horaires356739[[#This Row],[Heures de nuit]]+Horaires356739[[#This Row],[heures jour dimanche]]+Horaires356739[[#This Row],[heures jour fériés]])</f>
        <v>0</v>
      </c>
      <c r="J24" s="58">
        <f>(MOD(Horaires356739[[#This Row],[Fin]]-Horaires356739[[#This Row],[début]],1)-MOD(Horaires356739[[#This Row],[PNP Fin]]-Horaires356739[[#This Row],[PNP Début]],1))*24</f>
        <v>0</v>
      </c>
      <c r="K24" s="59">
        <f>IF(Horaires356739[[#This Row],[PNP Début]]=0,0,IF(Horaires356739[[#This Row],[PNP Début]]&lt;Horaires356739[[#This Row],[début]],1,0)+Horaires356739[[#This Row],[PNP Début]])</f>
        <v>0</v>
      </c>
      <c r="L24" s="60">
        <f>IF(Horaires356739[[#This Row],[PNP Fin]]=0,0,IF(Horaires356739[[#This Row],[PNP Fin]]&lt;Horaires356739[[#This Row],[début]],1,0)+Horaires356739[[#This Row],[PNP Fin]])</f>
        <v>0</v>
      </c>
      <c r="M24" s="60">
        <f>IF(Horaires356739[[#This Row],[Fin]]&lt;Horaires356739[[#This Row],[début]],1,0)+Horaires356739[[#This Row],[Fin]]</f>
        <v>0</v>
      </c>
      <c r="N24" s="61">
        <f>MAX(0,MIN(Horaires356739[[#This Row],[Fin corrigée si nuit]],fin_nuit)-MAX(Horaires356739[[#This Row],[début]],deb_nuit))*24</f>
        <v>0</v>
      </c>
      <c r="O24" s="62">
        <f>(MAX(0,MIN(Horaires356739[[#This Row],[Fin corrigée si nuit]],fin_nuit)-MAX(Horaires356739[[#This Row],[début]],deb_nuit))-IF(Horaires356739[[#This Row],[PNP Début]]=0,0,MIN(Horaires356739[[#This Row],[PNP Fin corrigée]],fin_nuit)-MAX(Horaires356739[[#This Row],[PNP Début corrigé]],deb_nuit)))*24</f>
        <v>0</v>
      </c>
      <c r="P24" s="62">
        <f>(IF(WEEKDAY(Horaires356739[[#This Row],[Date]],2)=7,MAX(0,MIN(fin_dimJF,Horaires356739[[#This Row],[Fin corrigée si nuit]])-MAX(deb_dimJF,Horaires356739[[#This Row],[début]])),0)+IF(WEEKDAY(Horaires356739[[#This Row],[Date]],2)=6,MAX(0,Horaires356739[[#This Row],[Fin corrigée si nuit]]-(1+deb_dimJF)),0))*24</f>
        <v>0</v>
      </c>
      <c r="Q24"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4" s="62">
        <f>(IF(COUNTIF(JF,Horaires356739[[#This Row],[Date]]),MAX(0,MIN(fin_dimJF,Horaires356739[[#This Row],[Fin corrigée si nuit]])-MAX(deb_dimJF,Horaires356739[[#This Row],[début]])),0)+IF(COUNTIF(JF,Horaires356739[[#This Row],[Date]]+1),MAX(0,Horaires356739[[#This Row],[Fin corrigée si nuit]]-(1+deb_dimJF)),0))*24</f>
        <v>0</v>
      </c>
      <c r="S24"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5" spans="1:19" x14ac:dyDescent="0.35">
      <c r="A25" s="9"/>
      <c r="B25" s="1"/>
      <c r="C25" s="2"/>
      <c r="D25" s="2"/>
      <c r="E25" s="3"/>
      <c r="F25" s="3"/>
      <c r="G25" s="3"/>
      <c r="H25" s="3"/>
      <c r="I25" s="57">
        <f>0.1*(Horaires356739[[#This Row],[Heures de nuit]]+Horaires356739[[#This Row],[heures jour dimanche]]+Horaires356739[[#This Row],[heures jour fériés]])</f>
        <v>0</v>
      </c>
      <c r="J25" s="58">
        <f>(MOD(Horaires356739[[#This Row],[Fin]]-Horaires356739[[#This Row],[début]],1)-MOD(Horaires356739[[#This Row],[PNP Fin]]-Horaires356739[[#This Row],[PNP Début]],1))*24</f>
        <v>0</v>
      </c>
      <c r="K25" s="59">
        <f>IF(Horaires356739[[#This Row],[PNP Début]]=0,0,IF(Horaires356739[[#This Row],[PNP Début]]&lt;Horaires356739[[#This Row],[début]],1,0)+Horaires356739[[#This Row],[PNP Début]])</f>
        <v>0</v>
      </c>
      <c r="L25" s="60">
        <f>IF(Horaires356739[[#This Row],[PNP Fin]]=0,0,IF(Horaires356739[[#This Row],[PNP Fin]]&lt;Horaires356739[[#This Row],[début]],1,0)+Horaires356739[[#This Row],[PNP Fin]])</f>
        <v>0</v>
      </c>
      <c r="M25" s="60">
        <f>IF(Horaires356739[[#This Row],[Fin]]&lt;Horaires356739[[#This Row],[début]],1,0)+Horaires356739[[#This Row],[Fin]]</f>
        <v>0</v>
      </c>
      <c r="N25" s="61">
        <f>MAX(0,MIN(Horaires356739[[#This Row],[Fin corrigée si nuit]],fin_nuit)-MAX(Horaires356739[[#This Row],[début]],deb_nuit))*24</f>
        <v>0</v>
      </c>
      <c r="O25" s="62">
        <f>(MAX(0,MIN(Horaires356739[[#This Row],[Fin corrigée si nuit]],fin_nuit)-MAX(Horaires356739[[#This Row],[début]],deb_nuit))-IF(Horaires356739[[#This Row],[PNP Début]]=0,0,MIN(Horaires356739[[#This Row],[PNP Fin corrigée]],fin_nuit)-MAX(Horaires356739[[#This Row],[PNP Début corrigé]],deb_nuit)))*24</f>
        <v>0</v>
      </c>
      <c r="P25" s="62">
        <f>(IF(WEEKDAY(Horaires356739[[#This Row],[Date]],2)=7,MAX(0,MIN(fin_dimJF,Horaires356739[[#This Row],[Fin corrigée si nuit]])-MAX(deb_dimJF,Horaires356739[[#This Row],[début]])),0)+IF(WEEKDAY(Horaires356739[[#This Row],[Date]],2)=6,MAX(0,Horaires356739[[#This Row],[Fin corrigée si nuit]]-(1+deb_dimJF)),0))*24</f>
        <v>0</v>
      </c>
      <c r="Q25"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5" s="62">
        <f>(IF(COUNTIF(JF,Horaires356739[[#This Row],[Date]]),MAX(0,MIN(fin_dimJF,Horaires356739[[#This Row],[Fin corrigée si nuit]])-MAX(deb_dimJF,Horaires356739[[#This Row],[début]])),0)+IF(COUNTIF(JF,Horaires356739[[#This Row],[Date]]+1),MAX(0,Horaires356739[[#This Row],[Fin corrigée si nuit]]-(1+deb_dimJF)),0))*24</f>
        <v>0</v>
      </c>
      <c r="S25"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6" spans="1:19" ht="21" customHeight="1" x14ac:dyDescent="0.35">
      <c r="A26" s="9"/>
      <c r="B26" s="1"/>
      <c r="C26" s="2"/>
      <c r="D26" s="2"/>
      <c r="E26" s="3"/>
      <c r="F26" s="3"/>
      <c r="G26" s="3"/>
      <c r="H26" s="3"/>
      <c r="I26" s="57">
        <f>0.1*(Horaires356739[[#This Row],[Heures de nuit]]+Horaires356739[[#This Row],[heures jour dimanche]]+Horaires356739[[#This Row],[heures jour fériés]])</f>
        <v>0</v>
      </c>
      <c r="J26" s="58">
        <f>(MOD(Horaires356739[[#This Row],[Fin]]-Horaires356739[[#This Row],[début]],1)-MOD(Horaires356739[[#This Row],[PNP Fin]]-Horaires356739[[#This Row],[PNP Début]],1))*24</f>
        <v>0</v>
      </c>
      <c r="K26" s="59">
        <f>IF(Horaires356739[[#This Row],[PNP Début]]=0,0,IF(Horaires356739[[#This Row],[PNP Début]]&lt;Horaires356739[[#This Row],[début]],1,0)+Horaires356739[[#This Row],[PNP Début]])</f>
        <v>0</v>
      </c>
      <c r="L26" s="60">
        <f>IF(Horaires356739[[#This Row],[PNP Fin]]=0,0,IF(Horaires356739[[#This Row],[PNP Fin]]&lt;Horaires356739[[#This Row],[début]],1,0)+Horaires356739[[#This Row],[PNP Fin]])</f>
        <v>0</v>
      </c>
      <c r="M26" s="60">
        <f>IF(Horaires356739[[#This Row],[Fin]]&lt;Horaires356739[[#This Row],[début]],1,0)+Horaires356739[[#This Row],[Fin]]</f>
        <v>0</v>
      </c>
      <c r="N26" s="61">
        <f>MAX(0,MIN(Horaires356739[[#This Row],[Fin corrigée si nuit]],fin_nuit)-MAX(Horaires356739[[#This Row],[début]],deb_nuit))*24</f>
        <v>0</v>
      </c>
      <c r="O26" s="62">
        <f>(MAX(0,MIN(Horaires356739[[#This Row],[Fin corrigée si nuit]],fin_nuit)-MAX(Horaires356739[[#This Row],[début]],deb_nuit))-IF(Horaires356739[[#This Row],[PNP Début]]=0,0,MIN(Horaires356739[[#This Row],[PNP Fin corrigée]],fin_nuit)-MAX(Horaires356739[[#This Row],[PNP Début corrigé]],deb_nuit)))*24</f>
        <v>0</v>
      </c>
      <c r="P26" s="62">
        <f>(IF(WEEKDAY(Horaires356739[[#This Row],[Date]],2)=7,MAX(0,MIN(fin_dimJF,Horaires356739[[#This Row],[Fin corrigée si nuit]])-MAX(deb_dimJF,Horaires356739[[#This Row],[début]])),0)+IF(WEEKDAY(Horaires356739[[#This Row],[Date]],2)=6,MAX(0,Horaires356739[[#This Row],[Fin corrigée si nuit]]-(1+deb_dimJF)),0))*24</f>
        <v>0</v>
      </c>
      <c r="Q26"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6" s="62">
        <f>(IF(COUNTIF(JF,Horaires356739[[#This Row],[Date]]),MAX(0,MIN(fin_dimJF,Horaires356739[[#This Row],[Fin corrigée si nuit]])-MAX(deb_dimJF,Horaires356739[[#This Row],[début]])),0)+IF(COUNTIF(JF,Horaires356739[[#This Row],[Date]]+1),MAX(0,Horaires356739[[#This Row],[Fin corrigée si nuit]]-(1+deb_dimJF)),0))*24</f>
        <v>0</v>
      </c>
      <c r="S26"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7" spans="1:19" x14ac:dyDescent="0.35">
      <c r="A27" s="9"/>
      <c r="B27" s="1"/>
      <c r="C27" s="2"/>
      <c r="D27" s="2"/>
      <c r="E27" s="3"/>
      <c r="F27" s="3"/>
      <c r="G27" s="3"/>
      <c r="H27" s="3"/>
      <c r="I27" s="57">
        <f>0.1*(Horaires356739[[#This Row],[Heures de nuit]]+Horaires356739[[#This Row],[heures jour dimanche]]+Horaires356739[[#This Row],[heures jour fériés]])</f>
        <v>0</v>
      </c>
      <c r="J27" s="58">
        <f>(MOD(Horaires356739[[#This Row],[Fin]]-Horaires356739[[#This Row],[début]],1)-MOD(Horaires356739[[#This Row],[PNP Fin]]-Horaires356739[[#This Row],[PNP Début]],1))*24</f>
        <v>0</v>
      </c>
      <c r="K27" s="59">
        <f>IF(Horaires356739[[#This Row],[PNP Début]]=0,0,IF(Horaires356739[[#This Row],[PNP Début]]&lt;Horaires356739[[#This Row],[début]],1,0)+Horaires356739[[#This Row],[PNP Début]])</f>
        <v>0</v>
      </c>
      <c r="L27" s="60">
        <f>IF(Horaires356739[[#This Row],[PNP Fin]]=0,0,IF(Horaires356739[[#This Row],[PNP Fin]]&lt;Horaires356739[[#This Row],[début]],1,0)+Horaires356739[[#This Row],[PNP Fin]])</f>
        <v>0</v>
      </c>
      <c r="M27" s="60">
        <f>IF(Horaires356739[[#This Row],[Fin]]&lt;Horaires356739[[#This Row],[début]],1,0)+Horaires356739[[#This Row],[Fin]]</f>
        <v>0</v>
      </c>
      <c r="N27" s="61">
        <f>MAX(0,MIN(Horaires356739[[#This Row],[Fin corrigée si nuit]],fin_nuit)-MAX(Horaires356739[[#This Row],[début]],deb_nuit))*24</f>
        <v>0</v>
      </c>
      <c r="O27" s="62">
        <f>(MAX(0,MIN(Horaires356739[[#This Row],[Fin corrigée si nuit]],fin_nuit)-MAX(Horaires356739[[#This Row],[début]],deb_nuit))-IF(Horaires356739[[#This Row],[PNP Début]]=0,0,MIN(Horaires356739[[#This Row],[PNP Fin corrigée]],fin_nuit)-MAX(Horaires356739[[#This Row],[PNP Début corrigé]],deb_nuit)))*24</f>
        <v>0</v>
      </c>
      <c r="P27" s="62">
        <f>(IF(WEEKDAY(Horaires356739[[#This Row],[Date]],2)=7,MAX(0,MIN(fin_dimJF,Horaires356739[[#This Row],[Fin corrigée si nuit]])-MAX(deb_dimJF,Horaires356739[[#This Row],[début]])),0)+IF(WEEKDAY(Horaires356739[[#This Row],[Date]],2)=6,MAX(0,Horaires356739[[#This Row],[Fin corrigée si nuit]]-(1+deb_dimJF)),0))*24</f>
        <v>0</v>
      </c>
      <c r="Q27"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7" s="62">
        <f>(IF(COUNTIF(JF,Horaires356739[[#This Row],[Date]]),MAX(0,MIN(fin_dimJF,Horaires356739[[#This Row],[Fin corrigée si nuit]])-MAX(deb_dimJF,Horaires356739[[#This Row],[début]])),0)+IF(COUNTIF(JF,Horaires356739[[#This Row],[Date]]+1),MAX(0,Horaires356739[[#This Row],[Fin corrigée si nuit]]-(1+deb_dimJF)),0))*24</f>
        <v>0</v>
      </c>
      <c r="S27"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8" spans="1:19" x14ac:dyDescent="0.35">
      <c r="A28" s="9"/>
      <c r="B28" s="1"/>
      <c r="C28" s="2"/>
      <c r="D28" s="2"/>
      <c r="E28" s="3"/>
      <c r="F28" s="3"/>
      <c r="G28" s="3"/>
      <c r="H28" s="3"/>
      <c r="I28" s="57">
        <f>0.1*(Horaires356739[[#This Row],[Heures de nuit]]+Horaires356739[[#This Row],[heures jour dimanche]]+Horaires356739[[#This Row],[heures jour fériés]])</f>
        <v>0</v>
      </c>
      <c r="J28" s="58">
        <f>(MOD(Horaires356739[[#This Row],[Fin]]-Horaires356739[[#This Row],[début]],1)-MOD(Horaires356739[[#This Row],[PNP Fin]]-Horaires356739[[#This Row],[PNP Début]],1))*24</f>
        <v>0</v>
      </c>
      <c r="K28" s="59">
        <f>IF(Horaires356739[[#This Row],[PNP Début]]=0,0,IF(Horaires356739[[#This Row],[PNP Début]]&lt;Horaires356739[[#This Row],[début]],1,0)+Horaires356739[[#This Row],[PNP Début]])</f>
        <v>0</v>
      </c>
      <c r="L28" s="60">
        <f>IF(Horaires356739[[#This Row],[PNP Fin]]=0,0,IF(Horaires356739[[#This Row],[PNP Fin]]&lt;Horaires356739[[#This Row],[début]],1,0)+Horaires356739[[#This Row],[PNP Fin]])</f>
        <v>0</v>
      </c>
      <c r="M28" s="60">
        <f>IF(Horaires356739[[#This Row],[Fin]]&lt;Horaires356739[[#This Row],[début]],1,0)+Horaires356739[[#This Row],[Fin]]</f>
        <v>0</v>
      </c>
      <c r="N28" s="61">
        <f>MAX(0,MIN(Horaires356739[[#This Row],[Fin corrigée si nuit]],fin_nuit)-MAX(Horaires356739[[#This Row],[début]],deb_nuit))*24</f>
        <v>0</v>
      </c>
      <c r="O28" s="62">
        <f>(MAX(0,MIN(Horaires356739[[#This Row],[Fin corrigée si nuit]],fin_nuit)-MAX(Horaires356739[[#This Row],[début]],deb_nuit))-IF(Horaires356739[[#This Row],[PNP Début]]=0,0,MIN(Horaires356739[[#This Row],[PNP Fin corrigée]],fin_nuit)-MAX(Horaires356739[[#This Row],[PNP Début corrigé]],deb_nuit)))*24</f>
        <v>0</v>
      </c>
      <c r="P28" s="62">
        <f>(IF(WEEKDAY(Horaires356739[[#This Row],[Date]],2)=7,MAX(0,MIN(fin_dimJF,Horaires356739[[#This Row],[Fin corrigée si nuit]])-MAX(deb_dimJF,Horaires356739[[#This Row],[début]])),0)+IF(WEEKDAY(Horaires356739[[#This Row],[Date]],2)=6,MAX(0,Horaires356739[[#This Row],[Fin corrigée si nuit]]-(1+deb_dimJF)),0))*24</f>
        <v>0</v>
      </c>
      <c r="Q28"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8" s="62">
        <f>(IF(COUNTIF(JF,Horaires356739[[#This Row],[Date]]),MAX(0,MIN(fin_dimJF,Horaires356739[[#This Row],[Fin corrigée si nuit]])-MAX(deb_dimJF,Horaires356739[[#This Row],[début]])),0)+IF(COUNTIF(JF,Horaires356739[[#This Row],[Date]]+1),MAX(0,Horaires356739[[#This Row],[Fin corrigée si nuit]]-(1+deb_dimJF)),0))*24</f>
        <v>0</v>
      </c>
      <c r="S28"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29" spans="1:19" x14ac:dyDescent="0.35">
      <c r="A29" s="9"/>
      <c r="B29" s="1"/>
      <c r="C29" s="2"/>
      <c r="D29" s="2"/>
      <c r="E29" s="3"/>
      <c r="F29" s="3"/>
      <c r="G29" s="3"/>
      <c r="H29" s="3"/>
      <c r="I29" s="57">
        <f>0.1*(Horaires356739[[#This Row],[Heures de nuit]]+Horaires356739[[#This Row],[heures jour dimanche]]+Horaires356739[[#This Row],[heures jour fériés]])</f>
        <v>0</v>
      </c>
      <c r="J29" s="58">
        <f>(MOD(Horaires356739[[#This Row],[Fin]]-Horaires356739[[#This Row],[début]],1)-MOD(Horaires356739[[#This Row],[PNP Fin]]-Horaires356739[[#This Row],[PNP Début]],1))*24</f>
        <v>0</v>
      </c>
      <c r="K29" s="59">
        <f>IF(Horaires356739[[#This Row],[PNP Début]]=0,0,IF(Horaires356739[[#This Row],[PNP Début]]&lt;Horaires356739[[#This Row],[début]],1,0)+Horaires356739[[#This Row],[PNP Début]])</f>
        <v>0</v>
      </c>
      <c r="L29" s="60">
        <f>IF(Horaires356739[[#This Row],[PNP Fin]]=0,0,IF(Horaires356739[[#This Row],[PNP Fin]]&lt;Horaires356739[[#This Row],[début]],1,0)+Horaires356739[[#This Row],[PNP Fin]])</f>
        <v>0</v>
      </c>
      <c r="M29" s="60">
        <f>IF(Horaires356739[[#This Row],[Fin]]&lt;Horaires356739[[#This Row],[début]],1,0)+Horaires356739[[#This Row],[Fin]]</f>
        <v>0</v>
      </c>
      <c r="N29" s="61">
        <f>MAX(0,MIN(Horaires356739[[#This Row],[Fin corrigée si nuit]],fin_nuit)-MAX(Horaires356739[[#This Row],[début]],deb_nuit))*24</f>
        <v>0</v>
      </c>
      <c r="O29" s="62">
        <f>(MAX(0,MIN(Horaires356739[[#This Row],[Fin corrigée si nuit]],fin_nuit)-MAX(Horaires356739[[#This Row],[début]],deb_nuit))-IF(Horaires356739[[#This Row],[PNP Début]]=0,0,MIN(Horaires356739[[#This Row],[PNP Fin corrigée]],fin_nuit)-MAX(Horaires356739[[#This Row],[PNP Début corrigé]],deb_nuit)))*24</f>
        <v>0</v>
      </c>
      <c r="P29" s="62">
        <f>(IF(WEEKDAY(Horaires356739[[#This Row],[Date]],2)=7,MAX(0,MIN(fin_dimJF,Horaires356739[[#This Row],[Fin corrigée si nuit]])-MAX(deb_dimJF,Horaires356739[[#This Row],[début]])),0)+IF(WEEKDAY(Horaires356739[[#This Row],[Date]],2)=6,MAX(0,Horaires356739[[#This Row],[Fin corrigée si nuit]]-(1+deb_dimJF)),0))*24</f>
        <v>0</v>
      </c>
      <c r="Q29"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29" s="62">
        <f>(IF(COUNTIF(JF,Horaires356739[[#This Row],[Date]]),MAX(0,MIN(fin_dimJF,Horaires356739[[#This Row],[Fin corrigée si nuit]])-MAX(deb_dimJF,Horaires356739[[#This Row],[début]])),0)+IF(COUNTIF(JF,Horaires356739[[#This Row],[Date]]+1),MAX(0,Horaires356739[[#This Row],[Fin corrigée si nuit]]-(1+deb_dimJF)),0))*24</f>
        <v>0</v>
      </c>
      <c r="S29"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0" spans="1:19" x14ac:dyDescent="0.35">
      <c r="A30" s="9"/>
      <c r="B30" s="1"/>
      <c r="C30" s="2"/>
      <c r="D30" s="2"/>
      <c r="E30" s="3"/>
      <c r="F30" s="3"/>
      <c r="G30" s="3"/>
      <c r="H30" s="3"/>
      <c r="I30" s="57">
        <f>0.1*(Horaires356739[[#This Row],[Heures de nuit]]+Horaires356739[[#This Row],[heures jour dimanche]]+Horaires356739[[#This Row],[heures jour fériés]])</f>
        <v>0</v>
      </c>
      <c r="J30" s="58">
        <f>(MOD(Horaires356739[[#This Row],[Fin]]-Horaires356739[[#This Row],[début]],1)-MOD(Horaires356739[[#This Row],[PNP Fin]]-Horaires356739[[#This Row],[PNP Début]],1))*24</f>
        <v>0</v>
      </c>
      <c r="K30" s="59">
        <f>IF(Horaires356739[[#This Row],[PNP Début]]=0,0,IF(Horaires356739[[#This Row],[PNP Début]]&lt;Horaires356739[[#This Row],[début]],1,0)+Horaires356739[[#This Row],[PNP Début]])</f>
        <v>0</v>
      </c>
      <c r="L30" s="60">
        <f>IF(Horaires356739[[#This Row],[PNP Fin]]=0,0,IF(Horaires356739[[#This Row],[PNP Fin]]&lt;Horaires356739[[#This Row],[début]],1,0)+Horaires356739[[#This Row],[PNP Fin]])</f>
        <v>0</v>
      </c>
      <c r="M30" s="60">
        <f>IF(Horaires356739[[#This Row],[Fin]]&lt;Horaires356739[[#This Row],[début]],1,0)+Horaires356739[[#This Row],[Fin]]</f>
        <v>0</v>
      </c>
      <c r="N30" s="61">
        <f>MAX(0,MIN(Horaires356739[[#This Row],[Fin corrigée si nuit]],fin_nuit)-MAX(Horaires356739[[#This Row],[début]],deb_nuit))*24</f>
        <v>0</v>
      </c>
      <c r="O30" s="62">
        <f>(MAX(0,MIN(Horaires356739[[#This Row],[Fin corrigée si nuit]],fin_nuit)-MAX(Horaires356739[[#This Row],[début]],deb_nuit))-IF(Horaires356739[[#This Row],[PNP Début]]=0,0,MIN(Horaires356739[[#This Row],[PNP Fin corrigée]],fin_nuit)-MAX(Horaires356739[[#This Row],[PNP Début corrigé]],deb_nuit)))*24</f>
        <v>0</v>
      </c>
      <c r="P30" s="62">
        <f>(IF(WEEKDAY(Horaires356739[[#This Row],[Date]],2)=7,MAX(0,MIN(fin_dimJF,Horaires356739[[#This Row],[Fin corrigée si nuit]])-MAX(deb_dimJF,Horaires356739[[#This Row],[début]])),0)+IF(WEEKDAY(Horaires356739[[#This Row],[Date]],2)=6,MAX(0,Horaires356739[[#This Row],[Fin corrigée si nuit]]-(1+deb_dimJF)),0))*24</f>
        <v>0</v>
      </c>
      <c r="Q30"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0" s="62">
        <f>(IF(COUNTIF(JF,Horaires356739[[#This Row],[Date]]),MAX(0,MIN(fin_dimJF,Horaires356739[[#This Row],[Fin corrigée si nuit]])-MAX(deb_dimJF,Horaires356739[[#This Row],[début]])),0)+IF(COUNTIF(JF,Horaires356739[[#This Row],[Date]]+1),MAX(0,Horaires356739[[#This Row],[Fin corrigée si nuit]]-(1+deb_dimJF)),0))*24</f>
        <v>0</v>
      </c>
      <c r="S30"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1" spans="1:19" x14ac:dyDescent="0.35">
      <c r="A31" s="9"/>
      <c r="B31" s="1"/>
      <c r="C31" s="2"/>
      <c r="D31" s="2"/>
      <c r="E31" s="3"/>
      <c r="F31" s="3"/>
      <c r="G31" s="3"/>
      <c r="H31" s="3"/>
      <c r="I31" s="57">
        <f>0.1*(Horaires356739[[#This Row],[Heures de nuit]]+Horaires356739[[#This Row],[heures jour dimanche]]+Horaires356739[[#This Row],[heures jour fériés]])</f>
        <v>0</v>
      </c>
      <c r="J31" s="58">
        <f>(MOD(Horaires356739[[#This Row],[Fin]]-Horaires356739[[#This Row],[début]],1)-MOD(Horaires356739[[#This Row],[PNP Fin]]-Horaires356739[[#This Row],[PNP Début]],1))*24</f>
        <v>0</v>
      </c>
      <c r="K31" s="59">
        <f>IF(Horaires356739[[#This Row],[PNP Début]]=0,0,IF(Horaires356739[[#This Row],[PNP Début]]&lt;Horaires356739[[#This Row],[début]],1,0)+Horaires356739[[#This Row],[PNP Début]])</f>
        <v>0</v>
      </c>
      <c r="L31" s="60">
        <f>IF(Horaires356739[[#This Row],[PNP Fin]]=0,0,IF(Horaires356739[[#This Row],[PNP Fin]]&lt;Horaires356739[[#This Row],[début]],1,0)+Horaires356739[[#This Row],[PNP Fin]])</f>
        <v>0</v>
      </c>
      <c r="M31" s="60">
        <f>IF(Horaires356739[[#This Row],[Fin]]&lt;Horaires356739[[#This Row],[début]],1,0)+Horaires356739[[#This Row],[Fin]]</f>
        <v>0</v>
      </c>
      <c r="N31" s="61">
        <f>MAX(0,MIN(Horaires356739[[#This Row],[Fin corrigée si nuit]],fin_nuit)-MAX(Horaires356739[[#This Row],[début]],deb_nuit))*24</f>
        <v>0</v>
      </c>
      <c r="O31" s="62">
        <f>(MAX(0,MIN(Horaires356739[[#This Row],[Fin corrigée si nuit]],fin_nuit)-MAX(Horaires356739[[#This Row],[début]],deb_nuit))-IF(Horaires356739[[#This Row],[PNP Début]]=0,0,MIN(Horaires356739[[#This Row],[PNP Fin corrigée]],fin_nuit)-MAX(Horaires356739[[#This Row],[PNP Début corrigé]],deb_nuit)))*24</f>
        <v>0</v>
      </c>
      <c r="P31" s="62">
        <f>(IF(WEEKDAY(Horaires356739[[#This Row],[Date]],2)=7,MAX(0,MIN(fin_dimJF,Horaires356739[[#This Row],[Fin corrigée si nuit]])-MAX(deb_dimJF,Horaires356739[[#This Row],[début]])),0)+IF(WEEKDAY(Horaires356739[[#This Row],[Date]],2)=6,MAX(0,Horaires356739[[#This Row],[Fin corrigée si nuit]]-(1+deb_dimJF)),0))*24</f>
        <v>0</v>
      </c>
      <c r="Q31"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1" s="62">
        <f>(IF(COUNTIF(JF,Horaires356739[[#This Row],[Date]]),MAX(0,MIN(fin_dimJF,Horaires356739[[#This Row],[Fin corrigée si nuit]])-MAX(deb_dimJF,Horaires356739[[#This Row],[début]])),0)+IF(COUNTIF(JF,Horaires356739[[#This Row],[Date]]+1),MAX(0,Horaires356739[[#This Row],[Fin corrigée si nuit]]-(1+deb_dimJF)),0))*24</f>
        <v>0</v>
      </c>
      <c r="S31"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2" spans="1:19" ht="14.5" customHeight="1" x14ac:dyDescent="0.35">
      <c r="A32" s="9"/>
      <c r="B32" s="1"/>
      <c r="C32" s="2"/>
      <c r="D32" s="2"/>
      <c r="E32" s="3"/>
      <c r="F32" s="3"/>
      <c r="G32" s="3"/>
      <c r="H32" s="3"/>
      <c r="I32" s="57">
        <f>0.1*(Horaires356739[[#This Row],[Heures de nuit]]+Horaires356739[[#This Row],[heures jour dimanche]]+Horaires356739[[#This Row],[heures jour fériés]])</f>
        <v>0</v>
      </c>
      <c r="J32" s="58">
        <f>(MOD(Horaires356739[[#This Row],[Fin]]-Horaires356739[[#This Row],[début]],1)-MOD(Horaires356739[[#This Row],[PNP Fin]]-Horaires356739[[#This Row],[PNP Début]],1))*24</f>
        <v>0</v>
      </c>
      <c r="K32" s="59">
        <f>IF(Horaires356739[[#This Row],[PNP Début]]=0,0,IF(Horaires356739[[#This Row],[PNP Début]]&lt;Horaires356739[[#This Row],[début]],1,0)+Horaires356739[[#This Row],[PNP Début]])</f>
        <v>0</v>
      </c>
      <c r="L32" s="60">
        <f>IF(Horaires356739[[#This Row],[PNP Fin]]=0,0,IF(Horaires356739[[#This Row],[PNP Fin]]&lt;Horaires356739[[#This Row],[début]],1,0)+Horaires356739[[#This Row],[PNP Fin]])</f>
        <v>0</v>
      </c>
      <c r="M32" s="60">
        <f>IF(Horaires356739[[#This Row],[Fin]]&lt;Horaires356739[[#This Row],[début]],1,0)+Horaires356739[[#This Row],[Fin]]</f>
        <v>0</v>
      </c>
      <c r="N32" s="61">
        <f>MAX(0,MIN(Horaires356739[[#This Row],[Fin corrigée si nuit]],fin_nuit)-MAX(Horaires356739[[#This Row],[début]],deb_nuit))*24</f>
        <v>0</v>
      </c>
      <c r="O32" s="62">
        <f>(MAX(0,MIN(Horaires356739[[#This Row],[Fin corrigée si nuit]],fin_nuit)-MAX(Horaires356739[[#This Row],[début]],deb_nuit))-IF(Horaires356739[[#This Row],[PNP Début]]=0,0,MIN(Horaires356739[[#This Row],[PNP Fin corrigée]],fin_nuit)-MAX(Horaires356739[[#This Row],[PNP Début corrigé]],deb_nuit)))*24</f>
        <v>0</v>
      </c>
      <c r="P32" s="62">
        <f>(IF(WEEKDAY(Horaires356739[[#This Row],[Date]],2)=7,MAX(0,MIN(fin_dimJF,Horaires356739[[#This Row],[Fin corrigée si nuit]])-MAX(deb_dimJF,Horaires356739[[#This Row],[début]])),0)+IF(WEEKDAY(Horaires356739[[#This Row],[Date]],2)=6,MAX(0,Horaires356739[[#This Row],[Fin corrigée si nuit]]-(1+deb_dimJF)),0))*24</f>
        <v>0</v>
      </c>
      <c r="Q32"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2" s="62">
        <f>(IF(COUNTIF(JF,Horaires356739[[#This Row],[Date]]),MAX(0,MIN(fin_dimJF,Horaires356739[[#This Row],[Fin corrigée si nuit]])-MAX(deb_dimJF,Horaires356739[[#This Row],[début]])),0)+IF(COUNTIF(JF,Horaires356739[[#This Row],[Date]]+1),MAX(0,Horaires356739[[#This Row],[Fin corrigée si nuit]]-(1+deb_dimJF)),0))*24</f>
        <v>0</v>
      </c>
      <c r="S32"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3" spans="1:19" x14ac:dyDescent="0.35">
      <c r="A33" s="9"/>
      <c r="B33" s="1"/>
      <c r="C33" s="2"/>
      <c r="D33" s="2"/>
      <c r="E33" s="3"/>
      <c r="F33" s="3"/>
      <c r="G33" s="3"/>
      <c r="H33" s="3"/>
      <c r="I33" s="57">
        <f>0.1*(Horaires356739[[#This Row],[Heures de nuit]]+Horaires356739[[#This Row],[heures jour dimanche]]+Horaires356739[[#This Row],[heures jour fériés]])</f>
        <v>0</v>
      </c>
      <c r="J33" s="58">
        <f>(MOD(Horaires356739[[#This Row],[Fin]]-Horaires356739[[#This Row],[début]],1)-MOD(Horaires356739[[#This Row],[PNP Fin]]-Horaires356739[[#This Row],[PNP Début]],1))*24</f>
        <v>0</v>
      </c>
      <c r="K33" s="59">
        <f>IF(Horaires356739[[#This Row],[PNP Début]]=0,0,IF(Horaires356739[[#This Row],[PNP Début]]&lt;Horaires356739[[#This Row],[début]],1,0)+Horaires356739[[#This Row],[PNP Début]])</f>
        <v>0</v>
      </c>
      <c r="L33" s="60">
        <f>IF(Horaires356739[[#This Row],[PNP Fin]]=0,0,IF(Horaires356739[[#This Row],[PNP Fin]]&lt;Horaires356739[[#This Row],[début]],1,0)+Horaires356739[[#This Row],[PNP Fin]])</f>
        <v>0</v>
      </c>
      <c r="M33" s="60">
        <f>IF(Horaires356739[[#This Row],[Fin]]&lt;Horaires356739[[#This Row],[début]],1,0)+Horaires356739[[#This Row],[Fin]]</f>
        <v>0</v>
      </c>
      <c r="N33" s="61">
        <f>MAX(0,MIN(Horaires356739[[#This Row],[Fin corrigée si nuit]],fin_nuit)-MAX(Horaires356739[[#This Row],[début]],deb_nuit))*24</f>
        <v>0</v>
      </c>
      <c r="O33" s="62">
        <f>(MAX(0,MIN(Horaires356739[[#This Row],[Fin corrigée si nuit]],fin_nuit)-MAX(Horaires356739[[#This Row],[début]],deb_nuit))-IF(Horaires356739[[#This Row],[PNP Début]]=0,0,MIN(Horaires356739[[#This Row],[PNP Fin corrigée]],fin_nuit)-MAX(Horaires356739[[#This Row],[PNP Début corrigé]],deb_nuit)))*24</f>
        <v>0</v>
      </c>
      <c r="P33" s="62">
        <f>(IF(WEEKDAY(Horaires356739[[#This Row],[Date]],2)=7,MAX(0,MIN(fin_dimJF,Horaires356739[[#This Row],[Fin corrigée si nuit]])-MAX(deb_dimJF,Horaires356739[[#This Row],[début]])),0)+IF(WEEKDAY(Horaires356739[[#This Row],[Date]],2)=6,MAX(0,Horaires356739[[#This Row],[Fin corrigée si nuit]]-(1+deb_dimJF)),0))*24</f>
        <v>0</v>
      </c>
      <c r="Q33"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3" s="62">
        <f>(IF(COUNTIF(JF,Horaires356739[[#This Row],[Date]]),MAX(0,MIN(fin_dimJF,Horaires356739[[#This Row],[Fin corrigée si nuit]])-MAX(deb_dimJF,Horaires356739[[#This Row],[début]])),0)+IF(COUNTIF(JF,Horaires356739[[#This Row],[Date]]+1),MAX(0,Horaires356739[[#This Row],[Fin corrigée si nuit]]-(1+deb_dimJF)),0))*24</f>
        <v>0</v>
      </c>
      <c r="S33"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4" spans="1:19" x14ac:dyDescent="0.35">
      <c r="A34" s="9"/>
      <c r="B34" s="1"/>
      <c r="C34" s="2"/>
      <c r="D34" s="2"/>
      <c r="E34" s="3"/>
      <c r="F34" s="3"/>
      <c r="G34" s="3"/>
      <c r="H34" s="3"/>
      <c r="I34" s="57">
        <f>0.1*(Horaires356739[[#This Row],[Heures de nuit]]+Horaires356739[[#This Row],[heures jour dimanche]]+Horaires356739[[#This Row],[heures jour fériés]])</f>
        <v>0</v>
      </c>
      <c r="J34" s="58">
        <f>(MOD(Horaires356739[[#This Row],[Fin]]-Horaires356739[[#This Row],[début]],1)-MOD(Horaires356739[[#This Row],[PNP Fin]]-Horaires356739[[#This Row],[PNP Début]],1))*24</f>
        <v>0</v>
      </c>
      <c r="K34" s="59">
        <f>IF(Horaires356739[[#This Row],[PNP Début]]=0,0,IF(Horaires356739[[#This Row],[PNP Début]]&lt;Horaires356739[[#This Row],[début]],1,0)+Horaires356739[[#This Row],[PNP Début]])</f>
        <v>0</v>
      </c>
      <c r="L34" s="60">
        <f>IF(Horaires356739[[#This Row],[PNP Fin]]=0,0,IF(Horaires356739[[#This Row],[PNP Fin]]&lt;Horaires356739[[#This Row],[début]],1,0)+Horaires356739[[#This Row],[PNP Fin]])</f>
        <v>0</v>
      </c>
      <c r="M34" s="60">
        <f>IF(Horaires356739[[#This Row],[Fin]]&lt;Horaires356739[[#This Row],[début]],1,0)+Horaires356739[[#This Row],[Fin]]</f>
        <v>0</v>
      </c>
      <c r="N34" s="61">
        <f>MAX(0,MIN(Horaires356739[[#This Row],[Fin corrigée si nuit]],fin_nuit)-MAX(Horaires356739[[#This Row],[début]],deb_nuit))*24</f>
        <v>0</v>
      </c>
      <c r="O34" s="62">
        <f>(MAX(0,MIN(Horaires356739[[#This Row],[Fin corrigée si nuit]],fin_nuit)-MAX(Horaires356739[[#This Row],[début]],deb_nuit))-IF(Horaires356739[[#This Row],[PNP Début]]=0,0,MIN(Horaires356739[[#This Row],[PNP Fin corrigée]],fin_nuit)-MAX(Horaires356739[[#This Row],[PNP Début corrigé]],deb_nuit)))*24</f>
        <v>0</v>
      </c>
      <c r="P34" s="62">
        <f>(IF(WEEKDAY(Horaires356739[[#This Row],[Date]],2)=7,MAX(0,MIN(fin_dimJF,Horaires356739[[#This Row],[Fin corrigée si nuit]])-MAX(deb_dimJF,Horaires356739[[#This Row],[début]])),0)+IF(WEEKDAY(Horaires356739[[#This Row],[Date]],2)=6,MAX(0,Horaires356739[[#This Row],[Fin corrigée si nuit]]-(1+deb_dimJF)),0))*24</f>
        <v>0</v>
      </c>
      <c r="Q34"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4" s="62">
        <f>(IF(COUNTIF(JF,Horaires356739[[#This Row],[Date]]),MAX(0,MIN(fin_dimJF,Horaires356739[[#This Row],[Fin corrigée si nuit]])-MAX(deb_dimJF,Horaires356739[[#This Row],[début]])),0)+IF(COUNTIF(JF,Horaires356739[[#This Row],[Date]]+1),MAX(0,Horaires356739[[#This Row],[Fin corrigée si nuit]]-(1+deb_dimJF)),0))*24</f>
        <v>0</v>
      </c>
      <c r="S34"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5" spans="1:19" x14ac:dyDescent="0.35">
      <c r="A35" s="9"/>
      <c r="B35" s="1"/>
      <c r="C35" s="2"/>
      <c r="D35" s="2"/>
      <c r="E35" s="3"/>
      <c r="F35" s="3"/>
      <c r="G35" s="3"/>
      <c r="H35" s="3"/>
      <c r="I35" s="57">
        <f>0.1*(Horaires356739[[#This Row],[Heures de nuit]]+Horaires356739[[#This Row],[heures jour dimanche]]+Horaires356739[[#This Row],[heures jour fériés]])</f>
        <v>0</v>
      </c>
      <c r="J35" s="58">
        <f>(MOD(Horaires356739[[#This Row],[Fin]]-Horaires356739[[#This Row],[début]],1)-MOD(Horaires356739[[#This Row],[PNP Fin]]-Horaires356739[[#This Row],[PNP Début]],1))*24</f>
        <v>0</v>
      </c>
      <c r="K35" s="59">
        <f>IF(Horaires356739[[#This Row],[PNP Début]]=0,0,IF(Horaires356739[[#This Row],[PNP Début]]&lt;Horaires356739[[#This Row],[début]],1,0)+Horaires356739[[#This Row],[PNP Début]])</f>
        <v>0</v>
      </c>
      <c r="L35" s="60">
        <f>IF(Horaires356739[[#This Row],[PNP Fin]]=0,0,IF(Horaires356739[[#This Row],[PNP Fin]]&lt;Horaires356739[[#This Row],[début]],1,0)+Horaires356739[[#This Row],[PNP Fin]])</f>
        <v>0</v>
      </c>
      <c r="M35" s="60">
        <f>IF(Horaires356739[[#This Row],[Fin]]&lt;Horaires356739[[#This Row],[début]],1,0)+Horaires356739[[#This Row],[Fin]]</f>
        <v>0</v>
      </c>
      <c r="N35" s="61">
        <f>MAX(0,MIN(Horaires356739[[#This Row],[Fin corrigée si nuit]],fin_nuit)-MAX(Horaires356739[[#This Row],[début]],deb_nuit))*24</f>
        <v>0</v>
      </c>
      <c r="O35" s="62">
        <f>(MAX(0,MIN(Horaires356739[[#This Row],[Fin corrigée si nuit]],fin_nuit)-MAX(Horaires356739[[#This Row],[début]],deb_nuit))-IF(Horaires356739[[#This Row],[PNP Début]]=0,0,MIN(Horaires356739[[#This Row],[PNP Fin corrigée]],fin_nuit)-MAX(Horaires356739[[#This Row],[PNP Début corrigé]],deb_nuit)))*24</f>
        <v>0</v>
      </c>
      <c r="P35" s="62">
        <f>(IF(WEEKDAY(Horaires356739[[#This Row],[Date]],2)=7,MAX(0,MIN(fin_dimJF,Horaires356739[[#This Row],[Fin corrigée si nuit]])-MAX(deb_dimJF,Horaires356739[[#This Row],[début]])),0)+IF(WEEKDAY(Horaires356739[[#This Row],[Date]],2)=6,MAX(0,Horaires356739[[#This Row],[Fin corrigée si nuit]]-(1+deb_dimJF)),0))*24</f>
        <v>0</v>
      </c>
      <c r="Q35"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5" s="62">
        <f>(IF(COUNTIF(JF,Horaires356739[[#This Row],[Date]]),MAX(0,MIN(fin_dimJF,Horaires356739[[#This Row],[Fin corrigée si nuit]])-MAX(deb_dimJF,Horaires356739[[#This Row],[début]])),0)+IF(COUNTIF(JF,Horaires356739[[#This Row],[Date]]+1),MAX(0,Horaires356739[[#This Row],[Fin corrigée si nuit]]-(1+deb_dimJF)),0))*24</f>
        <v>0</v>
      </c>
      <c r="S35"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6" spans="1:19" x14ac:dyDescent="0.35">
      <c r="A36" s="9"/>
      <c r="B36" s="1"/>
      <c r="C36" s="2"/>
      <c r="D36" s="2"/>
      <c r="E36" s="3"/>
      <c r="F36" s="3"/>
      <c r="G36" s="3"/>
      <c r="H36" s="3"/>
      <c r="I36" s="57">
        <f>0.1*(Horaires356739[[#This Row],[Heures de nuit]]+Horaires356739[[#This Row],[heures jour dimanche]]+Horaires356739[[#This Row],[heures jour fériés]])</f>
        <v>0</v>
      </c>
      <c r="J36" s="58">
        <f>(MOD(Horaires356739[[#This Row],[Fin]]-Horaires356739[[#This Row],[début]],1)-MOD(Horaires356739[[#This Row],[PNP Fin]]-Horaires356739[[#This Row],[PNP Début]],1))*24</f>
        <v>0</v>
      </c>
      <c r="K36" s="59">
        <f>IF(Horaires356739[[#This Row],[PNP Début]]=0,0,IF(Horaires356739[[#This Row],[PNP Début]]&lt;Horaires356739[[#This Row],[début]],1,0)+Horaires356739[[#This Row],[PNP Début]])</f>
        <v>0</v>
      </c>
      <c r="L36" s="60">
        <f>IF(Horaires356739[[#This Row],[PNP Fin]]=0,0,IF(Horaires356739[[#This Row],[PNP Fin]]&lt;Horaires356739[[#This Row],[début]],1,0)+Horaires356739[[#This Row],[PNP Fin]])</f>
        <v>0</v>
      </c>
      <c r="M36" s="60">
        <f>IF(Horaires356739[[#This Row],[Fin]]&lt;Horaires356739[[#This Row],[début]],1,0)+Horaires356739[[#This Row],[Fin]]</f>
        <v>0</v>
      </c>
      <c r="N36" s="61">
        <f>MAX(0,MIN(Horaires356739[[#This Row],[Fin corrigée si nuit]],fin_nuit)-MAX(Horaires356739[[#This Row],[début]],deb_nuit))*24</f>
        <v>0</v>
      </c>
      <c r="O36" s="62">
        <f>(MAX(0,MIN(Horaires356739[[#This Row],[Fin corrigée si nuit]],fin_nuit)-MAX(Horaires356739[[#This Row],[début]],deb_nuit))-IF(Horaires356739[[#This Row],[PNP Début]]=0,0,MIN(Horaires356739[[#This Row],[PNP Fin corrigée]],fin_nuit)-MAX(Horaires356739[[#This Row],[PNP Début corrigé]],deb_nuit)))*24</f>
        <v>0</v>
      </c>
      <c r="P36" s="62">
        <f>(IF(WEEKDAY(Horaires356739[[#This Row],[Date]],2)=7,MAX(0,MIN(fin_dimJF,Horaires356739[[#This Row],[Fin corrigée si nuit]])-MAX(deb_dimJF,Horaires356739[[#This Row],[début]])),0)+IF(WEEKDAY(Horaires356739[[#This Row],[Date]],2)=6,MAX(0,Horaires356739[[#This Row],[Fin corrigée si nuit]]-(1+deb_dimJF)),0))*24</f>
        <v>0</v>
      </c>
      <c r="Q36"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6" s="62">
        <f>(IF(COUNTIF(JF,Horaires356739[[#This Row],[Date]]),MAX(0,MIN(fin_dimJF,Horaires356739[[#This Row],[Fin corrigée si nuit]])-MAX(deb_dimJF,Horaires356739[[#This Row],[début]])),0)+IF(COUNTIF(JF,Horaires356739[[#This Row],[Date]]+1),MAX(0,Horaires356739[[#This Row],[Fin corrigée si nuit]]-(1+deb_dimJF)),0))*24</f>
        <v>0</v>
      </c>
      <c r="S36"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7" spans="1:19" x14ac:dyDescent="0.35">
      <c r="A37" s="9"/>
      <c r="B37" s="1"/>
      <c r="C37" s="2"/>
      <c r="D37" s="2"/>
      <c r="E37" s="3"/>
      <c r="F37" s="3"/>
      <c r="G37" s="3"/>
      <c r="H37" s="3"/>
      <c r="I37" s="57">
        <f>0.1*(Horaires356739[[#This Row],[Heures de nuit]]+Horaires356739[[#This Row],[heures jour dimanche]]+Horaires356739[[#This Row],[heures jour fériés]])</f>
        <v>0</v>
      </c>
      <c r="J37" s="58">
        <f>(MOD(Horaires356739[[#This Row],[Fin]]-Horaires356739[[#This Row],[début]],1)-MOD(Horaires356739[[#This Row],[PNP Fin]]-Horaires356739[[#This Row],[PNP Début]],1))*24</f>
        <v>0</v>
      </c>
      <c r="K37" s="59">
        <f>IF(Horaires356739[[#This Row],[PNP Début]]=0,0,IF(Horaires356739[[#This Row],[PNP Début]]&lt;Horaires356739[[#This Row],[début]],1,0)+Horaires356739[[#This Row],[PNP Début]])</f>
        <v>0</v>
      </c>
      <c r="L37" s="60">
        <f>IF(Horaires356739[[#This Row],[PNP Fin]]=0,0,IF(Horaires356739[[#This Row],[PNP Fin]]&lt;Horaires356739[[#This Row],[début]],1,0)+Horaires356739[[#This Row],[PNP Fin]])</f>
        <v>0</v>
      </c>
      <c r="M37" s="60">
        <f>IF(Horaires356739[[#This Row],[Fin]]&lt;Horaires356739[[#This Row],[début]],1,0)+Horaires356739[[#This Row],[Fin]]</f>
        <v>0</v>
      </c>
      <c r="N37" s="61">
        <f>MAX(0,MIN(Horaires356739[[#This Row],[Fin corrigée si nuit]],fin_nuit)-MAX(Horaires356739[[#This Row],[début]],deb_nuit))*24</f>
        <v>0</v>
      </c>
      <c r="O37" s="62">
        <f>(MAX(0,MIN(Horaires356739[[#This Row],[Fin corrigée si nuit]],fin_nuit)-MAX(Horaires356739[[#This Row],[début]],deb_nuit))-IF(Horaires356739[[#This Row],[PNP Début]]=0,0,MIN(Horaires356739[[#This Row],[PNP Fin corrigée]],fin_nuit)-MAX(Horaires356739[[#This Row],[PNP Début corrigé]],deb_nuit)))*24</f>
        <v>0</v>
      </c>
      <c r="P37" s="62">
        <f>(IF(WEEKDAY(Horaires356739[[#This Row],[Date]],2)=7,MAX(0,MIN(fin_dimJF,Horaires356739[[#This Row],[Fin corrigée si nuit]])-MAX(deb_dimJF,Horaires356739[[#This Row],[début]])),0)+IF(WEEKDAY(Horaires356739[[#This Row],[Date]],2)=6,MAX(0,Horaires356739[[#This Row],[Fin corrigée si nuit]]-(1+deb_dimJF)),0))*24</f>
        <v>0</v>
      </c>
      <c r="Q37"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7" s="62">
        <f>(IF(COUNTIF(JF,Horaires356739[[#This Row],[Date]]),MAX(0,MIN(fin_dimJF,Horaires356739[[#This Row],[Fin corrigée si nuit]])-MAX(deb_dimJF,Horaires356739[[#This Row],[début]])),0)+IF(COUNTIF(JF,Horaires356739[[#This Row],[Date]]+1),MAX(0,Horaires356739[[#This Row],[Fin corrigée si nuit]]-(1+deb_dimJF)),0))*24</f>
        <v>0</v>
      </c>
      <c r="S37"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8" spans="1:19" x14ac:dyDescent="0.35">
      <c r="A38" s="9"/>
      <c r="B38" s="1"/>
      <c r="C38" s="2"/>
      <c r="D38" s="2"/>
      <c r="E38" s="3"/>
      <c r="F38" s="3"/>
      <c r="G38" s="3"/>
      <c r="H38" s="3"/>
      <c r="I38" s="57">
        <f>0.1*(Horaires356739[[#This Row],[Heures de nuit]]+Horaires356739[[#This Row],[heures jour dimanche]]+Horaires356739[[#This Row],[heures jour fériés]])</f>
        <v>0</v>
      </c>
      <c r="J38" s="58">
        <f>(MOD(Horaires356739[[#This Row],[Fin]]-Horaires356739[[#This Row],[début]],1)-MOD(Horaires356739[[#This Row],[PNP Fin]]-Horaires356739[[#This Row],[PNP Début]],1))*24</f>
        <v>0</v>
      </c>
      <c r="K38" s="59">
        <f>IF(Horaires356739[[#This Row],[PNP Début]]=0,0,IF(Horaires356739[[#This Row],[PNP Début]]&lt;Horaires356739[[#This Row],[début]],1,0)+Horaires356739[[#This Row],[PNP Début]])</f>
        <v>0</v>
      </c>
      <c r="L38" s="60">
        <f>IF(Horaires356739[[#This Row],[PNP Fin]]=0,0,IF(Horaires356739[[#This Row],[PNP Fin]]&lt;Horaires356739[[#This Row],[début]],1,0)+Horaires356739[[#This Row],[PNP Fin]])</f>
        <v>0</v>
      </c>
      <c r="M38" s="60">
        <f>IF(Horaires356739[[#This Row],[Fin]]&lt;Horaires356739[[#This Row],[début]],1,0)+Horaires356739[[#This Row],[Fin]]</f>
        <v>0</v>
      </c>
      <c r="N38" s="61">
        <f>MAX(0,MIN(Horaires356739[[#This Row],[Fin corrigée si nuit]],fin_nuit)-MAX(Horaires356739[[#This Row],[début]],deb_nuit))*24</f>
        <v>0</v>
      </c>
      <c r="O38" s="62">
        <f>(MAX(0,MIN(Horaires356739[[#This Row],[Fin corrigée si nuit]],fin_nuit)-MAX(Horaires356739[[#This Row],[début]],deb_nuit))-IF(Horaires356739[[#This Row],[PNP Début]]=0,0,MIN(Horaires356739[[#This Row],[PNP Fin corrigée]],fin_nuit)-MAX(Horaires356739[[#This Row],[PNP Début corrigé]],deb_nuit)))*24</f>
        <v>0</v>
      </c>
      <c r="P38" s="62">
        <f>(IF(WEEKDAY(Horaires356739[[#This Row],[Date]],2)=7,MAX(0,MIN(fin_dimJF,Horaires356739[[#This Row],[Fin corrigée si nuit]])-MAX(deb_dimJF,Horaires356739[[#This Row],[début]])),0)+IF(WEEKDAY(Horaires356739[[#This Row],[Date]],2)=6,MAX(0,Horaires356739[[#This Row],[Fin corrigée si nuit]]-(1+deb_dimJF)),0))*24</f>
        <v>0</v>
      </c>
      <c r="Q38"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8" s="62">
        <f>(IF(COUNTIF(JF,Horaires356739[[#This Row],[Date]]),MAX(0,MIN(fin_dimJF,Horaires356739[[#This Row],[Fin corrigée si nuit]])-MAX(deb_dimJF,Horaires356739[[#This Row],[début]])),0)+IF(COUNTIF(JF,Horaires356739[[#This Row],[Date]]+1),MAX(0,Horaires356739[[#This Row],[Fin corrigée si nuit]]-(1+deb_dimJF)),0))*24</f>
        <v>0</v>
      </c>
      <c r="S38"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39" spans="1:19" x14ac:dyDescent="0.35">
      <c r="A39" s="9"/>
      <c r="B39" s="1"/>
      <c r="C39" s="2"/>
      <c r="D39" s="2"/>
      <c r="E39" s="3"/>
      <c r="F39" s="3"/>
      <c r="G39" s="3"/>
      <c r="H39" s="3"/>
      <c r="I39" s="57">
        <f>0.1*(Horaires356739[[#This Row],[Heures de nuit]]+Horaires356739[[#This Row],[heures jour dimanche]]+Horaires356739[[#This Row],[heures jour fériés]])</f>
        <v>0</v>
      </c>
      <c r="J39" s="58">
        <f>(MOD(Horaires356739[[#This Row],[Fin]]-Horaires356739[[#This Row],[début]],1)-MOD(Horaires356739[[#This Row],[PNP Fin]]-Horaires356739[[#This Row],[PNP Début]],1))*24</f>
        <v>0</v>
      </c>
      <c r="K39" s="59">
        <f>IF(Horaires356739[[#This Row],[PNP Début]]=0,0,IF(Horaires356739[[#This Row],[PNP Début]]&lt;Horaires356739[[#This Row],[début]],1,0)+Horaires356739[[#This Row],[PNP Début]])</f>
        <v>0</v>
      </c>
      <c r="L39" s="60">
        <f>IF(Horaires356739[[#This Row],[PNP Fin]]=0,0,IF(Horaires356739[[#This Row],[PNP Fin]]&lt;Horaires356739[[#This Row],[début]],1,0)+Horaires356739[[#This Row],[PNP Fin]])</f>
        <v>0</v>
      </c>
      <c r="M39" s="60">
        <f>IF(Horaires356739[[#This Row],[Fin]]&lt;Horaires356739[[#This Row],[début]],1,0)+Horaires356739[[#This Row],[Fin]]</f>
        <v>0</v>
      </c>
      <c r="N39" s="61">
        <f>MAX(0,MIN(Horaires356739[[#This Row],[Fin corrigée si nuit]],fin_nuit)-MAX(Horaires356739[[#This Row],[début]],deb_nuit))*24</f>
        <v>0</v>
      </c>
      <c r="O39" s="62">
        <f>(MAX(0,MIN(Horaires356739[[#This Row],[Fin corrigée si nuit]],fin_nuit)-MAX(Horaires356739[[#This Row],[début]],deb_nuit))-IF(Horaires356739[[#This Row],[PNP Début]]=0,0,MIN(Horaires356739[[#This Row],[PNP Fin corrigée]],fin_nuit)-MAX(Horaires356739[[#This Row],[PNP Début corrigé]],deb_nuit)))*24</f>
        <v>0</v>
      </c>
      <c r="P39" s="62">
        <f>(IF(WEEKDAY(Horaires356739[[#This Row],[Date]],2)=7,MAX(0,MIN(fin_dimJF,Horaires356739[[#This Row],[Fin corrigée si nuit]])-MAX(deb_dimJF,Horaires356739[[#This Row],[début]])),0)+IF(WEEKDAY(Horaires356739[[#This Row],[Date]],2)=6,MAX(0,Horaires356739[[#This Row],[Fin corrigée si nuit]]-(1+deb_dimJF)),0))*24</f>
        <v>0</v>
      </c>
      <c r="Q39"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39" s="62">
        <f>(IF(COUNTIF(JF,Horaires356739[[#This Row],[Date]]),MAX(0,MIN(fin_dimJF,Horaires356739[[#This Row],[Fin corrigée si nuit]])-MAX(deb_dimJF,Horaires356739[[#This Row],[début]])),0)+IF(COUNTIF(JF,Horaires356739[[#This Row],[Date]]+1),MAX(0,Horaires356739[[#This Row],[Fin corrigée si nuit]]-(1+deb_dimJF)),0))*24</f>
        <v>0</v>
      </c>
      <c r="S39"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0" spans="1:19" x14ac:dyDescent="0.35">
      <c r="A40" s="9"/>
      <c r="B40" s="1"/>
      <c r="C40" s="2"/>
      <c r="D40" s="2"/>
      <c r="E40" s="3"/>
      <c r="F40" s="3"/>
      <c r="G40" s="3"/>
      <c r="H40" s="3"/>
      <c r="I40" s="57">
        <f>0.1*(Horaires356739[[#This Row],[Heures de nuit]]+Horaires356739[[#This Row],[heures jour dimanche]]+Horaires356739[[#This Row],[heures jour fériés]])</f>
        <v>0</v>
      </c>
      <c r="J40" s="58">
        <f>(MOD(Horaires356739[[#This Row],[Fin]]-Horaires356739[[#This Row],[début]],1)-MOD(Horaires356739[[#This Row],[PNP Fin]]-Horaires356739[[#This Row],[PNP Début]],1))*24</f>
        <v>0</v>
      </c>
      <c r="K40" s="59">
        <f>IF(Horaires356739[[#This Row],[PNP Début]]=0,0,IF(Horaires356739[[#This Row],[PNP Début]]&lt;Horaires356739[[#This Row],[début]],1,0)+Horaires356739[[#This Row],[PNP Début]])</f>
        <v>0</v>
      </c>
      <c r="L40" s="60">
        <f>IF(Horaires356739[[#This Row],[PNP Fin]]=0,0,IF(Horaires356739[[#This Row],[PNP Fin]]&lt;Horaires356739[[#This Row],[début]],1,0)+Horaires356739[[#This Row],[PNP Fin]])</f>
        <v>0</v>
      </c>
      <c r="M40" s="60">
        <f>IF(Horaires356739[[#This Row],[Fin]]&lt;Horaires356739[[#This Row],[début]],1,0)+Horaires356739[[#This Row],[Fin]]</f>
        <v>0</v>
      </c>
      <c r="N40" s="61">
        <f>MAX(0,MIN(Horaires356739[[#This Row],[Fin corrigée si nuit]],fin_nuit)-MAX(Horaires356739[[#This Row],[début]],deb_nuit))*24</f>
        <v>0</v>
      </c>
      <c r="O40" s="62">
        <f>(MAX(0,MIN(Horaires356739[[#This Row],[Fin corrigée si nuit]],fin_nuit)-MAX(Horaires356739[[#This Row],[début]],deb_nuit))-IF(Horaires356739[[#This Row],[PNP Début]]=0,0,MIN(Horaires356739[[#This Row],[PNP Fin corrigée]],fin_nuit)-MAX(Horaires356739[[#This Row],[PNP Début corrigé]],deb_nuit)))*24</f>
        <v>0</v>
      </c>
      <c r="P40" s="62">
        <f>(IF(WEEKDAY(Horaires356739[[#This Row],[Date]],2)=7,MAX(0,MIN(fin_dimJF,Horaires356739[[#This Row],[Fin corrigée si nuit]])-MAX(deb_dimJF,Horaires356739[[#This Row],[début]])),0)+IF(WEEKDAY(Horaires356739[[#This Row],[Date]],2)=6,MAX(0,Horaires356739[[#This Row],[Fin corrigée si nuit]]-(1+deb_dimJF)),0))*24</f>
        <v>0</v>
      </c>
      <c r="Q40"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0" s="62">
        <f>(IF(COUNTIF(JF,Horaires356739[[#This Row],[Date]]),MAX(0,MIN(fin_dimJF,Horaires356739[[#This Row],[Fin corrigée si nuit]])-MAX(deb_dimJF,Horaires356739[[#This Row],[début]])),0)+IF(COUNTIF(JF,Horaires356739[[#This Row],[Date]]+1),MAX(0,Horaires356739[[#This Row],[Fin corrigée si nuit]]-(1+deb_dimJF)),0))*24</f>
        <v>0</v>
      </c>
      <c r="S40"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1" spans="1:19" x14ac:dyDescent="0.35">
      <c r="A41" s="9"/>
      <c r="B41" s="1"/>
      <c r="C41" s="2"/>
      <c r="D41" s="2"/>
      <c r="E41" s="3"/>
      <c r="F41" s="3"/>
      <c r="G41" s="3"/>
      <c r="H41" s="3"/>
      <c r="I41" s="57">
        <f>0.1*(Horaires356739[[#This Row],[Heures de nuit]]+Horaires356739[[#This Row],[heures jour dimanche]]+Horaires356739[[#This Row],[heures jour fériés]])</f>
        <v>0</v>
      </c>
      <c r="J41" s="58">
        <f>(MOD(Horaires356739[[#This Row],[Fin]]-Horaires356739[[#This Row],[début]],1)-MOD(Horaires356739[[#This Row],[PNP Fin]]-Horaires356739[[#This Row],[PNP Début]],1))*24</f>
        <v>0</v>
      </c>
      <c r="K41" s="59">
        <f>IF(Horaires356739[[#This Row],[PNP Début]]=0,0,IF(Horaires356739[[#This Row],[PNP Début]]&lt;Horaires356739[[#This Row],[début]],1,0)+Horaires356739[[#This Row],[PNP Début]])</f>
        <v>0</v>
      </c>
      <c r="L41" s="60">
        <f>IF(Horaires356739[[#This Row],[PNP Fin]]=0,0,IF(Horaires356739[[#This Row],[PNP Fin]]&lt;Horaires356739[[#This Row],[début]],1,0)+Horaires356739[[#This Row],[PNP Fin]])</f>
        <v>0</v>
      </c>
      <c r="M41" s="60">
        <f>IF(Horaires356739[[#This Row],[Fin]]&lt;Horaires356739[[#This Row],[début]],1,0)+Horaires356739[[#This Row],[Fin]]</f>
        <v>0</v>
      </c>
      <c r="N41" s="61">
        <f>MAX(0,MIN(Horaires356739[[#This Row],[Fin corrigée si nuit]],fin_nuit)-MAX(Horaires356739[[#This Row],[début]],deb_nuit))*24</f>
        <v>0</v>
      </c>
      <c r="O41" s="62">
        <f>(MAX(0,MIN(Horaires356739[[#This Row],[Fin corrigée si nuit]],fin_nuit)-MAX(Horaires356739[[#This Row],[début]],deb_nuit))-IF(Horaires356739[[#This Row],[PNP Début]]=0,0,MIN(Horaires356739[[#This Row],[PNP Fin corrigée]],fin_nuit)-MAX(Horaires356739[[#This Row],[PNP Début corrigé]],deb_nuit)))*24</f>
        <v>0</v>
      </c>
      <c r="P41" s="62">
        <f>(IF(WEEKDAY(Horaires356739[[#This Row],[Date]],2)=7,MAX(0,MIN(fin_dimJF,Horaires356739[[#This Row],[Fin corrigée si nuit]])-MAX(deb_dimJF,Horaires356739[[#This Row],[début]])),0)+IF(WEEKDAY(Horaires356739[[#This Row],[Date]],2)=6,MAX(0,Horaires356739[[#This Row],[Fin corrigée si nuit]]-(1+deb_dimJF)),0))*24</f>
        <v>0</v>
      </c>
      <c r="Q41"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1" s="62">
        <f>(IF(COUNTIF(JF,Horaires356739[[#This Row],[Date]]),MAX(0,MIN(fin_dimJF,Horaires356739[[#This Row],[Fin corrigée si nuit]])-MAX(deb_dimJF,Horaires356739[[#This Row],[début]])),0)+IF(COUNTIF(JF,Horaires356739[[#This Row],[Date]]+1),MAX(0,Horaires356739[[#This Row],[Fin corrigée si nuit]]-(1+deb_dimJF)),0))*24</f>
        <v>0</v>
      </c>
      <c r="S41"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2" spans="1:19" x14ac:dyDescent="0.35">
      <c r="A42" s="9"/>
      <c r="B42" s="1"/>
      <c r="C42" s="2"/>
      <c r="D42" s="2"/>
      <c r="E42" s="3"/>
      <c r="F42" s="3"/>
      <c r="G42" s="3"/>
      <c r="H42" s="3"/>
      <c r="I42" s="57">
        <f>0.1*(Horaires356739[[#This Row],[Heures de nuit]]+Horaires356739[[#This Row],[heures jour dimanche]]+Horaires356739[[#This Row],[heures jour fériés]])</f>
        <v>0</v>
      </c>
      <c r="J42" s="58">
        <f>(MOD(Horaires356739[[#This Row],[Fin]]-Horaires356739[[#This Row],[début]],1)-MOD(Horaires356739[[#This Row],[PNP Fin]]-Horaires356739[[#This Row],[PNP Début]],1))*24</f>
        <v>0</v>
      </c>
      <c r="K42" s="59">
        <f>IF(Horaires356739[[#This Row],[PNP Début]]=0,0,IF(Horaires356739[[#This Row],[PNP Début]]&lt;Horaires356739[[#This Row],[début]],1,0)+Horaires356739[[#This Row],[PNP Début]])</f>
        <v>0</v>
      </c>
      <c r="L42" s="60">
        <f>IF(Horaires356739[[#This Row],[PNP Fin]]=0,0,IF(Horaires356739[[#This Row],[PNP Fin]]&lt;Horaires356739[[#This Row],[début]],1,0)+Horaires356739[[#This Row],[PNP Fin]])</f>
        <v>0</v>
      </c>
      <c r="M42" s="60">
        <f>IF(Horaires356739[[#This Row],[Fin]]&lt;Horaires356739[[#This Row],[début]],1,0)+Horaires356739[[#This Row],[Fin]]</f>
        <v>0</v>
      </c>
      <c r="N42" s="61">
        <f>MAX(0,MIN(Horaires356739[[#This Row],[Fin corrigée si nuit]],fin_nuit)-MAX(Horaires356739[[#This Row],[début]],deb_nuit))*24</f>
        <v>0</v>
      </c>
      <c r="O42" s="62">
        <f>(MAX(0,MIN(Horaires356739[[#This Row],[Fin corrigée si nuit]],fin_nuit)-MAX(Horaires356739[[#This Row],[début]],deb_nuit))-IF(Horaires356739[[#This Row],[PNP Début]]=0,0,MIN(Horaires356739[[#This Row],[PNP Fin corrigée]],fin_nuit)-MAX(Horaires356739[[#This Row],[PNP Début corrigé]],deb_nuit)))*24</f>
        <v>0</v>
      </c>
      <c r="P42" s="62">
        <f>(IF(WEEKDAY(Horaires356739[[#This Row],[Date]],2)=7,MAX(0,MIN(fin_dimJF,Horaires356739[[#This Row],[Fin corrigée si nuit]])-MAX(deb_dimJF,Horaires356739[[#This Row],[début]])),0)+IF(WEEKDAY(Horaires356739[[#This Row],[Date]],2)=6,MAX(0,Horaires356739[[#This Row],[Fin corrigée si nuit]]-(1+deb_dimJF)),0))*24</f>
        <v>0</v>
      </c>
      <c r="Q42"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2" s="62">
        <f>(IF(COUNTIF(JF,Horaires356739[[#This Row],[Date]]),MAX(0,MIN(fin_dimJF,Horaires356739[[#This Row],[Fin corrigée si nuit]])-MAX(deb_dimJF,Horaires356739[[#This Row],[début]])),0)+IF(COUNTIF(JF,Horaires356739[[#This Row],[Date]]+1),MAX(0,Horaires356739[[#This Row],[Fin corrigée si nuit]]-(1+deb_dimJF)),0))*24</f>
        <v>0</v>
      </c>
      <c r="S42"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3" spans="1:19" x14ac:dyDescent="0.35">
      <c r="A43" s="9"/>
      <c r="B43" s="1"/>
      <c r="C43" s="2"/>
      <c r="D43" s="2"/>
      <c r="E43" s="3"/>
      <c r="F43" s="3"/>
      <c r="G43" s="3"/>
      <c r="H43" s="3"/>
      <c r="I43" s="57">
        <f>0.1*(Horaires356739[[#This Row],[Heures de nuit]]+Horaires356739[[#This Row],[heures jour dimanche]]+Horaires356739[[#This Row],[heures jour fériés]])</f>
        <v>0</v>
      </c>
      <c r="J43" s="58">
        <f>(MOD(Horaires356739[[#This Row],[Fin]]-Horaires356739[[#This Row],[début]],1)-MOD(Horaires356739[[#This Row],[PNP Fin]]-Horaires356739[[#This Row],[PNP Début]],1))*24</f>
        <v>0</v>
      </c>
      <c r="K43" s="59">
        <f>IF(Horaires356739[[#This Row],[PNP Début]]=0,0,IF(Horaires356739[[#This Row],[PNP Début]]&lt;Horaires356739[[#This Row],[début]],1,0)+Horaires356739[[#This Row],[PNP Début]])</f>
        <v>0</v>
      </c>
      <c r="L43" s="60">
        <f>IF(Horaires356739[[#This Row],[PNP Fin]]=0,0,IF(Horaires356739[[#This Row],[PNP Fin]]&lt;Horaires356739[[#This Row],[début]],1,0)+Horaires356739[[#This Row],[PNP Fin]])</f>
        <v>0</v>
      </c>
      <c r="M43" s="60">
        <f>IF(Horaires356739[[#This Row],[Fin]]&lt;Horaires356739[[#This Row],[début]],1,0)+Horaires356739[[#This Row],[Fin]]</f>
        <v>0</v>
      </c>
      <c r="N43" s="61">
        <f>MAX(0,MIN(Horaires356739[[#This Row],[Fin corrigée si nuit]],fin_nuit)-MAX(Horaires356739[[#This Row],[début]],deb_nuit))*24</f>
        <v>0</v>
      </c>
      <c r="O43" s="62">
        <f>(MAX(0,MIN(Horaires356739[[#This Row],[Fin corrigée si nuit]],fin_nuit)-MAX(Horaires356739[[#This Row],[début]],deb_nuit))-IF(Horaires356739[[#This Row],[PNP Début]]=0,0,MIN(Horaires356739[[#This Row],[PNP Fin corrigée]],fin_nuit)-MAX(Horaires356739[[#This Row],[PNP Début corrigé]],deb_nuit)))*24</f>
        <v>0</v>
      </c>
      <c r="P43" s="62">
        <f>(IF(WEEKDAY(Horaires356739[[#This Row],[Date]],2)=7,MAX(0,MIN(fin_dimJF,Horaires356739[[#This Row],[Fin corrigée si nuit]])-MAX(deb_dimJF,Horaires356739[[#This Row],[début]])),0)+IF(WEEKDAY(Horaires356739[[#This Row],[Date]],2)=6,MAX(0,Horaires356739[[#This Row],[Fin corrigée si nuit]]-(1+deb_dimJF)),0))*24</f>
        <v>0</v>
      </c>
      <c r="Q43"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3" s="62">
        <f>(IF(COUNTIF(JF,Horaires356739[[#This Row],[Date]]),MAX(0,MIN(fin_dimJF,Horaires356739[[#This Row],[Fin corrigée si nuit]])-MAX(deb_dimJF,Horaires356739[[#This Row],[début]])),0)+IF(COUNTIF(JF,Horaires356739[[#This Row],[Date]]+1),MAX(0,Horaires356739[[#This Row],[Fin corrigée si nuit]]-(1+deb_dimJF)),0))*24</f>
        <v>0</v>
      </c>
      <c r="S43"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4" spans="1:19" x14ac:dyDescent="0.35">
      <c r="A44" s="9"/>
      <c r="B44" s="1"/>
      <c r="C44" s="2"/>
      <c r="D44" s="2"/>
      <c r="E44" s="3"/>
      <c r="F44" s="3"/>
      <c r="G44" s="3"/>
      <c r="H44" s="3"/>
      <c r="I44" s="57">
        <f>0.1*(Horaires356739[[#This Row],[Heures de nuit]]+Horaires356739[[#This Row],[heures jour dimanche]]+Horaires356739[[#This Row],[heures jour fériés]])</f>
        <v>0</v>
      </c>
      <c r="J44" s="58">
        <f>(MOD(Horaires356739[[#This Row],[Fin]]-Horaires356739[[#This Row],[début]],1)-MOD(Horaires356739[[#This Row],[PNP Fin]]-Horaires356739[[#This Row],[PNP Début]],1))*24</f>
        <v>0</v>
      </c>
      <c r="K44" s="59">
        <f>IF(Horaires356739[[#This Row],[PNP Début]]=0,0,IF(Horaires356739[[#This Row],[PNP Début]]&lt;Horaires356739[[#This Row],[début]],1,0)+Horaires356739[[#This Row],[PNP Début]])</f>
        <v>0</v>
      </c>
      <c r="L44" s="60">
        <f>IF(Horaires356739[[#This Row],[PNP Fin]]=0,0,IF(Horaires356739[[#This Row],[PNP Fin]]&lt;Horaires356739[[#This Row],[début]],1,0)+Horaires356739[[#This Row],[PNP Fin]])</f>
        <v>0</v>
      </c>
      <c r="M44" s="60">
        <f>IF(Horaires356739[[#This Row],[Fin]]&lt;Horaires356739[[#This Row],[début]],1,0)+Horaires356739[[#This Row],[Fin]]</f>
        <v>0</v>
      </c>
      <c r="N44" s="61">
        <f>MAX(0,MIN(Horaires356739[[#This Row],[Fin corrigée si nuit]],fin_nuit)-MAX(Horaires356739[[#This Row],[début]],deb_nuit))*24</f>
        <v>0</v>
      </c>
      <c r="O44" s="62">
        <f>(MAX(0,MIN(Horaires356739[[#This Row],[Fin corrigée si nuit]],fin_nuit)-MAX(Horaires356739[[#This Row],[début]],deb_nuit))-IF(Horaires356739[[#This Row],[PNP Début]]=0,0,MIN(Horaires356739[[#This Row],[PNP Fin corrigée]],fin_nuit)-MAX(Horaires356739[[#This Row],[PNP Début corrigé]],deb_nuit)))*24</f>
        <v>0</v>
      </c>
      <c r="P44" s="62">
        <f>(IF(WEEKDAY(Horaires356739[[#This Row],[Date]],2)=7,MAX(0,MIN(fin_dimJF,Horaires356739[[#This Row],[Fin corrigée si nuit]])-MAX(deb_dimJF,Horaires356739[[#This Row],[début]])),0)+IF(WEEKDAY(Horaires356739[[#This Row],[Date]],2)=6,MAX(0,Horaires356739[[#This Row],[Fin corrigée si nuit]]-(1+deb_dimJF)),0))*24</f>
        <v>0</v>
      </c>
      <c r="Q44"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4" s="62">
        <f>(IF(COUNTIF(JF,Horaires356739[[#This Row],[Date]]),MAX(0,MIN(fin_dimJF,Horaires356739[[#This Row],[Fin corrigée si nuit]])-MAX(deb_dimJF,Horaires356739[[#This Row],[début]])),0)+IF(COUNTIF(JF,Horaires356739[[#This Row],[Date]]+1),MAX(0,Horaires356739[[#This Row],[Fin corrigée si nuit]]-(1+deb_dimJF)),0))*24</f>
        <v>0</v>
      </c>
      <c r="S44"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5" spans="1:19" x14ac:dyDescent="0.35">
      <c r="A45" s="9"/>
      <c r="B45" s="1"/>
      <c r="C45" s="2"/>
      <c r="D45" s="2"/>
      <c r="E45" s="3"/>
      <c r="F45" s="3"/>
      <c r="G45" s="3"/>
      <c r="H45" s="3"/>
      <c r="I45" s="57">
        <f>0.1*(Horaires356739[[#This Row],[Heures de nuit]]+Horaires356739[[#This Row],[heures jour dimanche]]+Horaires356739[[#This Row],[heures jour fériés]])</f>
        <v>0</v>
      </c>
      <c r="J45" s="58">
        <f>(MOD(Horaires356739[[#This Row],[Fin]]-Horaires356739[[#This Row],[début]],1)-MOD(Horaires356739[[#This Row],[PNP Fin]]-Horaires356739[[#This Row],[PNP Début]],1))*24</f>
        <v>0</v>
      </c>
      <c r="K45" s="59">
        <f>IF(Horaires356739[[#This Row],[PNP Début]]=0,0,IF(Horaires356739[[#This Row],[PNP Début]]&lt;Horaires356739[[#This Row],[début]],1,0)+Horaires356739[[#This Row],[PNP Début]])</f>
        <v>0</v>
      </c>
      <c r="L45" s="60">
        <f>IF(Horaires356739[[#This Row],[PNP Fin]]=0,0,IF(Horaires356739[[#This Row],[PNP Fin]]&lt;Horaires356739[[#This Row],[début]],1,0)+Horaires356739[[#This Row],[PNP Fin]])</f>
        <v>0</v>
      </c>
      <c r="M45" s="60">
        <f>IF(Horaires356739[[#This Row],[Fin]]&lt;Horaires356739[[#This Row],[début]],1,0)+Horaires356739[[#This Row],[Fin]]</f>
        <v>0</v>
      </c>
      <c r="N45" s="61">
        <f>MAX(0,MIN(Horaires356739[[#This Row],[Fin corrigée si nuit]],fin_nuit)-MAX(Horaires356739[[#This Row],[début]],deb_nuit))*24</f>
        <v>0</v>
      </c>
      <c r="O45" s="62">
        <f>(MAX(0,MIN(Horaires356739[[#This Row],[Fin corrigée si nuit]],fin_nuit)-MAX(Horaires356739[[#This Row],[début]],deb_nuit))-IF(Horaires356739[[#This Row],[PNP Début]]=0,0,MIN(Horaires356739[[#This Row],[PNP Fin corrigée]],fin_nuit)-MAX(Horaires356739[[#This Row],[PNP Début corrigé]],deb_nuit)))*24</f>
        <v>0</v>
      </c>
      <c r="P45" s="62">
        <f>(IF(WEEKDAY(Horaires356739[[#This Row],[Date]],2)=7,MAX(0,MIN(fin_dimJF,Horaires356739[[#This Row],[Fin corrigée si nuit]])-MAX(deb_dimJF,Horaires356739[[#This Row],[début]])),0)+IF(WEEKDAY(Horaires356739[[#This Row],[Date]],2)=6,MAX(0,Horaires356739[[#This Row],[Fin corrigée si nuit]]-(1+deb_dimJF)),0))*24</f>
        <v>0</v>
      </c>
      <c r="Q45"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5" s="62">
        <f>(IF(COUNTIF(JF,Horaires356739[[#This Row],[Date]]),MAX(0,MIN(fin_dimJF,Horaires356739[[#This Row],[Fin corrigée si nuit]])-MAX(deb_dimJF,Horaires356739[[#This Row],[début]])),0)+IF(COUNTIF(JF,Horaires356739[[#This Row],[Date]]+1),MAX(0,Horaires356739[[#This Row],[Fin corrigée si nuit]]-(1+deb_dimJF)),0))*24</f>
        <v>0</v>
      </c>
      <c r="S45"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6" spans="1:19" x14ac:dyDescent="0.35">
      <c r="A46" s="9"/>
      <c r="B46" s="1"/>
      <c r="C46" s="2"/>
      <c r="D46" s="2"/>
      <c r="E46" s="3"/>
      <c r="F46" s="3"/>
      <c r="G46" s="3"/>
      <c r="H46" s="3"/>
      <c r="I46" s="57">
        <f>0.1*(Horaires356739[[#This Row],[Heures de nuit]]+Horaires356739[[#This Row],[heures jour dimanche]]+Horaires356739[[#This Row],[heures jour fériés]])</f>
        <v>0</v>
      </c>
      <c r="J46" s="58">
        <f>(MOD(Horaires356739[[#This Row],[Fin]]-Horaires356739[[#This Row],[début]],1)-MOD(Horaires356739[[#This Row],[PNP Fin]]-Horaires356739[[#This Row],[PNP Début]],1))*24</f>
        <v>0</v>
      </c>
      <c r="K46" s="59">
        <f>IF(Horaires356739[[#This Row],[PNP Début]]=0,0,IF(Horaires356739[[#This Row],[PNP Début]]&lt;Horaires356739[[#This Row],[début]],1,0)+Horaires356739[[#This Row],[PNP Début]])</f>
        <v>0</v>
      </c>
      <c r="L46" s="60">
        <f>IF(Horaires356739[[#This Row],[PNP Fin]]=0,0,IF(Horaires356739[[#This Row],[PNP Fin]]&lt;Horaires356739[[#This Row],[début]],1,0)+Horaires356739[[#This Row],[PNP Fin]])</f>
        <v>0</v>
      </c>
      <c r="M46" s="60">
        <f>IF(Horaires356739[[#This Row],[Fin]]&lt;Horaires356739[[#This Row],[début]],1,0)+Horaires356739[[#This Row],[Fin]]</f>
        <v>0</v>
      </c>
      <c r="N46" s="61">
        <f>MAX(0,MIN(Horaires356739[[#This Row],[Fin corrigée si nuit]],fin_nuit)-MAX(Horaires356739[[#This Row],[début]],deb_nuit))*24</f>
        <v>0</v>
      </c>
      <c r="O46" s="62">
        <f>(MAX(0,MIN(Horaires356739[[#This Row],[Fin corrigée si nuit]],fin_nuit)-MAX(Horaires356739[[#This Row],[début]],deb_nuit))-IF(Horaires356739[[#This Row],[PNP Début]]=0,0,MIN(Horaires356739[[#This Row],[PNP Fin corrigée]],fin_nuit)-MAX(Horaires356739[[#This Row],[PNP Début corrigé]],deb_nuit)))*24</f>
        <v>0</v>
      </c>
      <c r="P46" s="62">
        <f>(IF(WEEKDAY(Horaires356739[[#This Row],[Date]],2)=7,MAX(0,MIN(fin_dimJF,Horaires356739[[#This Row],[Fin corrigée si nuit]])-MAX(deb_dimJF,Horaires356739[[#This Row],[début]])),0)+IF(WEEKDAY(Horaires356739[[#This Row],[Date]],2)=6,MAX(0,Horaires356739[[#This Row],[Fin corrigée si nuit]]-(1+deb_dimJF)),0))*24</f>
        <v>0</v>
      </c>
      <c r="Q46"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6" s="62">
        <f>(IF(COUNTIF(JF,Horaires356739[[#This Row],[Date]]),MAX(0,MIN(fin_dimJF,Horaires356739[[#This Row],[Fin corrigée si nuit]])-MAX(deb_dimJF,Horaires356739[[#This Row],[début]])),0)+IF(COUNTIF(JF,Horaires356739[[#This Row],[Date]]+1),MAX(0,Horaires356739[[#This Row],[Fin corrigée si nuit]]-(1+deb_dimJF)),0))*24</f>
        <v>0</v>
      </c>
      <c r="S46"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7" spans="1:19" x14ac:dyDescent="0.35">
      <c r="A47" s="9"/>
      <c r="B47" s="1"/>
      <c r="C47" s="2"/>
      <c r="D47" s="2"/>
      <c r="E47" s="3"/>
      <c r="F47" s="3"/>
      <c r="G47" s="3"/>
      <c r="H47" s="3"/>
      <c r="I47" s="57">
        <f>0.1*(Horaires356739[[#This Row],[Heures de nuit]]+Horaires356739[[#This Row],[heures jour dimanche]]+Horaires356739[[#This Row],[heures jour fériés]])</f>
        <v>0</v>
      </c>
      <c r="J47" s="58">
        <f>(MOD(Horaires356739[[#This Row],[Fin]]-Horaires356739[[#This Row],[début]],1)-MOD(Horaires356739[[#This Row],[PNP Fin]]-Horaires356739[[#This Row],[PNP Début]],1))*24</f>
        <v>0</v>
      </c>
      <c r="K47" s="59">
        <f>IF(Horaires356739[[#This Row],[PNP Début]]=0,0,IF(Horaires356739[[#This Row],[PNP Début]]&lt;Horaires356739[[#This Row],[début]],1,0)+Horaires356739[[#This Row],[PNP Début]])</f>
        <v>0</v>
      </c>
      <c r="L47" s="60">
        <f>IF(Horaires356739[[#This Row],[PNP Fin]]=0,0,IF(Horaires356739[[#This Row],[PNP Fin]]&lt;Horaires356739[[#This Row],[début]],1,0)+Horaires356739[[#This Row],[PNP Fin]])</f>
        <v>0</v>
      </c>
      <c r="M47" s="60">
        <f>IF(Horaires356739[[#This Row],[Fin]]&lt;Horaires356739[[#This Row],[début]],1,0)+Horaires356739[[#This Row],[Fin]]</f>
        <v>0</v>
      </c>
      <c r="N47" s="61">
        <f>MAX(0,MIN(Horaires356739[[#This Row],[Fin corrigée si nuit]],fin_nuit)-MAX(Horaires356739[[#This Row],[début]],deb_nuit))*24</f>
        <v>0</v>
      </c>
      <c r="O47" s="62">
        <f>(MAX(0,MIN(Horaires356739[[#This Row],[Fin corrigée si nuit]],fin_nuit)-MAX(Horaires356739[[#This Row],[début]],deb_nuit))-IF(Horaires356739[[#This Row],[PNP Début]]=0,0,MIN(Horaires356739[[#This Row],[PNP Fin corrigée]],fin_nuit)-MAX(Horaires356739[[#This Row],[PNP Début corrigé]],deb_nuit)))*24</f>
        <v>0</v>
      </c>
      <c r="P47" s="62">
        <f>(IF(WEEKDAY(Horaires356739[[#This Row],[Date]],2)=7,MAX(0,MIN(fin_dimJF,Horaires356739[[#This Row],[Fin corrigée si nuit]])-MAX(deb_dimJF,Horaires356739[[#This Row],[début]])),0)+IF(WEEKDAY(Horaires356739[[#This Row],[Date]],2)=6,MAX(0,Horaires356739[[#This Row],[Fin corrigée si nuit]]-(1+deb_dimJF)),0))*24</f>
        <v>0</v>
      </c>
      <c r="Q47"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7" s="62">
        <f>(IF(COUNTIF(JF,Horaires356739[[#This Row],[Date]]),MAX(0,MIN(fin_dimJF,Horaires356739[[#This Row],[Fin corrigée si nuit]])-MAX(deb_dimJF,Horaires356739[[#This Row],[début]])),0)+IF(COUNTIF(JF,Horaires356739[[#This Row],[Date]]+1),MAX(0,Horaires356739[[#This Row],[Fin corrigée si nuit]]-(1+deb_dimJF)),0))*24</f>
        <v>0</v>
      </c>
      <c r="S47"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8" spans="1:19" x14ac:dyDescent="0.35">
      <c r="A48" s="9"/>
      <c r="B48" s="1"/>
      <c r="C48" s="2"/>
      <c r="D48" s="2"/>
      <c r="E48" s="3"/>
      <c r="F48" s="3"/>
      <c r="G48" s="3"/>
      <c r="H48" s="3"/>
      <c r="I48" s="57">
        <f>0.1*(Horaires356739[[#This Row],[Heures de nuit]]+Horaires356739[[#This Row],[heures jour dimanche]]+Horaires356739[[#This Row],[heures jour fériés]])</f>
        <v>0</v>
      </c>
      <c r="J48" s="58">
        <f>(MOD(Horaires356739[[#This Row],[Fin]]-Horaires356739[[#This Row],[début]],1)-MOD(Horaires356739[[#This Row],[PNP Fin]]-Horaires356739[[#This Row],[PNP Début]],1))*24</f>
        <v>0</v>
      </c>
      <c r="K48" s="59">
        <f>IF(Horaires356739[[#This Row],[PNP Début]]=0,0,IF(Horaires356739[[#This Row],[PNP Début]]&lt;Horaires356739[[#This Row],[début]],1,0)+Horaires356739[[#This Row],[PNP Début]])</f>
        <v>0</v>
      </c>
      <c r="L48" s="60">
        <f>IF(Horaires356739[[#This Row],[PNP Fin]]=0,0,IF(Horaires356739[[#This Row],[PNP Fin]]&lt;Horaires356739[[#This Row],[début]],1,0)+Horaires356739[[#This Row],[PNP Fin]])</f>
        <v>0</v>
      </c>
      <c r="M48" s="60">
        <f>IF(Horaires356739[[#This Row],[Fin]]&lt;Horaires356739[[#This Row],[début]],1,0)+Horaires356739[[#This Row],[Fin]]</f>
        <v>0</v>
      </c>
      <c r="N48" s="61">
        <f>MAX(0,MIN(Horaires356739[[#This Row],[Fin corrigée si nuit]],fin_nuit)-MAX(Horaires356739[[#This Row],[début]],deb_nuit))*24</f>
        <v>0</v>
      </c>
      <c r="O48" s="62">
        <f>(MAX(0,MIN(Horaires356739[[#This Row],[Fin corrigée si nuit]],fin_nuit)-MAX(Horaires356739[[#This Row],[début]],deb_nuit))-IF(Horaires356739[[#This Row],[PNP Début]]=0,0,MIN(Horaires356739[[#This Row],[PNP Fin corrigée]],fin_nuit)-MAX(Horaires356739[[#This Row],[PNP Début corrigé]],deb_nuit)))*24</f>
        <v>0</v>
      </c>
      <c r="P48" s="62">
        <f>(IF(WEEKDAY(Horaires356739[[#This Row],[Date]],2)=7,MAX(0,MIN(fin_dimJF,Horaires356739[[#This Row],[Fin corrigée si nuit]])-MAX(deb_dimJF,Horaires356739[[#This Row],[début]])),0)+IF(WEEKDAY(Horaires356739[[#This Row],[Date]],2)=6,MAX(0,Horaires356739[[#This Row],[Fin corrigée si nuit]]-(1+deb_dimJF)),0))*24</f>
        <v>0</v>
      </c>
      <c r="Q48"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8" s="62">
        <f>(IF(COUNTIF(JF,Horaires356739[[#This Row],[Date]]),MAX(0,MIN(fin_dimJF,Horaires356739[[#This Row],[Fin corrigée si nuit]])-MAX(deb_dimJF,Horaires356739[[#This Row],[début]])),0)+IF(COUNTIF(JF,Horaires356739[[#This Row],[Date]]+1),MAX(0,Horaires356739[[#This Row],[Fin corrigée si nuit]]-(1+deb_dimJF)),0))*24</f>
        <v>0</v>
      </c>
      <c r="S48"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49" spans="1:19" ht="15" thickBot="1" x14ac:dyDescent="0.4">
      <c r="A49" s="9"/>
      <c r="B49" s="1"/>
      <c r="C49" s="2"/>
      <c r="D49" s="2"/>
      <c r="E49" s="3"/>
      <c r="F49" s="3"/>
      <c r="G49" s="3"/>
      <c r="H49" s="3"/>
      <c r="I49" s="57">
        <f>0.1*(Horaires356739[[#This Row],[Heures de nuit]]+Horaires356739[[#This Row],[heures jour dimanche]]+Horaires356739[[#This Row],[heures jour fériés]])</f>
        <v>0</v>
      </c>
      <c r="J49" s="58">
        <f>(MOD(Horaires356739[[#This Row],[Fin]]-Horaires356739[[#This Row],[début]],1)-MOD(Horaires356739[[#This Row],[PNP Fin]]-Horaires356739[[#This Row],[PNP Début]],1))*24</f>
        <v>0</v>
      </c>
      <c r="K49" s="59">
        <f>IF(Horaires356739[[#This Row],[PNP Début]]=0,0,IF(Horaires356739[[#This Row],[PNP Début]]&lt;Horaires356739[[#This Row],[début]],1,0)+Horaires356739[[#This Row],[PNP Début]])</f>
        <v>0</v>
      </c>
      <c r="L49" s="60">
        <f>IF(Horaires356739[[#This Row],[PNP Fin]]=0,0,IF(Horaires356739[[#This Row],[PNP Fin]]&lt;Horaires356739[[#This Row],[début]],1,0)+Horaires356739[[#This Row],[PNP Fin]])</f>
        <v>0</v>
      </c>
      <c r="M49" s="60">
        <f>IF(Horaires356739[[#This Row],[Fin]]&lt;Horaires356739[[#This Row],[début]],1,0)+Horaires356739[[#This Row],[Fin]]</f>
        <v>0</v>
      </c>
      <c r="N49" s="61">
        <f>MAX(0,MIN(Horaires356739[[#This Row],[Fin corrigée si nuit]],fin_nuit)-MAX(Horaires356739[[#This Row],[début]],deb_nuit))*24</f>
        <v>0</v>
      </c>
      <c r="O49" s="62">
        <f>(MAX(0,MIN(Horaires356739[[#This Row],[Fin corrigée si nuit]],fin_nuit)-MAX(Horaires356739[[#This Row],[début]],deb_nuit))-IF(Horaires356739[[#This Row],[PNP Début]]=0,0,MIN(Horaires356739[[#This Row],[PNP Fin corrigée]],fin_nuit)-MAX(Horaires356739[[#This Row],[PNP Début corrigé]],deb_nuit)))*24</f>
        <v>0</v>
      </c>
      <c r="P49" s="62">
        <f>(IF(WEEKDAY(Horaires356739[[#This Row],[Date]],2)=7,MAX(0,MIN(fin_dimJF,Horaires356739[[#This Row],[Fin corrigée si nuit]])-MAX(deb_dimJF,Horaires356739[[#This Row],[début]])),0)+IF(WEEKDAY(Horaires356739[[#This Row],[Date]],2)=6,MAX(0,Horaires356739[[#This Row],[Fin corrigée si nuit]]-(1+deb_dimJF)),0))*24</f>
        <v>0</v>
      </c>
      <c r="Q49" s="62">
        <f>(IF(WEEKDAY(Horaires356739[[#This Row],[Date]],2)=7,MAX(0,MIN(fin_dimJF,Horaires356739[[#This Row],[Fin corrigée si nuit]])-MAX(deb_dimJF,Horaires356739[[#This Row],[début]])),0)+IF(WEEKDAY(Horaires356739[[#This Row],[Date]],2)=6,MAX(0,Horaires356739[[#This Row],[Fin corrigée si nuit]]-(1+deb_dimJF)),0))*24-
(IF(WEEKDAY(Horaires356739[[#This Row],[Date]],2)=7,MAX(0,MIN(fin_dimJF,Horaires356739[[#This Row],[PNP Fin corrigée]])-MAX(deb_dimJF,Horaires356739[[#This Row],[PNP Début corrigé]])),0)+IF(WEEKDAY(Horaires356739[[#This Row],[Date]],2)=6,MAX(0,Horaires356739[[#This Row],[PNP Fin corrigée]]-(1+deb_dimJF)),0))*24</f>
        <v>0</v>
      </c>
      <c r="R49" s="62">
        <f>(IF(COUNTIF(JF,Horaires356739[[#This Row],[Date]]),MAX(0,MIN(fin_dimJF,Horaires356739[[#This Row],[Fin corrigée si nuit]])-MAX(deb_dimJF,Horaires356739[[#This Row],[début]])),0)+IF(COUNTIF(JF,Horaires356739[[#This Row],[Date]]+1),MAX(0,Horaires356739[[#This Row],[Fin corrigée si nuit]]-(1+deb_dimJF)),0))*24</f>
        <v>0</v>
      </c>
      <c r="S49" s="62">
        <f>(IF(COUNTIF(JF,Horaires356739[[#This Row],[Date]]),MAX(0,MIN(fin_dimJF,Horaires356739[[#This Row],[Fin corrigée si nuit]])-MAX(deb_dimJF,Horaires356739[[#This Row],[début]])),0)+IF(COUNTIF(JF,Horaires356739[[#This Row],[Date]]+1),MAX(0,Horaires356739[[#This Row],[Fin corrigée si nuit]]-(1+deb_dimJF)),0))*24-
(IF(COUNTIF(JF,Horaires356739[[#This Row],[Date]]),MAX(0,MIN(fin_dimJF,Horaires356739[[#This Row],[PNP Fin corrigée]])-MAX(deb_dimJF,Horaires356739[[#This Row],[PNP Début corrigé]])),0)+IF(COUNTIF(JF,Horaires356739[[#This Row],[Date]]+1),MAX(0,Horaires356739[[#This Row],[PNP Fin corrigée]]-(1+deb_dimJF)),0))*24</f>
        <v>0</v>
      </c>
    </row>
    <row r="50" spans="1:19" ht="16" thickBot="1" x14ac:dyDescent="0.4">
      <c r="A50" s="63"/>
      <c r="B50" s="25"/>
      <c r="C50" s="25"/>
      <c r="D50" s="25"/>
      <c r="E50" s="106" t="s">
        <v>32</v>
      </c>
      <c r="F50" s="107"/>
      <c r="G50" s="107"/>
      <c r="H50" s="108"/>
      <c r="I50" s="64">
        <f>SUM(Horaires356739[Majoration])</f>
        <v>0</v>
      </c>
      <c r="J50" s="65">
        <f>SUM(Horaires356739[Heures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K12:N49"/>
  </dataValidations>
  <printOptions horizontalCentered="1"/>
  <pageMargins left="0" right="0" top="0" bottom="0" header="0" footer="0"/>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S60"/>
  <sheetViews>
    <sheetView workbookViewId="0">
      <selection activeCell="I5" sqref="I5:J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0.1*(Horaires3567310[[#This Row],[Heures de nuit]]+Horaires3567310[[#This Row],[heures jour dimanche]]+Horaires3567310[[#This Row],[heures jour fériés]])</f>
        <v>0</v>
      </c>
      <c r="J13" s="39">
        <f>(MOD(Horaires3567310[[#This Row],[Fin]]-Horaires3567310[[#This Row],[début]],1)-MOD(Horaires3567310[[#This Row],[PNP Fin]]-Horaires3567310[[#This Row],[PNP Début]],1))*24</f>
        <v>0</v>
      </c>
      <c r="K13" s="40">
        <f>IF(Horaires3567310[[#This Row],[PNP Début]]=0,0,IF(Horaires3567310[[#This Row],[PNP Début]]&lt;Horaires3567310[[#This Row],[début]],1,0)+Horaires3567310[[#This Row],[PNP Début]])</f>
        <v>0</v>
      </c>
      <c r="L13" s="40">
        <f>IF(Horaires3567310[[#This Row],[PNP Fin]]=0,0,IF(Horaires3567310[[#This Row],[PNP Fin]]&lt;Horaires3567310[[#This Row],[début]],1,0)+Horaires3567310[[#This Row],[PNP Fin]])</f>
        <v>0</v>
      </c>
      <c r="M13" s="40">
        <f>IF(Horaires3567310[[#This Row],[Fin]]&lt;Horaires3567310[[#This Row],[début]],1,0)+Horaires3567310[[#This Row],[Fin]]</f>
        <v>0</v>
      </c>
      <c r="N13" s="41">
        <f>MAX(0,MIN(Horaires3567310[[#This Row],[Fin corrigée si nuit]],fin_nuit)-MAX(Horaires3567310[[#This Row],[début]],deb_nuit))*24</f>
        <v>0</v>
      </c>
      <c r="O13" s="41">
        <f>(MAX(0,MIN(Horaires3567310[[#This Row],[Fin corrigée si nuit]],fin_nuit)-MAX(Horaires3567310[[#This Row],[début]],deb_nuit))-IF(Horaires3567310[[#This Row],[PNP Début]]=0,0,MIN(Horaires3567310[[#This Row],[PNP Fin corrigée]],fin_nuit)-MAX(Horaires3567310[[#This Row],[PNP Début corrigé]],deb_nuit)))*24</f>
        <v>0</v>
      </c>
      <c r="P13" s="41">
        <f>(IF(WEEKDAY(Horaires3567310[[#This Row],[Date]],2)=7,MAX(0,MIN(fin_dimJF,Horaires3567310[[#This Row],[Fin corrigée si nuit]])-MAX(deb_dimJF,Horaires3567310[[#This Row],[début]])),0)+IF(WEEKDAY(Horaires3567310[[#This Row],[Date]],2)=6,MAX(0,Horaires3567310[[#This Row],[Fin corrigée si nuit]]-(1+deb_dimJF)),0))*24</f>
        <v>0</v>
      </c>
      <c r="Q13" s="4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13" s="42">
        <f>(IF(COUNTIF(JF,Horaires3567310[[#This Row],[Date]]),MAX(0,MIN(fin_dimJF,Horaires3567310[[#This Row],[Fin corrigée si nuit]])-MAX(deb_dimJF,Horaires3567310[[#This Row],[début]])),0)+IF(COUNTIF(JF,Horaires3567310[[#This Row],[Date]]+1),MAX(0,Horaires3567310[[#This Row],[Fin corrigée si nuit]]-(1+deb_dimJF)),0))*24</f>
        <v>0</v>
      </c>
      <c r="S13" s="4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14" spans="1:19" x14ac:dyDescent="0.35">
      <c r="A14" s="9"/>
      <c r="B14" s="1"/>
      <c r="C14" s="2"/>
      <c r="D14" s="2"/>
      <c r="E14" s="3"/>
      <c r="F14" s="3"/>
      <c r="G14" s="3"/>
      <c r="H14" s="3"/>
      <c r="I14" s="38">
        <f>0.1*(Horaires3567310[[#This Row],[Heures de nuit]]+Horaires3567310[[#This Row],[heures jour dimanche]]+Horaires3567310[[#This Row],[heures jour fériés]])</f>
        <v>0</v>
      </c>
      <c r="J14" s="39">
        <f>(MOD(Horaires3567310[[#This Row],[Fin]]-Horaires3567310[[#This Row],[début]],1)-MOD(Horaires3567310[[#This Row],[PNP Fin]]-Horaires3567310[[#This Row],[PNP Début]],1))*24</f>
        <v>0</v>
      </c>
      <c r="K14" s="40">
        <f>IF(Horaires3567310[[#This Row],[PNP Début]]=0,0,IF(Horaires3567310[[#This Row],[PNP Début]]&lt;Horaires3567310[[#This Row],[début]],1,0)+Horaires3567310[[#This Row],[PNP Début]])</f>
        <v>0</v>
      </c>
      <c r="L14" s="40">
        <f>IF(Horaires3567310[[#This Row],[PNP Fin]]=0,0,IF(Horaires3567310[[#This Row],[PNP Fin]]&lt;Horaires3567310[[#This Row],[début]],1,0)+Horaires3567310[[#This Row],[PNP Fin]])</f>
        <v>0</v>
      </c>
      <c r="M14" s="40">
        <f>IF(Horaires3567310[[#This Row],[Fin]]&lt;Horaires3567310[[#This Row],[début]],1,0)+Horaires3567310[[#This Row],[Fin]]</f>
        <v>0</v>
      </c>
      <c r="N14" s="41">
        <f>MAX(0,MIN(Horaires3567310[[#This Row],[Fin corrigée si nuit]],fin_nuit)-MAX(Horaires3567310[[#This Row],[début]],deb_nuit))*24</f>
        <v>0</v>
      </c>
      <c r="O14" s="41">
        <f>(MAX(0,MIN(Horaires3567310[[#This Row],[Fin corrigée si nuit]],fin_nuit)-MAX(Horaires3567310[[#This Row],[début]],deb_nuit))-IF(Horaires3567310[[#This Row],[PNP Début]]=0,0,MIN(Horaires3567310[[#This Row],[PNP Fin corrigée]],fin_nuit)-MAX(Horaires3567310[[#This Row],[PNP Début corrigé]],deb_nuit)))*24</f>
        <v>0</v>
      </c>
      <c r="P14" s="41">
        <f>(IF(WEEKDAY(Horaires3567310[[#This Row],[Date]],2)=7,MAX(0,MIN(fin_dimJF,Horaires3567310[[#This Row],[Fin corrigée si nuit]])-MAX(deb_dimJF,Horaires3567310[[#This Row],[début]])),0)+IF(WEEKDAY(Horaires3567310[[#This Row],[Date]],2)=6,MAX(0,Horaires3567310[[#This Row],[Fin corrigée si nuit]]-(1+deb_dimJF)),0))*24</f>
        <v>0</v>
      </c>
      <c r="Q14" s="4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14" s="42">
        <f>(IF(COUNTIF(JF,Horaires3567310[[#This Row],[Date]]),MAX(0,MIN(fin_dimJF,Horaires3567310[[#This Row],[Fin corrigée si nuit]])-MAX(deb_dimJF,Horaires3567310[[#This Row],[début]])),0)+IF(COUNTIF(JF,Horaires3567310[[#This Row],[Date]]+1),MAX(0,Horaires3567310[[#This Row],[Fin corrigée si nuit]]-(1+deb_dimJF)),0))*24</f>
        <v>0</v>
      </c>
      <c r="S14" s="4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15" spans="1:19" x14ac:dyDescent="0.35">
      <c r="A15" s="9"/>
      <c r="B15" s="1"/>
      <c r="C15" s="2"/>
      <c r="D15" s="2"/>
      <c r="E15" s="3"/>
      <c r="F15" s="3"/>
      <c r="G15" s="3"/>
      <c r="H15" s="3"/>
      <c r="I15" s="38">
        <f>0.1*(Horaires3567310[[#This Row],[Heures de nuit]]+Horaires3567310[[#This Row],[heures jour dimanche]]+Horaires3567310[[#This Row],[heures jour fériés]])</f>
        <v>0</v>
      </c>
      <c r="J15" s="39">
        <f>(MOD(Horaires3567310[[#This Row],[Fin]]-Horaires3567310[[#This Row],[début]],1)-MOD(Horaires3567310[[#This Row],[PNP Fin]]-Horaires3567310[[#This Row],[PNP Début]],1))*24</f>
        <v>0</v>
      </c>
      <c r="K15" s="40">
        <f>IF(Horaires3567310[[#This Row],[PNP Début]]=0,0,IF(Horaires3567310[[#This Row],[PNP Début]]&lt;Horaires3567310[[#This Row],[début]],1,0)+Horaires3567310[[#This Row],[PNP Début]])</f>
        <v>0</v>
      </c>
      <c r="L15" s="40">
        <f>IF(Horaires3567310[[#This Row],[PNP Fin]]=0,0,IF(Horaires3567310[[#This Row],[PNP Fin]]&lt;Horaires3567310[[#This Row],[début]],1,0)+Horaires3567310[[#This Row],[PNP Fin]])</f>
        <v>0</v>
      </c>
      <c r="M15" s="40">
        <f>IF(Horaires3567310[[#This Row],[Fin]]&lt;Horaires3567310[[#This Row],[début]],1,0)+Horaires3567310[[#This Row],[Fin]]</f>
        <v>0</v>
      </c>
      <c r="N15" s="41">
        <f>MAX(0,MIN(Horaires3567310[[#This Row],[Fin corrigée si nuit]],fin_nuit)-MAX(Horaires3567310[[#This Row],[début]],deb_nuit))*24</f>
        <v>0</v>
      </c>
      <c r="O15" s="41">
        <f>(MAX(0,MIN(Horaires3567310[[#This Row],[Fin corrigée si nuit]],fin_nuit)-MAX(Horaires3567310[[#This Row],[début]],deb_nuit))-IF(Horaires3567310[[#This Row],[PNP Début]]=0,0,MIN(Horaires3567310[[#This Row],[PNP Fin corrigée]],fin_nuit)-MAX(Horaires3567310[[#This Row],[PNP Début corrigé]],deb_nuit)))*24</f>
        <v>0</v>
      </c>
      <c r="P15" s="41">
        <f>(IF(WEEKDAY(Horaires3567310[[#This Row],[Date]],2)=7,MAX(0,MIN(fin_dimJF,Horaires3567310[[#This Row],[Fin corrigée si nuit]])-MAX(deb_dimJF,Horaires3567310[[#This Row],[début]])),0)+IF(WEEKDAY(Horaires3567310[[#This Row],[Date]],2)=6,MAX(0,Horaires3567310[[#This Row],[Fin corrigée si nuit]]-(1+deb_dimJF)),0))*24</f>
        <v>0</v>
      </c>
      <c r="Q15" s="4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15" s="42">
        <f>(IF(COUNTIF(JF,Horaires3567310[[#This Row],[Date]]),MAX(0,MIN(fin_dimJF,Horaires3567310[[#This Row],[Fin corrigée si nuit]])-MAX(deb_dimJF,Horaires3567310[[#This Row],[début]])),0)+IF(COUNTIF(JF,Horaires3567310[[#This Row],[Date]]+1),MAX(0,Horaires3567310[[#This Row],[Fin corrigée si nuit]]-(1+deb_dimJF)),0))*24</f>
        <v>0</v>
      </c>
      <c r="S15" s="4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16" spans="1:19" x14ac:dyDescent="0.35">
      <c r="A16" s="9"/>
      <c r="B16" s="10"/>
      <c r="C16" s="2"/>
      <c r="D16" s="2"/>
      <c r="E16" s="3"/>
      <c r="F16" s="3"/>
      <c r="G16" s="11"/>
      <c r="H16" s="11"/>
      <c r="I16" s="38">
        <f>0.1*(Horaires3567310[[#This Row],[Heures de nuit]]+Horaires3567310[[#This Row],[heures jour dimanche]]+Horaires3567310[[#This Row],[heures jour fériés]])</f>
        <v>0</v>
      </c>
      <c r="J16" s="43">
        <f>(MOD(Horaires3567310[[#This Row],[Fin]]-Horaires3567310[[#This Row],[début]],1)-MOD(Horaires3567310[[#This Row],[PNP Fin]]-Horaires3567310[[#This Row],[PNP Début]],1))*24</f>
        <v>0</v>
      </c>
      <c r="K16" s="40">
        <f>IF(Horaires3567310[[#This Row],[PNP Début]]=0,0,IF(Horaires3567310[[#This Row],[PNP Début]]&lt;Horaires3567310[[#This Row],[début]],1,0)+Horaires3567310[[#This Row],[PNP Début]])</f>
        <v>0</v>
      </c>
      <c r="L16" s="40">
        <f>IF(Horaires3567310[[#This Row],[PNP Fin]]=0,0,IF(Horaires3567310[[#This Row],[PNP Fin]]&lt;Horaires3567310[[#This Row],[début]],1,0)+Horaires3567310[[#This Row],[PNP Fin]])</f>
        <v>0</v>
      </c>
      <c r="M16" s="44">
        <f>IF(Horaires3567310[[#This Row],[Fin]]&lt;Horaires3567310[[#This Row],[début]],1,0)+Horaires3567310[[#This Row],[Fin]]</f>
        <v>0</v>
      </c>
      <c r="N16" s="41">
        <f>MAX(0,MIN(Horaires3567310[[#This Row],[Fin corrigée si nuit]],fin_nuit)-MAX(Horaires3567310[[#This Row],[début]],deb_nuit))*24</f>
        <v>0</v>
      </c>
      <c r="O16" s="45">
        <f>(MAX(0,MIN(Horaires3567310[[#This Row],[Fin corrigée si nuit]],fin_nuit)-MAX(Horaires3567310[[#This Row],[début]],deb_nuit))-IF(Horaires3567310[[#This Row],[PNP Début]]=0,0,MIN(Horaires3567310[[#This Row],[PNP Fin corrigée]],fin_nuit)-MAX(Horaires3567310[[#This Row],[PNP Début corrigé]],deb_nuit)))*24</f>
        <v>0</v>
      </c>
      <c r="P16" s="45">
        <f>(IF(WEEKDAY(Horaires3567310[[#This Row],[Date]],2)=7,MAX(0,MIN(fin_dimJF,Horaires3567310[[#This Row],[Fin corrigée si nuit]])-MAX(deb_dimJF,Horaires3567310[[#This Row],[début]])),0)+IF(WEEKDAY(Horaires3567310[[#This Row],[Date]],2)=6,MAX(0,Horaires3567310[[#This Row],[Fin corrigée si nuit]]-(1+deb_dimJF)),0))*24</f>
        <v>0</v>
      </c>
      <c r="Q16" s="4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16" s="46">
        <f>(IF(COUNTIF(JF,Horaires3567310[[#This Row],[Date]]),MAX(0,MIN(fin_dimJF,Horaires3567310[[#This Row],[Fin corrigée si nuit]])-MAX(deb_dimJF,Horaires3567310[[#This Row],[début]])),0)+IF(COUNTIF(JF,Horaires3567310[[#This Row],[Date]]+1),MAX(0,Horaires3567310[[#This Row],[Fin corrigée si nuit]]-(1+deb_dimJF)),0))*24</f>
        <v>0</v>
      </c>
      <c r="S16" s="46">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17" spans="1:19" x14ac:dyDescent="0.35">
      <c r="A17" s="9"/>
      <c r="B17" s="1"/>
      <c r="C17" s="2"/>
      <c r="D17" s="2"/>
      <c r="E17" s="3"/>
      <c r="F17" s="3"/>
      <c r="G17" s="17"/>
      <c r="H17" s="17"/>
      <c r="I17" s="47">
        <f>0.1*(Horaires3567310[[#This Row],[Heures de nuit]]+Horaires3567310[[#This Row],[heures jour dimanche]]+Horaires3567310[[#This Row],[heures jour fériés]])</f>
        <v>0</v>
      </c>
      <c r="J17" s="48">
        <f>(MOD(Horaires3567310[[#This Row],[Fin]]-Horaires3567310[[#This Row],[début]],1)-MOD(Horaires3567310[[#This Row],[PNP Fin]]-Horaires3567310[[#This Row],[PNP Début]],1))*24</f>
        <v>0</v>
      </c>
      <c r="K17" s="49">
        <f>IF(Horaires3567310[[#This Row],[PNP Début]]=0,0,IF(Horaires3567310[[#This Row],[PNP Début]]&lt;Horaires3567310[[#This Row],[début]],1,0)+Horaires3567310[[#This Row],[PNP Début]])</f>
        <v>0</v>
      </c>
      <c r="L17" s="50">
        <f>IF(Horaires3567310[[#This Row],[PNP Fin]]=0,0,IF(Horaires3567310[[#This Row],[PNP Fin]]&lt;Horaires3567310[[#This Row],[début]],1,0)+Horaires3567310[[#This Row],[PNP Fin]])</f>
        <v>0</v>
      </c>
      <c r="M17" s="50">
        <f>IF(Horaires3567310[[#This Row],[Fin]]&lt;Horaires3567310[[#This Row],[début]],1,0)+Horaires3567310[[#This Row],[Fin]]</f>
        <v>0</v>
      </c>
      <c r="N17" s="41">
        <f>MAX(0,MIN(Horaires3567310[[#This Row],[Fin corrigée si nuit]],fin_nuit)-MAX(Horaires3567310[[#This Row],[début]],deb_nuit))*24</f>
        <v>0</v>
      </c>
      <c r="O17" s="51">
        <f>(MAX(0,MIN(Horaires3567310[[#This Row],[Fin corrigée si nuit]],fin_nuit)-MAX(Horaires3567310[[#This Row],[début]],deb_nuit))-IF(Horaires3567310[[#This Row],[PNP Début]]=0,0,MIN(Horaires3567310[[#This Row],[PNP Fin corrigée]],fin_nuit)-MAX(Horaires3567310[[#This Row],[PNP Début corrigé]],deb_nuit)))*24</f>
        <v>0</v>
      </c>
      <c r="P17" s="51">
        <f>(IF(WEEKDAY(Horaires3567310[[#This Row],[Date]],2)=7,MAX(0,MIN(fin_dimJF,Horaires3567310[[#This Row],[Fin corrigée si nuit]])-MAX(deb_dimJF,Horaires3567310[[#This Row],[début]])),0)+IF(WEEKDAY(Horaires3567310[[#This Row],[Date]],2)=6,MAX(0,Horaires3567310[[#This Row],[Fin corrigée si nuit]]-(1+deb_dimJF)),0))*24</f>
        <v>0</v>
      </c>
      <c r="Q17" s="5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17" s="51">
        <f>(IF(COUNTIF(JF,Horaires3567310[[#This Row],[Date]]),MAX(0,MIN(fin_dimJF,Horaires3567310[[#This Row],[Fin corrigée si nuit]])-MAX(deb_dimJF,Horaires3567310[[#This Row],[début]])),0)+IF(COUNTIF(JF,Horaires3567310[[#This Row],[Date]]+1),MAX(0,Horaires3567310[[#This Row],[Fin corrigée si nuit]]-(1+deb_dimJF)),0))*24</f>
        <v>0</v>
      </c>
      <c r="S17" s="51">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18" spans="1:19" x14ac:dyDescent="0.35">
      <c r="A18" s="9"/>
      <c r="B18" s="69"/>
      <c r="C18" s="16"/>
      <c r="D18" s="16"/>
      <c r="E18" s="17"/>
      <c r="F18" s="17"/>
      <c r="G18" s="17"/>
      <c r="H18" s="17"/>
      <c r="I18" s="47">
        <f>0.1*(Horaires3567310[[#This Row],[Heures de nuit]]+Horaires3567310[[#This Row],[heures jour dimanche]]+Horaires3567310[[#This Row],[heures jour fériés]])</f>
        <v>0</v>
      </c>
      <c r="J18" s="48">
        <f>(MOD(Horaires3567310[[#This Row],[Fin]]-Horaires3567310[[#This Row],[début]],1)-MOD(Horaires3567310[[#This Row],[PNP Fin]]-Horaires3567310[[#This Row],[PNP Début]],1))*24</f>
        <v>0</v>
      </c>
      <c r="K18" s="49">
        <f>IF(Horaires3567310[[#This Row],[PNP Début]]=0,0,IF(Horaires3567310[[#This Row],[PNP Début]]&lt;Horaires3567310[[#This Row],[début]],1,0)+Horaires3567310[[#This Row],[PNP Début]])</f>
        <v>0</v>
      </c>
      <c r="L18" s="50">
        <f>IF(Horaires3567310[[#This Row],[PNP Fin]]=0,0,IF(Horaires3567310[[#This Row],[PNP Fin]]&lt;Horaires3567310[[#This Row],[début]],1,0)+Horaires3567310[[#This Row],[PNP Fin]])</f>
        <v>0</v>
      </c>
      <c r="M18" s="50">
        <f>IF(Horaires3567310[[#This Row],[Fin]]&lt;Horaires3567310[[#This Row],[début]],1,0)+Horaires3567310[[#This Row],[Fin]]</f>
        <v>0</v>
      </c>
      <c r="N18" s="41">
        <f>MAX(0,MIN(Horaires3567310[[#This Row],[Fin corrigée si nuit]],fin_nuit)-MAX(Horaires3567310[[#This Row],[début]],deb_nuit))*24</f>
        <v>0</v>
      </c>
      <c r="O18" s="51">
        <f>(MAX(0,MIN(Horaires3567310[[#This Row],[Fin corrigée si nuit]],fin_nuit)-MAX(Horaires3567310[[#This Row],[début]],deb_nuit))-IF(Horaires3567310[[#This Row],[PNP Début]]=0,0,MIN(Horaires3567310[[#This Row],[PNP Fin corrigée]],fin_nuit)-MAX(Horaires3567310[[#This Row],[PNP Début corrigé]],deb_nuit)))*24</f>
        <v>0</v>
      </c>
      <c r="P18" s="51">
        <f>(IF(WEEKDAY(Horaires3567310[[#This Row],[Date]],2)=7,MAX(0,MIN(fin_dimJF,Horaires3567310[[#This Row],[Fin corrigée si nuit]])-MAX(deb_dimJF,Horaires3567310[[#This Row],[début]])),0)+IF(WEEKDAY(Horaires3567310[[#This Row],[Date]],2)=6,MAX(0,Horaires3567310[[#This Row],[Fin corrigée si nuit]]-(1+deb_dimJF)),0))*24</f>
        <v>0</v>
      </c>
      <c r="Q18" s="5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18" s="51">
        <f>(IF(COUNTIF(JF,Horaires3567310[[#This Row],[Date]]),MAX(0,MIN(fin_dimJF,Horaires3567310[[#This Row],[Fin corrigée si nuit]])-MAX(deb_dimJF,Horaires3567310[[#This Row],[début]])),0)+IF(COUNTIF(JF,Horaires3567310[[#This Row],[Date]]+1),MAX(0,Horaires3567310[[#This Row],[Fin corrigée si nuit]]-(1+deb_dimJF)),0))*24</f>
        <v>0</v>
      </c>
      <c r="S18" s="51">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19" spans="1:19" x14ac:dyDescent="0.35">
      <c r="A19" s="9"/>
      <c r="B19" s="1"/>
      <c r="C19" s="16"/>
      <c r="D19" s="16"/>
      <c r="E19" s="3"/>
      <c r="F19" s="3"/>
      <c r="G19" s="17"/>
      <c r="H19" s="17"/>
      <c r="I19" s="47">
        <f>0.1*(Horaires3567310[[#This Row],[Heures de nuit]]+Horaires3567310[[#This Row],[heures jour dimanche]]+Horaires3567310[[#This Row],[heures jour fériés]])</f>
        <v>0</v>
      </c>
      <c r="J19" s="48">
        <f>(MOD(Horaires3567310[[#This Row],[Fin]]-Horaires3567310[[#This Row],[début]],1)-MOD(Horaires3567310[[#This Row],[PNP Fin]]-Horaires3567310[[#This Row],[PNP Début]],1))*24</f>
        <v>0</v>
      </c>
      <c r="K19" s="49">
        <f>IF(Horaires3567310[[#This Row],[PNP Début]]=0,0,IF(Horaires3567310[[#This Row],[PNP Début]]&lt;Horaires3567310[[#This Row],[début]],1,0)+Horaires3567310[[#This Row],[PNP Début]])</f>
        <v>0</v>
      </c>
      <c r="L19" s="50">
        <f>IF(Horaires3567310[[#This Row],[PNP Fin]]=0,0,IF(Horaires3567310[[#This Row],[PNP Fin]]&lt;Horaires3567310[[#This Row],[début]],1,0)+Horaires3567310[[#This Row],[PNP Fin]])</f>
        <v>0</v>
      </c>
      <c r="M19" s="50">
        <f>IF(Horaires3567310[[#This Row],[Fin]]&lt;Horaires3567310[[#This Row],[début]],1,0)+Horaires3567310[[#This Row],[Fin]]</f>
        <v>0</v>
      </c>
      <c r="N19" s="41">
        <f>MAX(0,MIN(Horaires3567310[[#This Row],[Fin corrigée si nuit]],fin_nuit)-MAX(Horaires3567310[[#This Row],[début]],deb_nuit))*24</f>
        <v>0</v>
      </c>
      <c r="O19" s="51">
        <f>(MAX(0,MIN(Horaires3567310[[#This Row],[Fin corrigée si nuit]],fin_nuit)-MAX(Horaires3567310[[#This Row],[début]],deb_nuit))-IF(Horaires3567310[[#This Row],[PNP Début]]=0,0,MIN(Horaires3567310[[#This Row],[PNP Fin corrigée]],fin_nuit)-MAX(Horaires3567310[[#This Row],[PNP Début corrigé]],deb_nuit)))*24</f>
        <v>0</v>
      </c>
      <c r="P19" s="51">
        <f>(IF(WEEKDAY(Horaires3567310[[#This Row],[Date]],2)=7,MAX(0,MIN(fin_dimJF,Horaires3567310[[#This Row],[Fin corrigée si nuit]])-MAX(deb_dimJF,Horaires3567310[[#This Row],[début]])),0)+IF(WEEKDAY(Horaires3567310[[#This Row],[Date]],2)=6,MAX(0,Horaires3567310[[#This Row],[Fin corrigée si nuit]]-(1+deb_dimJF)),0))*24</f>
        <v>0</v>
      </c>
      <c r="Q19" s="5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19" s="51">
        <f>(IF(COUNTIF(JF,Horaires3567310[[#This Row],[Date]]),MAX(0,MIN(fin_dimJF,Horaires3567310[[#This Row],[Fin corrigée si nuit]])-MAX(deb_dimJF,Horaires3567310[[#This Row],[début]])),0)+IF(COUNTIF(JF,Horaires3567310[[#This Row],[Date]]+1),MAX(0,Horaires3567310[[#This Row],[Fin corrigée si nuit]]-(1+deb_dimJF)),0))*24</f>
        <v>0</v>
      </c>
      <c r="S19" s="51">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0" spans="1:19" x14ac:dyDescent="0.35">
      <c r="A20" s="9"/>
      <c r="B20" s="1"/>
      <c r="C20" s="16"/>
      <c r="D20" s="16"/>
      <c r="E20" s="17"/>
      <c r="F20" s="17"/>
      <c r="G20" s="17"/>
      <c r="H20" s="17"/>
      <c r="I20" s="47">
        <f>0.1*(Horaires3567310[[#This Row],[Heures de nuit]]+Horaires3567310[[#This Row],[heures jour dimanche]]+Horaires3567310[[#This Row],[heures jour fériés]])</f>
        <v>0</v>
      </c>
      <c r="J20" s="48">
        <f>(MOD(Horaires3567310[[#This Row],[Fin]]-Horaires3567310[[#This Row],[début]],1)-MOD(Horaires3567310[[#This Row],[PNP Fin]]-Horaires3567310[[#This Row],[PNP Début]],1))*24</f>
        <v>0</v>
      </c>
      <c r="K20" s="49">
        <f>IF(Horaires3567310[[#This Row],[PNP Début]]=0,0,IF(Horaires3567310[[#This Row],[PNP Début]]&lt;Horaires3567310[[#This Row],[début]],1,0)+Horaires3567310[[#This Row],[PNP Début]])</f>
        <v>0</v>
      </c>
      <c r="L20" s="50">
        <f>IF(Horaires3567310[[#This Row],[PNP Fin]]=0,0,IF(Horaires3567310[[#This Row],[PNP Fin]]&lt;Horaires3567310[[#This Row],[début]],1,0)+Horaires3567310[[#This Row],[PNP Fin]])</f>
        <v>0</v>
      </c>
      <c r="M20" s="50">
        <f>IF(Horaires3567310[[#This Row],[Fin]]&lt;Horaires3567310[[#This Row],[début]],1,0)+Horaires3567310[[#This Row],[Fin]]</f>
        <v>0</v>
      </c>
      <c r="N20" s="41">
        <f>MAX(0,MIN(Horaires3567310[[#This Row],[Fin corrigée si nuit]],fin_nuit)-MAX(Horaires3567310[[#This Row],[début]],deb_nuit))*24</f>
        <v>0</v>
      </c>
      <c r="O20" s="51">
        <f>(MAX(0,MIN(Horaires3567310[[#This Row],[Fin corrigée si nuit]],fin_nuit)-MAX(Horaires3567310[[#This Row],[début]],deb_nuit))-IF(Horaires3567310[[#This Row],[PNP Début]]=0,0,MIN(Horaires3567310[[#This Row],[PNP Fin corrigée]],fin_nuit)-MAX(Horaires3567310[[#This Row],[PNP Début corrigé]],deb_nuit)))*24</f>
        <v>0</v>
      </c>
      <c r="P20" s="51">
        <f>(IF(WEEKDAY(Horaires3567310[[#This Row],[Date]],2)=7,MAX(0,MIN(fin_dimJF,Horaires3567310[[#This Row],[Fin corrigée si nuit]])-MAX(deb_dimJF,Horaires3567310[[#This Row],[début]])),0)+IF(WEEKDAY(Horaires3567310[[#This Row],[Date]],2)=6,MAX(0,Horaires3567310[[#This Row],[Fin corrigée si nuit]]-(1+deb_dimJF)),0))*24</f>
        <v>0</v>
      </c>
      <c r="Q20" s="51">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0" s="51">
        <f>(IF(COUNTIF(JF,Horaires3567310[[#This Row],[Date]]),MAX(0,MIN(fin_dimJF,Horaires3567310[[#This Row],[Fin corrigée si nuit]])-MAX(deb_dimJF,Horaires3567310[[#This Row],[début]])),0)+IF(COUNTIF(JF,Horaires3567310[[#This Row],[Date]]+1),MAX(0,Horaires3567310[[#This Row],[Fin corrigée si nuit]]-(1+deb_dimJF)),0))*24</f>
        <v>0</v>
      </c>
      <c r="S20" s="51">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1" spans="1:19" x14ac:dyDescent="0.35">
      <c r="A21" s="9"/>
      <c r="B21" s="10"/>
      <c r="C21" s="18"/>
      <c r="D21" s="18"/>
      <c r="E21" s="3"/>
      <c r="F21" s="3"/>
      <c r="G21" s="19"/>
      <c r="H21" s="19"/>
      <c r="I21" s="52">
        <f>0.1*(Horaires3567310[[#This Row],[Heures de nuit]]+Horaires3567310[[#This Row],[heures jour dimanche]]+Horaires3567310[[#This Row],[heures jour fériés]])</f>
        <v>0</v>
      </c>
      <c r="J21" s="53">
        <f>(MOD(Horaires3567310[[#This Row],[Fin]]-Horaires3567310[[#This Row],[début]],1)-MOD(Horaires3567310[[#This Row],[PNP Fin]]-Horaires3567310[[#This Row],[PNP Début]],1))*24</f>
        <v>0</v>
      </c>
      <c r="K21" s="54">
        <f>IF(Horaires3567310[[#This Row],[PNP Début]]=0,0,IF(Horaires3567310[[#This Row],[PNP Début]]&lt;Horaires3567310[[#This Row],[début]],1,0)+Horaires3567310[[#This Row],[PNP Début]])</f>
        <v>0</v>
      </c>
      <c r="L21" s="55">
        <f>IF(Horaires3567310[[#This Row],[PNP Fin]]=0,0,IF(Horaires3567310[[#This Row],[PNP Fin]]&lt;Horaires3567310[[#This Row],[début]],1,0)+Horaires3567310[[#This Row],[PNP Fin]])</f>
        <v>0</v>
      </c>
      <c r="M21" s="55">
        <f>IF(Horaires3567310[[#This Row],[Fin]]&lt;Horaires3567310[[#This Row],[début]],1,0)+Horaires3567310[[#This Row],[Fin]]</f>
        <v>0</v>
      </c>
      <c r="N21" s="41">
        <f>MAX(0,MIN(Horaires3567310[[#This Row],[Fin corrigée si nuit]],fin_nuit)-MAX(Horaires3567310[[#This Row],[début]],deb_nuit))*24</f>
        <v>0</v>
      </c>
      <c r="O21" s="56">
        <f>(MAX(0,MIN(Horaires3567310[[#This Row],[Fin corrigée si nuit]],fin_nuit)-MAX(Horaires3567310[[#This Row],[début]],deb_nuit))-IF(Horaires3567310[[#This Row],[PNP Début]]=0,0,MIN(Horaires3567310[[#This Row],[PNP Fin corrigée]],fin_nuit)-MAX(Horaires3567310[[#This Row],[PNP Début corrigé]],deb_nuit)))*24</f>
        <v>0</v>
      </c>
      <c r="P21" s="56">
        <f>(IF(WEEKDAY(Horaires3567310[[#This Row],[Date]],2)=7,MAX(0,MIN(fin_dimJF,Horaires3567310[[#This Row],[Fin corrigée si nuit]])-MAX(deb_dimJF,Horaires3567310[[#This Row],[début]])),0)+IF(WEEKDAY(Horaires3567310[[#This Row],[Date]],2)=6,MAX(0,Horaires3567310[[#This Row],[Fin corrigée si nuit]]-(1+deb_dimJF)),0))*24</f>
        <v>0</v>
      </c>
      <c r="Q21" s="56">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1" s="56">
        <f>(IF(COUNTIF(JF,Horaires3567310[[#This Row],[Date]]),MAX(0,MIN(fin_dimJF,Horaires3567310[[#This Row],[Fin corrigée si nuit]])-MAX(deb_dimJF,Horaires3567310[[#This Row],[début]])),0)+IF(COUNTIF(JF,Horaires3567310[[#This Row],[Date]]+1),MAX(0,Horaires3567310[[#This Row],[Fin corrigée si nuit]]-(1+deb_dimJF)),0))*24</f>
        <v>0</v>
      </c>
      <c r="S21" s="56">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2" spans="1:19" x14ac:dyDescent="0.35">
      <c r="A22" s="9"/>
      <c r="B22" s="1"/>
      <c r="C22" s="18"/>
      <c r="D22" s="18"/>
      <c r="E22" s="3"/>
      <c r="F22" s="3"/>
      <c r="G22" s="3"/>
      <c r="H22" s="3"/>
      <c r="I22" s="57">
        <f>0.1*(Horaires3567310[[#This Row],[Heures de nuit]]+Horaires3567310[[#This Row],[heures jour dimanche]]+Horaires3567310[[#This Row],[heures jour fériés]])</f>
        <v>0</v>
      </c>
      <c r="J22" s="58">
        <f>(MOD(Horaires3567310[[#This Row],[Fin]]-Horaires3567310[[#This Row],[début]],1)-MOD(Horaires3567310[[#This Row],[PNP Fin]]-Horaires3567310[[#This Row],[PNP Début]],1))*24</f>
        <v>0</v>
      </c>
      <c r="K22" s="59">
        <f>IF(Horaires3567310[[#This Row],[PNP Début]]=0,0,IF(Horaires3567310[[#This Row],[PNP Début]]&lt;Horaires3567310[[#This Row],[début]],1,0)+Horaires3567310[[#This Row],[PNP Début]])</f>
        <v>0</v>
      </c>
      <c r="L22" s="60">
        <f>IF(Horaires3567310[[#This Row],[PNP Fin]]=0,0,IF(Horaires3567310[[#This Row],[PNP Fin]]&lt;Horaires3567310[[#This Row],[début]],1,0)+Horaires3567310[[#This Row],[PNP Fin]])</f>
        <v>0</v>
      </c>
      <c r="M22" s="60">
        <f>IF(Horaires3567310[[#This Row],[Fin]]&lt;Horaires3567310[[#This Row],[début]],1,0)+Horaires3567310[[#This Row],[Fin]]</f>
        <v>0</v>
      </c>
      <c r="N22" s="61">
        <f>MAX(0,MIN(Horaires3567310[[#This Row],[Fin corrigée si nuit]],fin_nuit)-MAX(Horaires3567310[[#This Row],[début]],deb_nuit))*24</f>
        <v>0</v>
      </c>
      <c r="O22" s="62">
        <f>(MAX(0,MIN(Horaires3567310[[#This Row],[Fin corrigée si nuit]],fin_nuit)-MAX(Horaires3567310[[#This Row],[début]],deb_nuit))-IF(Horaires3567310[[#This Row],[PNP Début]]=0,0,MIN(Horaires3567310[[#This Row],[PNP Fin corrigée]],fin_nuit)-MAX(Horaires3567310[[#This Row],[PNP Début corrigé]],deb_nuit)))*24</f>
        <v>0</v>
      </c>
      <c r="P22" s="62">
        <f>(IF(WEEKDAY(Horaires3567310[[#This Row],[Date]],2)=7,MAX(0,MIN(fin_dimJF,Horaires3567310[[#This Row],[Fin corrigée si nuit]])-MAX(deb_dimJF,Horaires3567310[[#This Row],[début]])),0)+IF(WEEKDAY(Horaires3567310[[#This Row],[Date]],2)=6,MAX(0,Horaires3567310[[#This Row],[Fin corrigée si nuit]]-(1+deb_dimJF)),0))*24</f>
        <v>0</v>
      </c>
      <c r="Q22"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2" s="62">
        <f>(IF(COUNTIF(JF,Horaires3567310[[#This Row],[Date]]),MAX(0,MIN(fin_dimJF,Horaires3567310[[#This Row],[Fin corrigée si nuit]])-MAX(deb_dimJF,Horaires3567310[[#This Row],[début]])),0)+IF(COUNTIF(JF,Horaires3567310[[#This Row],[Date]]+1),MAX(0,Horaires3567310[[#This Row],[Fin corrigée si nuit]]-(1+deb_dimJF)),0))*24</f>
        <v>0</v>
      </c>
      <c r="S22"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3" spans="1:19" x14ac:dyDescent="0.35">
      <c r="A23" s="9"/>
      <c r="B23" s="1"/>
      <c r="C23" s="18"/>
      <c r="D23" s="18"/>
      <c r="E23" s="3"/>
      <c r="F23" s="3"/>
      <c r="G23" s="3"/>
      <c r="H23" s="3"/>
      <c r="I23" s="57">
        <f>0.1*(Horaires3567310[[#This Row],[Heures de nuit]]+Horaires3567310[[#This Row],[heures jour dimanche]]+Horaires3567310[[#This Row],[heures jour fériés]])</f>
        <v>0</v>
      </c>
      <c r="J23" s="58">
        <f>(MOD(Horaires3567310[[#This Row],[Fin]]-Horaires3567310[[#This Row],[début]],1)-MOD(Horaires3567310[[#This Row],[PNP Fin]]-Horaires3567310[[#This Row],[PNP Début]],1))*24</f>
        <v>0</v>
      </c>
      <c r="K23" s="59">
        <f>IF(Horaires3567310[[#This Row],[PNP Début]]=0,0,IF(Horaires3567310[[#This Row],[PNP Début]]&lt;Horaires3567310[[#This Row],[début]],1,0)+Horaires3567310[[#This Row],[PNP Début]])</f>
        <v>0</v>
      </c>
      <c r="L23" s="60">
        <f>IF(Horaires3567310[[#This Row],[PNP Fin]]=0,0,IF(Horaires3567310[[#This Row],[PNP Fin]]&lt;Horaires3567310[[#This Row],[début]],1,0)+Horaires3567310[[#This Row],[PNP Fin]])</f>
        <v>0</v>
      </c>
      <c r="M23" s="60">
        <f>IF(Horaires3567310[[#This Row],[Fin]]&lt;Horaires3567310[[#This Row],[début]],1,0)+Horaires3567310[[#This Row],[Fin]]</f>
        <v>0</v>
      </c>
      <c r="N23" s="61">
        <f>MAX(0,MIN(Horaires3567310[[#This Row],[Fin corrigée si nuit]],fin_nuit)-MAX(Horaires3567310[[#This Row],[début]],deb_nuit))*24</f>
        <v>0</v>
      </c>
      <c r="O23" s="62">
        <f>(MAX(0,MIN(Horaires3567310[[#This Row],[Fin corrigée si nuit]],fin_nuit)-MAX(Horaires3567310[[#This Row],[début]],deb_nuit))-IF(Horaires3567310[[#This Row],[PNP Début]]=0,0,MIN(Horaires3567310[[#This Row],[PNP Fin corrigée]],fin_nuit)-MAX(Horaires3567310[[#This Row],[PNP Début corrigé]],deb_nuit)))*24</f>
        <v>0</v>
      </c>
      <c r="P23" s="62">
        <f>(IF(WEEKDAY(Horaires3567310[[#This Row],[Date]],2)=7,MAX(0,MIN(fin_dimJF,Horaires3567310[[#This Row],[Fin corrigée si nuit]])-MAX(deb_dimJF,Horaires3567310[[#This Row],[début]])),0)+IF(WEEKDAY(Horaires3567310[[#This Row],[Date]],2)=6,MAX(0,Horaires3567310[[#This Row],[Fin corrigée si nuit]]-(1+deb_dimJF)),0))*24</f>
        <v>0</v>
      </c>
      <c r="Q23"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3" s="62">
        <f>(IF(COUNTIF(JF,Horaires3567310[[#This Row],[Date]]),MAX(0,MIN(fin_dimJF,Horaires3567310[[#This Row],[Fin corrigée si nuit]])-MAX(deb_dimJF,Horaires3567310[[#This Row],[début]])),0)+IF(COUNTIF(JF,Horaires3567310[[#This Row],[Date]]+1),MAX(0,Horaires3567310[[#This Row],[Fin corrigée si nuit]]-(1+deb_dimJF)),0))*24</f>
        <v>0</v>
      </c>
      <c r="S23"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4" spans="1:19" x14ac:dyDescent="0.35">
      <c r="A24" s="9"/>
      <c r="B24" s="1"/>
      <c r="C24" s="2"/>
      <c r="D24" s="2"/>
      <c r="E24" s="3"/>
      <c r="F24" s="3"/>
      <c r="G24" s="3"/>
      <c r="H24" s="3"/>
      <c r="I24" s="57">
        <f>0.1*(Horaires3567310[[#This Row],[Heures de nuit]]+Horaires3567310[[#This Row],[heures jour dimanche]]+Horaires3567310[[#This Row],[heures jour fériés]])</f>
        <v>0</v>
      </c>
      <c r="J24" s="58">
        <f>(MOD(Horaires3567310[[#This Row],[Fin]]-Horaires3567310[[#This Row],[début]],1)-MOD(Horaires3567310[[#This Row],[PNP Fin]]-Horaires3567310[[#This Row],[PNP Début]],1))*24</f>
        <v>0</v>
      </c>
      <c r="K24" s="59">
        <f>IF(Horaires3567310[[#This Row],[PNP Début]]=0,0,IF(Horaires3567310[[#This Row],[PNP Début]]&lt;Horaires3567310[[#This Row],[début]],1,0)+Horaires3567310[[#This Row],[PNP Début]])</f>
        <v>0</v>
      </c>
      <c r="L24" s="60">
        <f>IF(Horaires3567310[[#This Row],[PNP Fin]]=0,0,IF(Horaires3567310[[#This Row],[PNP Fin]]&lt;Horaires3567310[[#This Row],[début]],1,0)+Horaires3567310[[#This Row],[PNP Fin]])</f>
        <v>0</v>
      </c>
      <c r="M24" s="60">
        <f>IF(Horaires3567310[[#This Row],[Fin]]&lt;Horaires3567310[[#This Row],[début]],1,0)+Horaires3567310[[#This Row],[Fin]]</f>
        <v>0</v>
      </c>
      <c r="N24" s="61">
        <f>MAX(0,MIN(Horaires3567310[[#This Row],[Fin corrigée si nuit]],fin_nuit)-MAX(Horaires3567310[[#This Row],[début]],deb_nuit))*24</f>
        <v>0</v>
      </c>
      <c r="O24" s="62">
        <f>(MAX(0,MIN(Horaires3567310[[#This Row],[Fin corrigée si nuit]],fin_nuit)-MAX(Horaires3567310[[#This Row],[début]],deb_nuit))-IF(Horaires3567310[[#This Row],[PNP Début]]=0,0,MIN(Horaires3567310[[#This Row],[PNP Fin corrigée]],fin_nuit)-MAX(Horaires3567310[[#This Row],[PNP Début corrigé]],deb_nuit)))*24</f>
        <v>0</v>
      </c>
      <c r="P24" s="62">
        <f>(IF(WEEKDAY(Horaires3567310[[#This Row],[Date]],2)=7,MAX(0,MIN(fin_dimJF,Horaires3567310[[#This Row],[Fin corrigée si nuit]])-MAX(deb_dimJF,Horaires3567310[[#This Row],[début]])),0)+IF(WEEKDAY(Horaires3567310[[#This Row],[Date]],2)=6,MAX(0,Horaires3567310[[#This Row],[Fin corrigée si nuit]]-(1+deb_dimJF)),0))*24</f>
        <v>0</v>
      </c>
      <c r="Q24"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4" s="62">
        <f>(IF(COUNTIF(JF,Horaires3567310[[#This Row],[Date]]),MAX(0,MIN(fin_dimJF,Horaires3567310[[#This Row],[Fin corrigée si nuit]])-MAX(deb_dimJF,Horaires3567310[[#This Row],[début]])),0)+IF(COUNTIF(JF,Horaires3567310[[#This Row],[Date]]+1),MAX(0,Horaires3567310[[#This Row],[Fin corrigée si nuit]]-(1+deb_dimJF)),0))*24</f>
        <v>0</v>
      </c>
      <c r="S24"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5" spans="1:19" x14ac:dyDescent="0.35">
      <c r="A25" s="9"/>
      <c r="B25" s="1"/>
      <c r="C25" s="2"/>
      <c r="D25" s="2"/>
      <c r="E25" s="3"/>
      <c r="F25" s="3"/>
      <c r="G25" s="3"/>
      <c r="H25" s="3"/>
      <c r="I25" s="57">
        <f>0.1*(Horaires3567310[[#This Row],[Heures de nuit]]+Horaires3567310[[#This Row],[heures jour dimanche]]+Horaires3567310[[#This Row],[heures jour fériés]])</f>
        <v>0</v>
      </c>
      <c r="J25" s="58">
        <f>(MOD(Horaires3567310[[#This Row],[Fin]]-Horaires3567310[[#This Row],[début]],1)-MOD(Horaires3567310[[#This Row],[PNP Fin]]-Horaires3567310[[#This Row],[PNP Début]],1))*24</f>
        <v>0</v>
      </c>
      <c r="K25" s="59">
        <f>IF(Horaires3567310[[#This Row],[PNP Début]]=0,0,IF(Horaires3567310[[#This Row],[PNP Début]]&lt;Horaires3567310[[#This Row],[début]],1,0)+Horaires3567310[[#This Row],[PNP Début]])</f>
        <v>0</v>
      </c>
      <c r="L25" s="60">
        <f>IF(Horaires3567310[[#This Row],[PNP Fin]]=0,0,IF(Horaires3567310[[#This Row],[PNP Fin]]&lt;Horaires3567310[[#This Row],[début]],1,0)+Horaires3567310[[#This Row],[PNP Fin]])</f>
        <v>0</v>
      </c>
      <c r="M25" s="60">
        <f>IF(Horaires3567310[[#This Row],[Fin]]&lt;Horaires3567310[[#This Row],[début]],1,0)+Horaires3567310[[#This Row],[Fin]]</f>
        <v>0</v>
      </c>
      <c r="N25" s="61">
        <f>MAX(0,MIN(Horaires3567310[[#This Row],[Fin corrigée si nuit]],fin_nuit)-MAX(Horaires3567310[[#This Row],[début]],deb_nuit))*24</f>
        <v>0</v>
      </c>
      <c r="O25" s="62">
        <f>(MAX(0,MIN(Horaires3567310[[#This Row],[Fin corrigée si nuit]],fin_nuit)-MAX(Horaires3567310[[#This Row],[début]],deb_nuit))-IF(Horaires3567310[[#This Row],[PNP Début]]=0,0,MIN(Horaires3567310[[#This Row],[PNP Fin corrigée]],fin_nuit)-MAX(Horaires3567310[[#This Row],[PNP Début corrigé]],deb_nuit)))*24</f>
        <v>0</v>
      </c>
      <c r="P25" s="62">
        <f>(IF(WEEKDAY(Horaires3567310[[#This Row],[Date]],2)=7,MAX(0,MIN(fin_dimJF,Horaires3567310[[#This Row],[Fin corrigée si nuit]])-MAX(deb_dimJF,Horaires3567310[[#This Row],[début]])),0)+IF(WEEKDAY(Horaires3567310[[#This Row],[Date]],2)=6,MAX(0,Horaires3567310[[#This Row],[Fin corrigée si nuit]]-(1+deb_dimJF)),0))*24</f>
        <v>0</v>
      </c>
      <c r="Q25"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5" s="62">
        <f>(IF(COUNTIF(JF,Horaires3567310[[#This Row],[Date]]),MAX(0,MIN(fin_dimJF,Horaires3567310[[#This Row],[Fin corrigée si nuit]])-MAX(deb_dimJF,Horaires3567310[[#This Row],[début]])),0)+IF(COUNTIF(JF,Horaires3567310[[#This Row],[Date]]+1),MAX(0,Horaires3567310[[#This Row],[Fin corrigée si nuit]]-(1+deb_dimJF)),0))*24</f>
        <v>0</v>
      </c>
      <c r="S25"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6" spans="1:19" ht="21" customHeight="1" x14ac:dyDescent="0.35">
      <c r="A26" s="9"/>
      <c r="B26" s="1"/>
      <c r="C26" s="2"/>
      <c r="D26" s="2"/>
      <c r="E26" s="3"/>
      <c r="F26" s="3"/>
      <c r="G26" s="3"/>
      <c r="H26" s="3"/>
      <c r="I26" s="57">
        <f>0.1*(Horaires3567310[[#This Row],[Heures de nuit]]+Horaires3567310[[#This Row],[heures jour dimanche]]+Horaires3567310[[#This Row],[heures jour fériés]])</f>
        <v>0</v>
      </c>
      <c r="J26" s="58">
        <f>(MOD(Horaires3567310[[#This Row],[Fin]]-Horaires3567310[[#This Row],[début]],1)-MOD(Horaires3567310[[#This Row],[PNP Fin]]-Horaires3567310[[#This Row],[PNP Début]],1))*24</f>
        <v>0</v>
      </c>
      <c r="K26" s="59">
        <f>IF(Horaires3567310[[#This Row],[PNP Début]]=0,0,IF(Horaires3567310[[#This Row],[PNP Début]]&lt;Horaires3567310[[#This Row],[début]],1,0)+Horaires3567310[[#This Row],[PNP Début]])</f>
        <v>0</v>
      </c>
      <c r="L26" s="60">
        <f>IF(Horaires3567310[[#This Row],[PNP Fin]]=0,0,IF(Horaires3567310[[#This Row],[PNP Fin]]&lt;Horaires3567310[[#This Row],[début]],1,0)+Horaires3567310[[#This Row],[PNP Fin]])</f>
        <v>0</v>
      </c>
      <c r="M26" s="60">
        <f>IF(Horaires3567310[[#This Row],[Fin]]&lt;Horaires3567310[[#This Row],[début]],1,0)+Horaires3567310[[#This Row],[Fin]]</f>
        <v>0</v>
      </c>
      <c r="N26" s="61">
        <f>MAX(0,MIN(Horaires3567310[[#This Row],[Fin corrigée si nuit]],fin_nuit)-MAX(Horaires3567310[[#This Row],[début]],deb_nuit))*24</f>
        <v>0</v>
      </c>
      <c r="O26" s="62">
        <f>(MAX(0,MIN(Horaires3567310[[#This Row],[Fin corrigée si nuit]],fin_nuit)-MAX(Horaires3567310[[#This Row],[début]],deb_nuit))-IF(Horaires3567310[[#This Row],[PNP Début]]=0,0,MIN(Horaires3567310[[#This Row],[PNP Fin corrigée]],fin_nuit)-MAX(Horaires3567310[[#This Row],[PNP Début corrigé]],deb_nuit)))*24</f>
        <v>0</v>
      </c>
      <c r="P26" s="62">
        <f>(IF(WEEKDAY(Horaires3567310[[#This Row],[Date]],2)=7,MAX(0,MIN(fin_dimJF,Horaires3567310[[#This Row],[Fin corrigée si nuit]])-MAX(deb_dimJF,Horaires3567310[[#This Row],[début]])),0)+IF(WEEKDAY(Horaires3567310[[#This Row],[Date]],2)=6,MAX(0,Horaires3567310[[#This Row],[Fin corrigée si nuit]]-(1+deb_dimJF)),0))*24</f>
        <v>0</v>
      </c>
      <c r="Q26"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6" s="62">
        <f>(IF(COUNTIF(JF,Horaires3567310[[#This Row],[Date]]),MAX(0,MIN(fin_dimJF,Horaires3567310[[#This Row],[Fin corrigée si nuit]])-MAX(deb_dimJF,Horaires3567310[[#This Row],[début]])),0)+IF(COUNTIF(JF,Horaires3567310[[#This Row],[Date]]+1),MAX(0,Horaires3567310[[#This Row],[Fin corrigée si nuit]]-(1+deb_dimJF)),0))*24</f>
        <v>0</v>
      </c>
      <c r="S26"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7" spans="1:19" x14ac:dyDescent="0.35">
      <c r="A27" s="9"/>
      <c r="B27" s="1"/>
      <c r="C27" s="2"/>
      <c r="D27" s="2"/>
      <c r="E27" s="3"/>
      <c r="F27" s="3"/>
      <c r="G27" s="3"/>
      <c r="H27" s="3"/>
      <c r="I27" s="57">
        <f>0.1*(Horaires3567310[[#This Row],[Heures de nuit]]+Horaires3567310[[#This Row],[heures jour dimanche]]+Horaires3567310[[#This Row],[heures jour fériés]])</f>
        <v>0</v>
      </c>
      <c r="J27" s="58">
        <f>(MOD(Horaires3567310[[#This Row],[Fin]]-Horaires3567310[[#This Row],[début]],1)-MOD(Horaires3567310[[#This Row],[PNP Fin]]-Horaires3567310[[#This Row],[PNP Début]],1))*24</f>
        <v>0</v>
      </c>
      <c r="K27" s="59">
        <f>IF(Horaires3567310[[#This Row],[PNP Début]]=0,0,IF(Horaires3567310[[#This Row],[PNP Début]]&lt;Horaires3567310[[#This Row],[début]],1,0)+Horaires3567310[[#This Row],[PNP Début]])</f>
        <v>0</v>
      </c>
      <c r="L27" s="60">
        <f>IF(Horaires3567310[[#This Row],[PNP Fin]]=0,0,IF(Horaires3567310[[#This Row],[PNP Fin]]&lt;Horaires3567310[[#This Row],[début]],1,0)+Horaires3567310[[#This Row],[PNP Fin]])</f>
        <v>0</v>
      </c>
      <c r="M27" s="60">
        <f>IF(Horaires3567310[[#This Row],[Fin]]&lt;Horaires3567310[[#This Row],[début]],1,0)+Horaires3567310[[#This Row],[Fin]]</f>
        <v>0</v>
      </c>
      <c r="N27" s="61">
        <f>MAX(0,MIN(Horaires3567310[[#This Row],[Fin corrigée si nuit]],fin_nuit)-MAX(Horaires3567310[[#This Row],[début]],deb_nuit))*24</f>
        <v>0</v>
      </c>
      <c r="O27" s="62">
        <f>(MAX(0,MIN(Horaires3567310[[#This Row],[Fin corrigée si nuit]],fin_nuit)-MAX(Horaires3567310[[#This Row],[début]],deb_nuit))-IF(Horaires3567310[[#This Row],[PNP Début]]=0,0,MIN(Horaires3567310[[#This Row],[PNP Fin corrigée]],fin_nuit)-MAX(Horaires3567310[[#This Row],[PNP Début corrigé]],deb_nuit)))*24</f>
        <v>0</v>
      </c>
      <c r="P27" s="62">
        <f>(IF(WEEKDAY(Horaires3567310[[#This Row],[Date]],2)=7,MAX(0,MIN(fin_dimJF,Horaires3567310[[#This Row],[Fin corrigée si nuit]])-MAX(deb_dimJF,Horaires3567310[[#This Row],[début]])),0)+IF(WEEKDAY(Horaires3567310[[#This Row],[Date]],2)=6,MAX(0,Horaires3567310[[#This Row],[Fin corrigée si nuit]]-(1+deb_dimJF)),0))*24</f>
        <v>0</v>
      </c>
      <c r="Q27"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7" s="62">
        <f>(IF(COUNTIF(JF,Horaires3567310[[#This Row],[Date]]),MAX(0,MIN(fin_dimJF,Horaires3567310[[#This Row],[Fin corrigée si nuit]])-MAX(deb_dimJF,Horaires3567310[[#This Row],[début]])),0)+IF(COUNTIF(JF,Horaires3567310[[#This Row],[Date]]+1),MAX(0,Horaires3567310[[#This Row],[Fin corrigée si nuit]]-(1+deb_dimJF)),0))*24</f>
        <v>0</v>
      </c>
      <c r="S27"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8" spans="1:19" x14ac:dyDescent="0.35">
      <c r="A28" s="9"/>
      <c r="B28" s="1"/>
      <c r="C28" s="2"/>
      <c r="D28" s="2"/>
      <c r="E28" s="3"/>
      <c r="F28" s="3"/>
      <c r="G28" s="3"/>
      <c r="H28" s="3"/>
      <c r="I28" s="57">
        <f>0.1*(Horaires3567310[[#This Row],[Heures de nuit]]+Horaires3567310[[#This Row],[heures jour dimanche]]+Horaires3567310[[#This Row],[heures jour fériés]])</f>
        <v>0</v>
      </c>
      <c r="J28" s="58">
        <f>(MOD(Horaires3567310[[#This Row],[Fin]]-Horaires3567310[[#This Row],[début]],1)-MOD(Horaires3567310[[#This Row],[PNP Fin]]-Horaires3567310[[#This Row],[PNP Début]],1))*24</f>
        <v>0</v>
      </c>
      <c r="K28" s="59">
        <f>IF(Horaires3567310[[#This Row],[PNP Début]]=0,0,IF(Horaires3567310[[#This Row],[PNP Début]]&lt;Horaires3567310[[#This Row],[début]],1,0)+Horaires3567310[[#This Row],[PNP Début]])</f>
        <v>0</v>
      </c>
      <c r="L28" s="60">
        <f>IF(Horaires3567310[[#This Row],[PNP Fin]]=0,0,IF(Horaires3567310[[#This Row],[PNP Fin]]&lt;Horaires3567310[[#This Row],[début]],1,0)+Horaires3567310[[#This Row],[PNP Fin]])</f>
        <v>0</v>
      </c>
      <c r="M28" s="60">
        <f>IF(Horaires3567310[[#This Row],[Fin]]&lt;Horaires3567310[[#This Row],[début]],1,0)+Horaires3567310[[#This Row],[Fin]]</f>
        <v>0</v>
      </c>
      <c r="N28" s="61">
        <f>MAX(0,MIN(Horaires3567310[[#This Row],[Fin corrigée si nuit]],fin_nuit)-MAX(Horaires3567310[[#This Row],[début]],deb_nuit))*24</f>
        <v>0</v>
      </c>
      <c r="O28" s="62">
        <f>(MAX(0,MIN(Horaires3567310[[#This Row],[Fin corrigée si nuit]],fin_nuit)-MAX(Horaires3567310[[#This Row],[début]],deb_nuit))-IF(Horaires3567310[[#This Row],[PNP Début]]=0,0,MIN(Horaires3567310[[#This Row],[PNP Fin corrigée]],fin_nuit)-MAX(Horaires3567310[[#This Row],[PNP Début corrigé]],deb_nuit)))*24</f>
        <v>0</v>
      </c>
      <c r="P28" s="62">
        <f>(IF(WEEKDAY(Horaires3567310[[#This Row],[Date]],2)=7,MAX(0,MIN(fin_dimJF,Horaires3567310[[#This Row],[Fin corrigée si nuit]])-MAX(deb_dimJF,Horaires3567310[[#This Row],[début]])),0)+IF(WEEKDAY(Horaires3567310[[#This Row],[Date]],2)=6,MAX(0,Horaires3567310[[#This Row],[Fin corrigée si nuit]]-(1+deb_dimJF)),0))*24</f>
        <v>0</v>
      </c>
      <c r="Q28"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8" s="62">
        <f>(IF(COUNTIF(JF,Horaires3567310[[#This Row],[Date]]),MAX(0,MIN(fin_dimJF,Horaires3567310[[#This Row],[Fin corrigée si nuit]])-MAX(deb_dimJF,Horaires3567310[[#This Row],[début]])),0)+IF(COUNTIF(JF,Horaires3567310[[#This Row],[Date]]+1),MAX(0,Horaires3567310[[#This Row],[Fin corrigée si nuit]]-(1+deb_dimJF)),0))*24</f>
        <v>0</v>
      </c>
      <c r="S28"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29" spans="1:19" x14ac:dyDescent="0.35">
      <c r="A29" s="9"/>
      <c r="B29" s="1"/>
      <c r="C29" s="2"/>
      <c r="D29" s="2"/>
      <c r="E29" s="3"/>
      <c r="F29" s="3"/>
      <c r="G29" s="3"/>
      <c r="H29" s="3"/>
      <c r="I29" s="57">
        <f>0.1*(Horaires3567310[[#This Row],[Heures de nuit]]+Horaires3567310[[#This Row],[heures jour dimanche]]+Horaires3567310[[#This Row],[heures jour fériés]])</f>
        <v>0</v>
      </c>
      <c r="J29" s="58">
        <f>(MOD(Horaires3567310[[#This Row],[Fin]]-Horaires3567310[[#This Row],[début]],1)-MOD(Horaires3567310[[#This Row],[PNP Fin]]-Horaires3567310[[#This Row],[PNP Début]],1))*24</f>
        <v>0</v>
      </c>
      <c r="K29" s="59">
        <f>IF(Horaires3567310[[#This Row],[PNP Début]]=0,0,IF(Horaires3567310[[#This Row],[PNP Début]]&lt;Horaires3567310[[#This Row],[début]],1,0)+Horaires3567310[[#This Row],[PNP Début]])</f>
        <v>0</v>
      </c>
      <c r="L29" s="60">
        <f>IF(Horaires3567310[[#This Row],[PNP Fin]]=0,0,IF(Horaires3567310[[#This Row],[PNP Fin]]&lt;Horaires3567310[[#This Row],[début]],1,0)+Horaires3567310[[#This Row],[PNP Fin]])</f>
        <v>0</v>
      </c>
      <c r="M29" s="60">
        <f>IF(Horaires3567310[[#This Row],[Fin]]&lt;Horaires3567310[[#This Row],[début]],1,0)+Horaires3567310[[#This Row],[Fin]]</f>
        <v>0</v>
      </c>
      <c r="N29" s="61">
        <f>MAX(0,MIN(Horaires3567310[[#This Row],[Fin corrigée si nuit]],fin_nuit)-MAX(Horaires3567310[[#This Row],[début]],deb_nuit))*24</f>
        <v>0</v>
      </c>
      <c r="O29" s="62">
        <f>(MAX(0,MIN(Horaires3567310[[#This Row],[Fin corrigée si nuit]],fin_nuit)-MAX(Horaires3567310[[#This Row],[début]],deb_nuit))-IF(Horaires3567310[[#This Row],[PNP Début]]=0,0,MIN(Horaires3567310[[#This Row],[PNP Fin corrigée]],fin_nuit)-MAX(Horaires3567310[[#This Row],[PNP Début corrigé]],deb_nuit)))*24</f>
        <v>0</v>
      </c>
      <c r="P29" s="62">
        <f>(IF(WEEKDAY(Horaires3567310[[#This Row],[Date]],2)=7,MAX(0,MIN(fin_dimJF,Horaires3567310[[#This Row],[Fin corrigée si nuit]])-MAX(deb_dimJF,Horaires3567310[[#This Row],[début]])),0)+IF(WEEKDAY(Horaires3567310[[#This Row],[Date]],2)=6,MAX(0,Horaires3567310[[#This Row],[Fin corrigée si nuit]]-(1+deb_dimJF)),0))*24</f>
        <v>0</v>
      </c>
      <c r="Q29"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29" s="62">
        <f>(IF(COUNTIF(JF,Horaires3567310[[#This Row],[Date]]),MAX(0,MIN(fin_dimJF,Horaires3567310[[#This Row],[Fin corrigée si nuit]])-MAX(deb_dimJF,Horaires3567310[[#This Row],[début]])),0)+IF(COUNTIF(JF,Horaires3567310[[#This Row],[Date]]+1),MAX(0,Horaires3567310[[#This Row],[Fin corrigée si nuit]]-(1+deb_dimJF)),0))*24</f>
        <v>0</v>
      </c>
      <c r="S29"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0" spans="1:19" x14ac:dyDescent="0.35">
      <c r="A30" s="9"/>
      <c r="B30" s="1"/>
      <c r="C30" s="2"/>
      <c r="D30" s="2"/>
      <c r="E30" s="3"/>
      <c r="F30" s="3"/>
      <c r="G30" s="3"/>
      <c r="H30" s="3"/>
      <c r="I30" s="57">
        <f>0.1*(Horaires3567310[[#This Row],[Heures de nuit]]+Horaires3567310[[#This Row],[heures jour dimanche]]+Horaires3567310[[#This Row],[heures jour fériés]])</f>
        <v>0</v>
      </c>
      <c r="J30" s="58">
        <f>(MOD(Horaires3567310[[#This Row],[Fin]]-Horaires3567310[[#This Row],[début]],1)-MOD(Horaires3567310[[#This Row],[PNP Fin]]-Horaires3567310[[#This Row],[PNP Début]],1))*24</f>
        <v>0</v>
      </c>
      <c r="K30" s="59">
        <f>IF(Horaires3567310[[#This Row],[PNP Début]]=0,0,IF(Horaires3567310[[#This Row],[PNP Début]]&lt;Horaires3567310[[#This Row],[début]],1,0)+Horaires3567310[[#This Row],[PNP Début]])</f>
        <v>0</v>
      </c>
      <c r="L30" s="60">
        <f>IF(Horaires3567310[[#This Row],[PNP Fin]]=0,0,IF(Horaires3567310[[#This Row],[PNP Fin]]&lt;Horaires3567310[[#This Row],[début]],1,0)+Horaires3567310[[#This Row],[PNP Fin]])</f>
        <v>0</v>
      </c>
      <c r="M30" s="60">
        <f>IF(Horaires3567310[[#This Row],[Fin]]&lt;Horaires3567310[[#This Row],[début]],1,0)+Horaires3567310[[#This Row],[Fin]]</f>
        <v>0</v>
      </c>
      <c r="N30" s="61">
        <f>MAX(0,MIN(Horaires3567310[[#This Row],[Fin corrigée si nuit]],fin_nuit)-MAX(Horaires3567310[[#This Row],[début]],deb_nuit))*24</f>
        <v>0</v>
      </c>
      <c r="O30" s="62">
        <f>(MAX(0,MIN(Horaires3567310[[#This Row],[Fin corrigée si nuit]],fin_nuit)-MAX(Horaires3567310[[#This Row],[début]],deb_nuit))-IF(Horaires3567310[[#This Row],[PNP Début]]=0,0,MIN(Horaires3567310[[#This Row],[PNP Fin corrigée]],fin_nuit)-MAX(Horaires3567310[[#This Row],[PNP Début corrigé]],deb_nuit)))*24</f>
        <v>0</v>
      </c>
      <c r="P30" s="62">
        <f>(IF(WEEKDAY(Horaires3567310[[#This Row],[Date]],2)=7,MAX(0,MIN(fin_dimJF,Horaires3567310[[#This Row],[Fin corrigée si nuit]])-MAX(deb_dimJF,Horaires3567310[[#This Row],[début]])),0)+IF(WEEKDAY(Horaires3567310[[#This Row],[Date]],2)=6,MAX(0,Horaires3567310[[#This Row],[Fin corrigée si nuit]]-(1+deb_dimJF)),0))*24</f>
        <v>0</v>
      </c>
      <c r="Q30"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0" s="62">
        <f>(IF(COUNTIF(JF,Horaires3567310[[#This Row],[Date]]),MAX(0,MIN(fin_dimJF,Horaires3567310[[#This Row],[Fin corrigée si nuit]])-MAX(deb_dimJF,Horaires3567310[[#This Row],[début]])),0)+IF(COUNTIF(JF,Horaires3567310[[#This Row],[Date]]+1),MAX(0,Horaires3567310[[#This Row],[Fin corrigée si nuit]]-(1+deb_dimJF)),0))*24</f>
        <v>0</v>
      </c>
      <c r="S30"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1" spans="1:19" x14ac:dyDescent="0.35">
      <c r="A31" s="9"/>
      <c r="B31" s="1"/>
      <c r="C31" s="2"/>
      <c r="D31" s="2"/>
      <c r="E31" s="3"/>
      <c r="F31" s="3"/>
      <c r="G31" s="3"/>
      <c r="H31" s="3"/>
      <c r="I31" s="57">
        <f>0.1*(Horaires3567310[[#This Row],[Heures de nuit]]+Horaires3567310[[#This Row],[heures jour dimanche]]+Horaires3567310[[#This Row],[heures jour fériés]])</f>
        <v>0</v>
      </c>
      <c r="J31" s="58">
        <f>(MOD(Horaires3567310[[#This Row],[Fin]]-Horaires3567310[[#This Row],[début]],1)-MOD(Horaires3567310[[#This Row],[PNP Fin]]-Horaires3567310[[#This Row],[PNP Début]],1))*24</f>
        <v>0</v>
      </c>
      <c r="K31" s="59">
        <f>IF(Horaires3567310[[#This Row],[PNP Début]]=0,0,IF(Horaires3567310[[#This Row],[PNP Début]]&lt;Horaires3567310[[#This Row],[début]],1,0)+Horaires3567310[[#This Row],[PNP Début]])</f>
        <v>0</v>
      </c>
      <c r="L31" s="60">
        <f>IF(Horaires3567310[[#This Row],[PNP Fin]]=0,0,IF(Horaires3567310[[#This Row],[PNP Fin]]&lt;Horaires3567310[[#This Row],[début]],1,0)+Horaires3567310[[#This Row],[PNP Fin]])</f>
        <v>0</v>
      </c>
      <c r="M31" s="60">
        <f>IF(Horaires3567310[[#This Row],[Fin]]&lt;Horaires3567310[[#This Row],[début]],1,0)+Horaires3567310[[#This Row],[Fin]]</f>
        <v>0</v>
      </c>
      <c r="N31" s="61">
        <f>MAX(0,MIN(Horaires3567310[[#This Row],[Fin corrigée si nuit]],fin_nuit)-MAX(Horaires3567310[[#This Row],[début]],deb_nuit))*24</f>
        <v>0</v>
      </c>
      <c r="O31" s="62">
        <f>(MAX(0,MIN(Horaires3567310[[#This Row],[Fin corrigée si nuit]],fin_nuit)-MAX(Horaires3567310[[#This Row],[début]],deb_nuit))-IF(Horaires3567310[[#This Row],[PNP Début]]=0,0,MIN(Horaires3567310[[#This Row],[PNP Fin corrigée]],fin_nuit)-MAX(Horaires3567310[[#This Row],[PNP Début corrigé]],deb_nuit)))*24</f>
        <v>0</v>
      </c>
      <c r="P31" s="62">
        <f>(IF(WEEKDAY(Horaires3567310[[#This Row],[Date]],2)=7,MAX(0,MIN(fin_dimJF,Horaires3567310[[#This Row],[Fin corrigée si nuit]])-MAX(deb_dimJF,Horaires3567310[[#This Row],[début]])),0)+IF(WEEKDAY(Horaires3567310[[#This Row],[Date]],2)=6,MAX(0,Horaires3567310[[#This Row],[Fin corrigée si nuit]]-(1+deb_dimJF)),0))*24</f>
        <v>0</v>
      </c>
      <c r="Q31"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1" s="62">
        <f>(IF(COUNTIF(JF,Horaires3567310[[#This Row],[Date]]),MAX(0,MIN(fin_dimJF,Horaires3567310[[#This Row],[Fin corrigée si nuit]])-MAX(deb_dimJF,Horaires3567310[[#This Row],[début]])),0)+IF(COUNTIF(JF,Horaires3567310[[#This Row],[Date]]+1),MAX(0,Horaires3567310[[#This Row],[Fin corrigée si nuit]]-(1+deb_dimJF)),0))*24</f>
        <v>0</v>
      </c>
      <c r="S31"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2" spans="1:19" ht="14.5" customHeight="1" x14ac:dyDescent="0.35">
      <c r="A32" s="9"/>
      <c r="B32" s="1"/>
      <c r="C32" s="2"/>
      <c r="D32" s="2"/>
      <c r="E32" s="3"/>
      <c r="F32" s="3"/>
      <c r="G32" s="3"/>
      <c r="H32" s="3"/>
      <c r="I32" s="57">
        <f>0.1*(Horaires3567310[[#This Row],[Heures de nuit]]+Horaires3567310[[#This Row],[heures jour dimanche]]+Horaires3567310[[#This Row],[heures jour fériés]])</f>
        <v>0</v>
      </c>
      <c r="J32" s="58">
        <f>(MOD(Horaires3567310[[#This Row],[Fin]]-Horaires3567310[[#This Row],[début]],1)-MOD(Horaires3567310[[#This Row],[PNP Fin]]-Horaires3567310[[#This Row],[PNP Début]],1))*24</f>
        <v>0</v>
      </c>
      <c r="K32" s="59">
        <f>IF(Horaires3567310[[#This Row],[PNP Début]]=0,0,IF(Horaires3567310[[#This Row],[PNP Début]]&lt;Horaires3567310[[#This Row],[début]],1,0)+Horaires3567310[[#This Row],[PNP Début]])</f>
        <v>0</v>
      </c>
      <c r="L32" s="60">
        <f>IF(Horaires3567310[[#This Row],[PNP Fin]]=0,0,IF(Horaires3567310[[#This Row],[PNP Fin]]&lt;Horaires3567310[[#This Row],[début]],1,0)+Horaires3567310[[#This Row],[PNP Fin]])</f>
        <v>0</v>
      </c>
      <c r="M32" s="60">
        <f>IF(Horaires3567310[[#This Row],[Fin]]&lt;Horaires3567310[[#This Row],[début]],1,0)+Horaires3567310[[#This Row],[Fin]]</f>
        <v>0</v>
      </c>
      <c r="N32" s="61">
        <f>MAX(0,MIN(Horaires3567310[[#This Row],[Fin corrigée si nuit]],fin_nuit)-MAX(Horaires3567310[[#This Row],[début]],deb_nuit))*24</f>
        <v>0</v>
      </c>
      <c r="O32" s="62">
        <f>(MAX(0,MIN(Horaires3567310[[#This Row],[Fin corrigée si nuit]],fin_nuit)-MAX(Horaires3567310[[#This Row],[début]],deb_nuit))-IF(Horaires3567310[[#This Row],[PNP Début]]=0,0,MIN(Horaires3567310[[#This Row],[PNP Fin corrigée]],fin_nuit)-MAX(Horaires3567310[[#This Row],[PNP Début corrigé]],deb_nuit)))*24</f>
        <v>0</v>
      </c>
      <c r="P32" s="62">
        <f>(IF(WEEKDAY(Horaires3567310[[#This Row],[Date]],2)=7,MAX(0,MIN(fin_dimJF,Horaires3567310[[#This Row],[Fin corrigée si nuit]])-MAX(deb_dimJF,Horaires3567310[[#This Row],[début]])),0)+IF(WEEKDAY(Horaires3567310[[#This Row],[Date]],2)=6,MAX(0,Horaires3567310[[#This Row],[Fin corrigée si nuit]]-(1+deb_dimJF)),0))*24</f>
        <v>0</v>
      </c>
      <c r="Q32"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2" s="62">
        <f>(IF(COUNTIF(JF,Horaires3567310[[#This Row],[Date]]),MAX(0,MIN(fin_dimJF,Horaires3567310[[#This Row],[Fin corrigée si nuit]])-MAX(deb_dimJF,Horaires3567310[[#This Row],[début]])),0)+IF(COUNTIF(JF,Horaires3567310[[#This Row],[Date]]+1),MAX(0,Horaires3567310[[#This Row],[Fin corrigée si nuit]]-(1+deb_dimJF)),0))*24</f>
        <v>0</v>
      </c>
      <c r="S32"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3" spans="1:19" x14ac:dyDescent="0.35">
      <c r="A33" s="9"/>
      <c r="B33" s="1"/>
      <c r="C33" s="2"/>
      <c r="D33" s="2"/>
      <c r="E33" s="3"/>
      <c r="F33" s="3"/>
      <c r="G33" s="3"/>
      <c r="H33" s="3"/>
      <c r="I33" s="57">
        <f>0.1*(Horaires3567310[[#This Row],[Heures de nuit]]+Horaires3567310[[#This Row],[heures jour dimanche]]+Horaires3567310[[#This Row],[heures jour fériés]])</f>
        <v>0</v>
      </c>
      <c r="J33" s="58">
        <f>(MOD(Horaires3567310[[#This Row],[Fin]]-Horaires3567310[[#This Row],[début]],1)-MOD(Horaires3567310[[#This Row],[PNP Fin]]-Horaires3567310[[#This Row],[PNP Début]],1))*24</f>
        <v>0</v>
      </c>
      <c r="K33" s="59">
        <f>IF(Horaires3567310[[#This Row],[PNP Début]]=0,0,IF(Horaires3567310[[#This Row],[PNP Début]]&lt;Horaires3567310[[#This Row],[début]],1,0)+Horaires3567310[[#This Row],[PNP Début]])</f>
        <v>0</v>
      </c>
      <c r="L33" s="60">
        <f>IF(Horaires3567310[[#This Row],[PNP Fin]]=0,0,IF(Horaires3567310[[#This Row],[PNP Fin]]&lt;Horaires3567310[[#This Row],[début]],1,0)+Horaires3567310[[#This Row],[PNP Fin]])</f>
        <v>0</v>
      </c>
      <c r="M33" s="60">
        <f>IF(Horaires3567310[[#This Row],[Fin]]&lt;Horaires3567310[[#This Row],[début]],1,0)+Horaires3567310[[#This Row],[Fin]]</f>
        <v>0</v>
      </c>
      <c r="N33" s="61">
        <f>MAX(0,MIN(Horaires3567310[[#This Row],[Fin corrigée si nuit]],fin_nuit)-MAX(Horaires3567310[[#This Row],[début]],deb_nuit))*24</f>
        <v>0</v>
      </c>
      <c r="O33" s="62">
        <f>(MAX(0,MIN(Horaires3567310[[#This Row],[Fin corrigée si nuit]],fin_nuit)-MAX(Horaires3567310[[#This Row],[début]],deb_nuit))-IF(Horaires3567310[[#This Row],[PNP Début]]=0,0,MIN(Horaires3567310[[#This Row],[PNP Fin corrigée]],fin_nuit)-MAX(Horaires3567310[[#This Row],[PNP Début corrigé]],deb_nuit)))*24</f>
        <v>0</v>
      </c>
      <c r="P33" s="62">
        <f>(IF(WEEKDAY(Horaires3567310[[#This Row],[Date]],2)=7,MAX(0,MIN(fin_dimJF,Horaires3567310[[#This Row],[Fin corrigée si nuit]])-MAX(deb_dimJF,Horaires3567310[[#This Row],[début]])),0)+IF(WEEKDAY(Horaires3567310[[#This Row],[Date]],2)=6,MAX(0,Horaires3567310[[#This Row],[Fin corrigée si nuit]]-(1+deb_dimJF)),0))*24</f>
        <v>0</v>
      </c>
      <c r="Q33"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3" s="62">
        <f>(IF(COUNTIF(JF,Horaires3567310[[#This Row],[Date]]),MAX(0,MIN(fin_dimJF,Horaires3567310[[#This Row],[Fin corrigée si nuit]])-MAX(deb_dimJF,Horaires3567310[[#This Row],[début]])),0)+IF(COUNTIF(JF,Horaires3567310[[#This Row],[Date]]+1),MAX(0,Horaires3567310[[#This Row],[Fin corrigée si nuit]]-(1+deb_dimJF)),0))*24</f>
        <v>0</v>
      </c>
      <c r="S33"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4" spans="1:19" x14ac:dyDescent="0.35">
      <c r="A34" s="9"/>
      <c r="B34" s="1"/>
      <c r="C34" s="2"/>
      <c r="D34" s="2"/>
      <c r="E34" s="3"/>
      <c r="F34" s="3"/>
      <c r="G34" s="3"/>
      <c r="H34" s="3"/>
      <c r="I34" s="57">
        <f>0.1*(Horaires3567310[[#This Row],[Heures de nuit]]+Horaires3567310[[#This Row],[heures jour dimanche]]+Horaires3567310[[#This Row],[heures jour fériés]])</f>
        <v>0</v>
      </c>
      <c r="J34" s="58">
        <f>(MOD(Horaires3567310[[#This Row],[Fin]]-Horaires3567310[[#This Row],[début]],1)-MOD(Horaires3567310[[#This Row],[PNP Fin]]-Horaires3567310[[#This Row],[PNP Début]],1))*24</f>
        <v>0</v>
      </c>
      <c r="K34" s="59">
        <f>IF(Horaires3567310[[#This Row],[PNP Début]]=0,0,IF(Horaires3567310[[#This Row],[PNP Début]]&lt;Horaires3567310[[#This Row],[début]],1,0)+Horaires3567310[[#This Row],[PNP Début]])</f>
        <v>0</v>
      </c>
      <c r="L34" s="60">
        <f>IF(Horaires3567310[[#This Row],[PNP Fin]]=0,0,IF(Horaires3567310[[#This Row],[PNP Fin]]&lt;Horaires3567310[[#This Row],[début]],1,0)+Horaires3567310[[#This Row],[PNP Fin]])</f>
        <v>0</v>
      </c>
      <c r="M34" s="60">
        <f>IF(Horaires3567310[[#This Row],[Fin]]&lt;Horaires3567310[[#This Row],[début]],1,0)+Horaires3567310[[#This Row],[Fin]]</f>
        <v>0</v>
      </c>
      <c r="N34" s="61">
        <f>MAX(0,MIN(Horaires3567310[[#This Row],[Fin corrigée si nuit]],fin_nuit)-MAX(Horaires3567310[[#This Row],[début]],deb_nuit))*24</f>
        <v>0</v>
      </c>
      <c r="O34" s="62">
        <f>(MAX(0,MIN(Horaires3567310[[#This Row],[Fin corrigée si nuit]],fin_nuit)-MAX(Horaires3567310[[#This Row],[début]],deb_nuit))-IF(Horaires3567310[[#This Row],[PNP Début]]=0,0,MIN(Horaires3567310[[#This Row],[PNP Fin corrigée]],fin_nuit)-MAX(Horaires3567310[[#This Row],[PNP Début corrigé]],deb_nuit)))*24</f>
        <v>0</v>
      </c>
      <c r="P34" s="62">
        <f>(IF(WEEKDAY(Horaires3567310[[#This Row],[Date]],2)=7,MAX(0,MIN(fin_dimJF,Horaires3567310[[#This Row],[Fin corrigée si nuit]])-MAX(deb_dimJF,Horaires3567310[[#This Row],[début]])),0)+IF(WEEKDAY(Horaires3567310[[#This Row],[Date]],2)=6,MAX(0,Horaires3567310[[#This Row],[Fin corrigée si nuit]]-(1+deb_dimJF)),0))*24</f>
        <v>0</v>
      </c>
      <c r="Q34"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4" s="62">
        <f>(IF(COUNTIF(JF,Horaires3567310[[#This Row],[Date]]),MAX(0,MIN(fin_dimJF,Horaires3567310[[#This Row],[Fin corrigée si nuit]])-MAX(deb_dimJF,Horaires3567310[[#This Row],[début]])),0)+IF(COUNTIF(JF,Horaires3567310[[#This Row],[Date]]+1),MAX(0,Horaires3567310[[#This Row],[Fin corrigée si nuit]]-(1+deb_dimJF)),0))*24</f>
        <v>0</v>
      </c>
      <c r="S34"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5" spans="1:19" x14ac:dyDescent="0.35">
      <c r="A35" s="9"/>
      <c r="B35" s="1"/>
      <c r="C35" s="2"/>
      <c r="D35" s="2"/>
      <c r="E35" s="3"/>
      <c r="F35" s="3"/>
      <c r="G35" s="3"/>
      <c r="H35" s="3"/>
      <c r="I35" s="57">
        <f>0.1*(Horaires3567310[[#This Row],[Heures de nuit]]+Horaires3567310[[#This Row],[heures jour dimanche]]+Horaires3567310[[#This Row],[heures jour fériés]])</f>
        <v>0</v>
      </c>
      <c r="J35" s="58">
        <f>(MOD(Horaires3567310[[#This Row],[Fin]]-Horaires3567310[[#This Row],[début]],1)-MOD(Horaires3567310[[#This Row],[PNP Fin]]-Horaires3567310[[#This Row],[PNP Début]],1))*24</f>
        <v>0</v>
      </c>
      <c r="K35" s="59">
        <f>IF(Horaires3567310[[#This Row],[PNP Début]]=0,0,IF(Horaires3567310[[#This Row],[PNP Début]]&lt;Horaires3567310[[#This Row],[début]],1,0)+Horaires3567310[[#This Row],[PNP Début]])</f>
        <v>0</v>
      </c>
      <c r="L35" s="60">
        <f>IF(Horaires3567310[[#This Row],[PNP Fin]]=0,0,IF(Horaires3567310[[#This Row],[PNP Fin]]&lt;Horaires3567310[[#This Row],[début]],1,0)+Horaires3567310[[#This Row],[PNP Fin]])</f>
        <v>0</v>
      </c>
      <c r="M35" s="60">
        <f>IF(Horaires3567310[[#This Row],[Fin]]&lt;Horaires3567310[[#This Row],[début]],1,0)+Horaires3567310[[#This Row],[Fin]]</f>
        <v>0</v>
      </c>
      <c r="N35" s="61">
        <f>MAX(0,MIN(Horaires3567310[[#This Row],[Fin corrigée si nuit]],fin_nuit)-MAX(Horaires3567310[[#This Row],[début]],deb_nuit))*24</f>
        <v>0</v>
      </c>
      <c r="O35" s="62">
        <f>(MAX(0,MIN(Horaires3567310[[#This Row],[Fin corrigée si nuit]],fin_nuit)-MAX(Horaires3567310[[#This Row],[début]],deb_nuit))-IF(Horaires3567310[[#This Row],[PNP Début]]=0,0,MIN(Horaires3567310[[#This Row],[PNP Fin corrigée]],fin_nuit)-MAX(Horaires3567310[[#This Row],[PNP Début corrigé]],deb_nuit)))*24</f>
        <v>0</v>
      </c>
      <c r="P35" s="62">
        <f>(IF(WEEKDAY(Horaires3567310[[#This Row],[Date]],2)=7,MAX(0,MIN(fin_dimJF,Horaires3567310[[#This Row],[Fin corrigée si nuit]])-MAX(deb_dimJF,Horaires3567310[[#This Row],[début]])),0)+IF(WEEKDAY(Horaires3567310[[#This Row],[Date]],2)=6,MAX(0,Horaires3567310[[#This Row],[Fin corrigée si nuit]]-(1+deb_dimJF)),0))*24</f>
        <v>0</v>
      </c>
      <c r="Q35"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5" s="62">
        <f>(IF(COUNTIF(JF,Horaires3567310[[#This Row],[Date]]),MAX(0,MIN(fin_dimJF,Horaires3567310[[#This Row],[Fin corrigée si nuit]])-MAX(deb_dimJF,Horaires3567310[[#This Row],[début]])),0)+IF(COUNTIF(JF,Horaires3567310[[#This Row],[Date]]+1),MAX(0,Horaires3567310[[#This Row],[Fin corrigée si nuit]]-(1+deb_dimJF)),0))*24</f>
        <v>0</v>
      </c>
      <c r="S35"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6" spans="1:19" x14ac:dyDescent="0.35">
      <c r="A36" s="9"/>
      <c r="B36" s="1"/>
      <c r="C36" s="2"/>
      <c r="D36" s="2"/>
      <c r="E36" s="3"/>
      <c r="F36" s="3"/>
      <c r="G36" s="3"/>
      <c r="H36" s="3"/>
      <c r="I36" s="57">
        <f>0.1*(Horaires3567310[[#This Row],[Heures de nuit]]+Horaires3567310[[#This Row],[heures jour dimanche]]+Horaires3567310[[#This Row],[heures jour fériés]])</f>
        <v>0</v>
      </c>
      <c r="J36" s="58">
        <f>(MOD(Horaires3567310[[#This Row],[Fin]]-Horaires3567310[[#This Row],[début]],1)-MOD(Horaires3567310[[#This Row],[PNP Fin]]-Horaires3567310[[#This Row],[PNP Début]],1))*24</f>
        <v>0</v>
      </c>
      <c r="K36" s="59">
        <f>IF(Horaires3567310[[#This Row],[PNP Début]]=0,0,IF(Horaires3567310[[#This Row],[PNP Début]]&lt;Horaires3567310[[#This Row],[début]],1,0)+Horaires3567310[[#This Row],[PNP Début]])</f>
        <v>0</v>
      </c>
      <c r="L36" s="60">
        <f>IF(Horaires3567310[[#This Row],[PNP Fin]]=0,0,IF(Horaires3567310[[#This Row],[PNP Fin]]&lt;Horaires3567310[[#This Row],[début]],1,0)+Horaires3567310[[#This Row],[PNP Fin]])</f>
        <v>0</v>
      </c>
      <c r="M36" s="60">
        <f>IF(Horaires3567310[[#This Row],[Fin]]&lt;Horaires3567310[[#This Row],[début]],1,0)+Horaires3567310[[#This Row],[Fin]]</f>
        <v>0</v>
      </c>
      <c r="N36" s="61">
        <f>MAX(0,MIN(Horaires3567310[[#This Row],[Fin corrigée si nuit]],fin_nuit)-MAX(Horaires3567310[[#This Row],[début]],deb_nuit))*24</f>
        <v>0</v>
      </c>
      <c r="O36" s="62">
        <f>(MAX(0,MIN(Horaires3567310[[#This Row],[Fin corrigée si nuit]],fin_nuit)-MAX(Horaires3567310[[#This Row],[début]],deb_nuit))-IF(Horaires3567310[[#This Row],[PNP Début]]=0,0,MIN(Horaires3567310[[#This Row],[PNP Fin corrigée]],fin_nuit)-MAX(Horaires3567310[[#This Row],[PNP Début corrigé]],deb_nuit)))*24</f>
        <v>0</v>
      </c>
      <c r="P36" s="62">
        <f>(IF(WEEKDAY(Horaires3567310[[#This Row],[Date]],2)=7,MAX(0,MIN(fin_dimJF,Horaires3567310[[#This Row],[Fin corrigée si nuit]])-MAX(deb_dimJF,Horaires3567310[[#This Row],[début]])),0)+IF(WEEKDAY(Horaires3567310[[#This Row],[Date]],2)=6,MAX(0,Horaires3567310[[#This Row],[Fin corrigée si nuit]]-(1+deb_dimJF)),0))*24</f>
        <v>0</v>
      </c>
      <c r="Q36"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6" s="62">
        <f>(IF(COUNTIF(JF,Horaires3567310[[#This Row],[Date]]),MAX(0,MIN(fin_dimJF,Horaires3567310[[#This Row],[Fin corrigée si nuit]])-MAX(deb_dimJF,Horaires3567310[[#This Row],[début]])),0)+IF(COUNTIF(JF,Horaires3567310[[#This Row],[Date]]+1),MAX(0,Horaires3567310[[#This Row],[Fin corrigée si nuit]]-(1+deb_dimJF)),0))*24</f>
        <v>0</v>
      </c>
      <c r="S36"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7" spans="1:19" x14ac:dyDescent="0.35">
      <c r="A37" s="9"/>
      <c r="B37" s="1"/>
      <c r="C37" s="2"/>
      <c r="D37" s="2"/>
      <c r="E37" s="3"/>
      <c r="F37" s="3"/>
      <c r="G37" s="3"/>
      <c r="H37" s="3"/>
      <c r="I37" s="57">
        <f>0.1*(Horaires3567310[[#This Row],[Heures de nuit]]+Horaires3567310[[#This Row],[heures jour dimanche]]+Horaires3567310[[#This Row],[heures jour fériés]])</f>
        <v>0</v>
      </c>
      <c r="J37" s="58">
        <f>(MOD(Horaires3567310[[#This Row],[Fin]]-Horaires3567310[[#This Row],[début]],1)-MOD(Horaires3567310[[#This Row],[PNP Fin]]-Horaires3567310[[#This Row],[PNP Début]],1))*24</f>
        <v>0</v>
      </c>
      <c r="K37" s="59">
        <f>IF(Horaires3567310[[#This Row],[PNP Début]]=0,0,IF(Horaires3567310[[#This Row],[PNP Début]]&lt;Horaires3567310[[#This Row],[début]],1,0)+Horaires3567310[[#This Row],[PNP Début]])</f>
        <v>0</v>
      </c>
      <c r="L37" s="60">
        <f>IF(Horaires3567310[[#This Row],[PNP Fin]]=0,0,IF(Horaires3567310[[#This Row],[PNP Fin]]&lt;Horaires3567310[[#This Row],[début]],1,0)+Horaires3567310[[#This Row],[PNP Fin]])</f>
        <v>0</v>
      </c>
      <c r="M37" s="60">
        <f>IF(Horaires3567310[[#This Row],[Fin]]&lt;Horaires3567310[[#This Row],[début]],1,0)+Horaires3567310[[#This Row],[Fin]]</f>
        <v>0</v>
      </c>
      <c r="N37" s="61">
        <f>MAX(0,MIN(Horaires3567310[[#This Row],[Fin corrigée si nuit]],fin_nuit)-MAX(Horaires3567310[[#This Row],[début]],deb_nuit))*24</f>
        <v>0</v>
      </c>
      <c r="O37" s="62">
        <f>(MAX(0,MIN(Horaires3567310[[#This Row],[Fin corrigée si nuit]],fin_nuit)-MAX(Horaires3567310[[#This Row],[début]],deb_nuit))-IF(Horaires3567310[[#This Row],[PNP Début]]=0,0,MIN(Horaires3567310[[#This Row],[PNP Fin corrigée]],fin_nuit)-MAX(Horaires3567310[[#This Row],[PNP Début corrigé]],deb_nuit)))*24</f>
        <v>0</v>
      </c>
      <c r="P37" s="62">
        <f>(IF(WEEKDAY(Horaires3567310[[#This Row],[Date]],2)=7,MAX(0,MIN(fin_dimJF,Horaires3567310[[#This Row],[Fin corrigée si nuit]])-MAX(deb_dimJF,Horaires3567310[[#This Row],[début]])),0)+IF(WEEKDAY(Horaires3567310[[#This Row],[Date]],2)=6,MAX(0,Horaires3567310[[#This Row],[Fin corrigée si nuit]]-(1+deb_dimJF)),0))*24</f>
        <v>0</v>
      </c>
      <c r="Q37"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7" s="62">
        <f>(IF(COUNTIF(JF,Horaires3567310[[#This Row],[Date]]),MAX(0,MIN(fin_dimJF,Horaires3567310[[#This Row],[Fin corrigée si nuit]])-MAX(deb_dimJF,Horaires3567310[[#This Row],[début]])),0)+IF(COUNTIF(JF,Horaires3567310[[#This Row],[Date]]+1),MAX(0,Horaires3567310[[#This Row],[Fin corrigée si nuit]]-(1+deb_dimJF)),0))*24</f>
        <v>0</v>
      </c>
      <c r="S37"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8" spans="1:19" x14ac:dyDescent="0.35">
      <c r="A38" s="9"/>
      <c r="B38" s="1"/>
      <c r="C38" s="2"/>
      <c r="D38" s="2"/>
      <c r="E38" s="3"/>
      <c r="F38" s="3"/>
      <c r="G38" s="3"/>
      <c r="H38" s="3"/>
      <c r="I38" s="57">
        <f>0.1*(Horaires3567310[[#This Row],[Heures de nuit]]+Horaires3567310[[#This Row],[heures jour dimanche]]+Horaires3567310[[#This Row],[heures jour fériés]])</f>
        <v>0</v>
      </c>
      <c r="J38" s="58">
        <f>(MOD(Horaires3567310[[#This Row],[Fin]]-Horaires3567310[[#This Row],[début]],1)-MOD(Horaires3567310[[#This Row],[PNP Fin]]-Horaires3567310[[#This Row],[PNP Début]],1))*24</f>
        <v>0</v>
      </c>
      <c r="K38" s="59">
        <f>IF(Horaires3567310[[#This Row],[PNP Début]]=0,0,IF(Horaires3567310[[#This Row],[PNP Début]]&lt;Horaires3567310[[#This Row],[début]],1,0)+Horaires3567310[[#This Row],[PNP Début]])</f>
        <v>0</v>
      </c>
      <c r="L38" s="60">
        <f>IF(Horaires3567310[[#This Row],[PNP Fin]]=0,0,IF(Horaires3567310[[#This Row],[PNP Fin]]&lt;Horaires3567310[[#This Row],[début]],1,0)+Horaires3567310[[#This Row],[PNP Fin]])</f>
        <v>0</v>
      </c>
      <c r="M38" s="60">
        <f>IF(Horaires3567310[[#This Row],[Fin]]&lt;Horaires3567310[[#This Row],[début]],1,0)+Horaires3567310[[#This Row],[Fin]]</f>
        <v>0</v>
      </c>
      <c r="N38" s="61">
        <f>MAX(0,MIN(Horaires3567310[[#This Row],[Fin corrigée si nuit]],fin_nuit)-MAX(Horaires3567310[[#This Row],[début]],deb_nuit))*24</f>
        <v>0</v>
      </c>
      <c r="O38" s="62">
        <f>(MAX(0,MIN(Horaires3567310[[#This Row],[Fin corrigée si nuit]],fin_nuit)-MAX(Horaires3567310[[#This Row],[début]],deb_nuit))-IF(Horaires3567310[[#This Row],[PNP Début]]=0,0,MIN(Horaires3567310[[#This Row],[PNP Fin corrigée]],fin_nuit)-MAX(Horaires3567310[[#This Row],[PNP Début corrigé]],deb_nuit)))*24</f>
        <v>0</v>
      </c>
      <c r="P38" s="62">
        <f>(IF(WEEKDAY(Horaires3567310[[#This Row],[Date]],2)=7,MAX(0,MIN(fin_dimJF,Horaires3567310[[#This Row],[Fin corrigée si nuit]])-MAX(deb_dimJF,Horaires3567310[[#This Row],[début]])),0)+IF(WEEKDAY(Horaires3567310[[#This Row],[Date]],2)=6,MAX(0,Horaires3567310[[#This Row],[Fin corrigée si nuit]]-(1+deb_dimJF)),0))*24</f>
        <v>0</v>
      </c>
      <c r="Q38"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8" s="62">
        <f>(IF(COUNTIF(JF,Horaires3567310[[#This Row],[Date]]),MAX(0,MIN(fin_dimJF,Horaires3567310[[#This Row],[Fin corrigée si nuit]])-MAX(deb_dimJF,Horaires3567310[[#This Row],[début]])),0)+IF(COUNTIF(JF,Horaires3567310[[#This Row],[Date]]+1),MAX(0,Horaires3567310[[#This Row],[Fin corrigée si nuit]]-(1+deb_dimJF)),0))*24</f>
        <v>0</v>
      </c>
      <c r="S38"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39" spans="1:19" x14ac:dyDescent="0.35">
      <c r="A39" s="9"/>
      <c r="B39" s="1"/>
      <c r="C39" s="2"/>
      <c r="D39" s="2"/>
      <c r="E39" s="3"/>
      <c r="F39" s="3"/>
      <c r="G39" s="3"/>
      <c r="H39" s="3"/>
      <c r="I39" s="57">
        <f>0.1*(Horaires3567310[[#This Row],[Heures de nuit]]+Horaires3567310[[#This Row],[heures jour dimanche]]+Horaires3567310[[#This Row],[heures jour fériés]])</f>
        <v>0</v>
      </c>
      <c r="J39" s="58">
        <f>(MOD(Horaires3567310[[#This Row],[Fin]]-Horaires3567310[[#This Row],[début]],1)-MOD(Horaires3567310[[#This Row],[PNP Fin]]-Horaires3567310[[#This Row],[PNP Début]],1))*24</f>
        <v>0</v>
      </c>
      <c r="K39" s="59">
        <f>IF(Horaires3567310[[#This Row],[PNP Début]]=0,0,IF(Horaires3567310[[#This Row],[PNP Début]]&lt;Horaires3567310[[#This Row],[début]],1,0)+Horaires3567310[[#This Row],[PNP Début]])</f>
        <v>0</v>
      </c>
      <c r="L39" s="60">
        <f>IF(Horaires3567310[[#This Row],[PNP Fin]]=0,0,IF(Horaires3567310[[#This Row],[PNP Fin]]&lt;Horaires3567310[[#This Row],[début]],1,0)+Horaires3567310[[#This Row],[PNP Fin]])</f>
        <v>0</v>
      </c>
      <c r="M39" s="60">
        <f>IF(Horaires3567310[[#This Row],[Fin]]&lt;Horaires3567310[[#This Row],[début]],1,0)+Horaires3567310[[#This Row],[Fin]]</f>
        <v>0</v>
      </c>
      <c r="N39" s="61">
        <f>MAX(0,MIN(Horaires3567310[[#This Row],[Fin corrigée si nuit]],fin_nuit)-MAX(Horaires3567310[[#This Row],[début]],deb_nuit))*24</f>
        <v>0</v>
      </c>
      <c r="O39" s="62">
        <f>(MAX(0,MIN(Horaires3567310[[#This Row],[Fin corrigée si nuit]],fin_nuit)-MAX(Horaires3567310[[#This Row],[début]],deb_nuit))-IF(Horaires3567310[[#This Row],[PNP Début]]=0,0,MIN(Horaires3567310[[#This Row],[PNP Fin corrigée]],fin_nuit)-MAX(Horaires3567310[[#This Row],[PNP Début corrigé]],deb_nuit)))*24</f>
        <v>0</v>
      </c>
      <c r="P39" s="62">
        <f>(IF(WEEKDAY(Horaires3567310[[#This Row],[Date]],2)=7,MAX(0,MIN(fin_dimJF,Horaires3567310[[#This Row],[Fin corrigée si nuit]])-MAX(deb_dimJF,Horaires3567310[[#This Row],[début]])),0)+IF(WEEKDAY(Horaires3567310[[#This Row],[Date]],2)=6,MAX(0,Horaires3567310[[#This Row],[Fin corrigée si nuit]]-(1+deb_dimJF)),0))*24</f>
        <v>0</v>
      </c>
      <c r="Q39"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39" s="62">
        <f>(IF(COUNTIF(JF,Horaires3567310[[#This Row],[Date]]),MAX(0,MIN(fin_dimJF,Horaires3567310[[#This Row],[Fin corrigée si nuit]])-MAX(deb_dimJF,Horaires3567310[[#This Row],[début]])),0)+IF(COUNTIF(JF,Horaires3567310[[#This Row],[Date]]+1),MAX(0,Horaires3567310[[#This Row],[Fin corrigée si nuit]]-(1+deb_dimJF)),0))*24</f>
        <v>0</v>
      </c>
      <c r="S39"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0" spans="1:19" x14ac:dyDescent="0.35">
      <c r="A40" s="9"/>
      <c r="B40" s="1"/>
      <c r="C40" s="2"/>
      <c r="D40" s="2"/>
      <c r="E40" s="3"/>
      <c r="F40" s="3"/>
      <c r="G40" s="3"/>
      <c r="H40" s="3"/>
      <c r="I40" s="57">
        <f>0.1*(Horaires3567310[[#This Row],[Heures de nuit]]+Horaires3567310[[#This Row],[heures jour dimanche]]+Horaires3567310[[#This Row],[heures jour fériés]])</f>
        <v>0</v>
      </c>
      <c r="J40" s="58">
        <f>(MOD(Horaires3567310[[#This Row],[Fin]]-Horaires3567310[[#This Row],[début]],1)-MOD(Horaires3567310[[#This Row],[PNP Fin]]-Horaires3567310[[#This Row],[PNP Début]],1))*24</f>
        <v>0</v>
      </c>
      <c r="K40" s="59">
        <f>IF(Horaires3567310[[#This Row],[PNP Début]]=0,0,IF(Horaires3567310[[#This Row],[PNP Début]]&lt;Horaires3567310[[#This Row],[début]],1,0)+Horaires3567310[[#This Row],[PNP Début]])</f>
        <v>0</v>
      </c>
      <c r="L40" s="60">
        <f>IF(Horaires3567310[[#This Row],[PNP Fin]]=0,0,IF(Horaires3567310[[#This Row],[PNP Fin]]&lt;Horaires3567310[[#This Row],[début]],1,0)+Horaires3567310[[#This Row],[PNP Fin]])</f>
        <v>0</v>
      </c>
      <c r="M40" s="60">
        <f>IF(Horaires3567310[[#This Row],[Fin]]&lt;Horaires3567310[[#This Row],[début]],1,0)+Horaires3567310[[#This Row],[Fin]]</f>
        <v>0</v>
      </c>
      <c r="N40" s="61">
        <f>MAX(0,MIN(Horaires3567310[[#This Row],[Fin corrigée si nuit]],fin_nuit)-MAX(Horaires3567310[[#This Row],[début]],deb_nuit))*24</f>
        <v>0</v>
      </c>
      <c r="O40" s="62">
        <f>(MAX(0,MIN(Horaires3567310[[#This Row],[Fin corrigée si nuit]],fin_nuit)-MAX(Horaires3567310[[#This Row],[début]],deb_nuit))-IF(Horaires3567310[[#This Row],[PNP Début]]=0,0,MIN(Horaires3567310[[#This Row],[PNP Fin corrigée]],fin_nuit)-MAX(Horaires3567310[[#This Row],[PNP Début corrigé]],deb_nuit)))*24</f>
        <v>0</v>
      </c>
      <c r="P40" s="62">
        <f>(IF(WEEKDAY(Horaires3567310[[#This Row],[Date]],2)=7,MAX(0,MIN(fin_dimJF,Horaires3567310[[#This Row],[Fin corrigée si nuit]])-MAX(deb_dimJF,Horaires3567310[[#This Row],[début]])),0)+IF(WEEKDAY(Horaires3567310[[#This Row],[Date]],2)=6,MAX(0,Horaires3567310[[#This Row],[Fin corrigée si nuit]]-(1+deb_dimJF)),0))*24</f>
        <v>0</v>
      </c>
      <c r="Q40"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0" s="62">
        <f>(IF(COUNTIF(JF,Horaires3567310[[#This Row],[Date]]),MAX(0,MIN(fin_dimJF,Horaires3567310[[#This Row],[Fin corrigée si nuit]])-MAX(deb_dimJF,Horaires3567310[[#This Row],[début]])),0)+IF(COUNTIF(JF,Horaires3567310[[#This Row],[Date]]+1),MAX(0,Horaires3567310[[#This Row],[Fin corrigée si nuit]]-(1+deb_dimJF)),0))*24</f>
        <v>0</v>
      </c>
      <c r="S40"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1" spans="1:19" x14ac:dyDescent="0.35">
      <c r="A41" s="9"/>
      <c r="B41" s="1"/>
      <c r="C41" s="2"/>
      <c r="D41" s="2"/>
      <c r="E41" s="3"/>
      <c r="F41" s="3"/>
      <c r="G41" s="3"/>
      <c r="H41" s="3"/>
      <c r="I41" s="57">
        <f>0.1*(Horaires3567310[[#This Row],[Heures de nuit]]+Horaires3567310[[#This Row],[heures jour dimanche]]+Horaires3567310[[#This Row],[heures jour fériés]])</f>
        <v>0</v>
      </c>
      <c r="J41" s="58">
        <f>(MOD(Horaires3567310[[#This Row],[Fin]]-Horaires3567310[[#This Row],[début]],1)-MOD(Horaires3567310[[#This Row],[PNP Fin]]-Horaires3567310[[#This Row],[PNP Début]],1))*24</f>
        <v>0</v>
      </c>
      <c r="K41" s="59">
        <f>IF(Horaires3567310[[#This Row],[PNP Début]]=0,0,IF(Horaires3567310[[#This Row],[PNP Début]]&lt;Horaires3567310[[#This Row],[début]],1,0)+Horaires3567310[[#This Row],[PNP Début]])</f>
        <v>0</v>
      </c>
      <c r="L41" s="60">
        <f>IF(Horaires3567310[[#This Row],[PNP Fin]]=0,0,IF(Horaires3567310[[#This Row],[PNP Fin]]&lt;Horaires3567310[[#This Row],[début]],1,0)+Horaires3567310[[#This Row],[PNP Fin]])</f>
        <v>0</v>
      </c>
      <c r="M41" s="60">
        <f>IF(Horaires3567310[[#This Row],[Fin]]&lt;Horaires3567310[[#This Row],[début]],1,0)+Horaires3567310[[#This Row],[Fin]]</f>
        <v>0</v>
      </c>
      <c r="N41" s="61">
        <f>MAX(0,MIN(Horaires3567310[[#This Row],[Fin corrigée si nuit]],fin_nuit)-MAX(Horaires3567310[[#This Row],[début]],deb_nuit))*24</f>
        <v>0</v>
      </c>
      <c r="O41" s="62">
        <f>(MAX(0,MIN(Horaires3567310[[#This Row],[Fin corrigée si nuit]],fin_nuit)-MAX(Horaires3567310[[#This Row],[début]],deb_nuit))-IF(Horaires3567310[[#This Row],[PNP Début]]=0,0,MIN(Horaires3567310[[#This Row],[PNP Fin corrigée]],fin_nuit)-MAX(Horaires3567310[[#This Row],[PNP Début corrigé]],deb_nuit)))*24</f>
        <v>0</v>
      </c>
      <c r="P41" s="62">
        <f>(IF(WEEKDAY(Horaires3567310[[#This Row],[Date]],2)=7,MAX(0,MIN(fin_dimJF,Horaires3567310[[#This Row],[Fin corrigée si nuit]])-MAX(deb_dimJF,Horaires3567310[[#This Row],[début]])),0)+IF(WEEKDAY(Horaires3567310[[#This Row],[Date]],2)=6,MAX(0,Horaires3567310[[#This Row],[Fin corrigée si nuit]]-(1+deb_dimJF)),0))*24</f>
        <v>0</v>
      </c>
      <c r="Q41"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1" s="62">
        <f>(IF(COUNTIF(JF,Horaires3567310[[#This Row],[Date]]),MAX(0,MIN(fin_dimJF,Horaires3567310[[#This Row],[Fin corrigée si nuit]])-MAX(deb_dimJF,Horaires3567310[[#This Row],[début]])),0)+IF(COUNTIF(JF,Horaires3567310[[#This Row],[Date]]+1),MAX(0,Horaires3567310[[#This Row],[Fin corrigée si nuit]]-(1+deb_dimJF)),0))*24</f>
        <v>0</v>
      </c>
      <c r="S41"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2" spans="1:19" x14ac:dyDescent="0.35">
      <c r="A42" s="9"/>
      <c r="B42" s="1"/>
      <c r="C42" s="2"/>
      <c r="D42" s="2"/>
      <c r="E42" s="3"/>
      <c r="F42" s="3"/>
      <c r="G42" s="3"/>
      <c r="H42" s="3"/>
      <c r="I42" s="57">
        <f>0.1*(Horaires3567310[[#This Row],[Heures de nuit]]+Horaires3567310[[#This Row],[heures jour dimanche]]+Horaires3567310[[#This Row],[heures jour fériés]])</f>
        <v>0</v>
      </c>
      <c r="J42" s="58">
        <f>(MOD(Horaires3567310[[#This Row],[Fin]]-Horaires3567310[[#This Row],[début]],1)-MOD(Horaires3567310[[#This Row],[PNP Fin]]-Horaires3567310[[#This Row],[PNP Début]],1))*24</f>
        <v>0</v>
      </c>
      <c r="K42" s="59">
        <f>IF(Horaires3567310[[#This Row],[PNP Début]]=0,0,IF(Horaires3567310[[#This Row],[PNP Début]]&lt;Horaires3567310[[#This Row],[début]],1,0)+Horaires3567310[[#This Row],[PNP Début]])</f>
        <v>0</v>
      </c>
      <c r="L42" s="60">
        <f>IF(Horaires3567310[[#This Row],[PNP Fin]]=0,0,IF(Horaires3567310[[#This Row],[PNP Fin]]&lt;Horaires3567310[[#This Row],[début]],1,0)+Horaires3567310[[#This Row],[PNP Fin]])</f>
        <v>0</v>
      </c>
      <c r="M42" s="60">
        <f>IF(Horaires3567310[[#This Row],[Fin]]&lt;Horaires3567310[[#This Row],[début]],1,0)+Horaires3567310[[#This Row],[Fin]]</f>
        <v>0</v>
      </c>
      <c r="N42" s="61">
        <f>MAX(0,MIN(Horaires3567310[[#This Row],[Fin corrigée si nuit]],fin_nuit)-MAX(Horaires3567310[[#This Row],[début]],deb_nuit))*24</f>
        <v>0</v>
      </c>
      <c r="O42" s="62">
        <f>(MAX(0,MIN(Horaires3567310[[#This Row],[Fin corrigée si nuit]],fin_nuit)-MAX(Horaires3567310[[#This Row],[début]],deb_nuit))-IF(Horaires3567310[[#This Row],[PNP Début]]=0,0,MIN(Horaires3567310[[#This Row],[PNP Fin corrigée]],fin_nuit)-MAX(Horaires3567310[[#This Row],[PNP Début corrigé]],deb_nuit)))*24</f>
        <v>0</v>
      </c>
      <c r="P42" s="62">
        <f>(IF(WEEKDAY(Horaires3567310[[#This Row],[Date]],2)=7,MAX(0,MIN(fin_dimJF,Horaires3567310[[#This Row],[Fin corrigée si nuit]])-MAX(deb_dimJF,Horaires3567310[[#This Row],[début]])),0)+IF(WEEKDAY(Horaires3567310[[#This Row],[Date]],2)=6,MAX(0,Horaires3567310[[#This Row],[Fin corrigée si nuit]]-(1+deb_dimJF)),0))*24</f>
        <v>0</v>
      </c>
      <c r="Q42"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2" s="62">
        <f>(IF(COUNTIF(JF,Horaires3567310[[#This Row],[Date]]),MAX(0,MIN(fin_dimJF,Horaires3567310[[#This Row],[Fin corrigée si nuit]])-MAX(deb_dimJF,Horaires3567310[[#This Row],[début]])),0)+IF(COUNTIF(JF,Horaires3567310[[#This Row],[Date]]+1),MAX(0,Horaires3567310[[#This Row],[Fin corrigée si nuit]]-(1+deb_dimJF)),0))*24</f>
        <v>0</v>
      </c>
      <c r="S42"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3" spans="1:19" x14ac:dyDescent="0.35">
      <c r="A43" s="9"/>
      <c r="B43" s="1"/>
      <c r="C43" s="2"/>
      <c r="D43" s="2"/>
      <c r="E43" s="3"/>
      <c r="F43" s="3"/>
      <c r="G43" s="3"/>
      <c r="H43" s="3"/>
      <c r="I43" s="57">
        <f>0.1*(Horaires3567310[[#This Row],[Heures de nuit]]+Horaires3567310[[#This Row],[heures jour dimanche]]+Horaires3567310[[#This Row],[heures jour fériés]])</f>
        <v>0</v>
      </c>
      <c r="J43" s="58">
        <f>(MOD(Horaires3567310[[#This Row],[Fin]]-Horaires3567310[[#This Row],[début]],1)-MOD(Horaires3567310[[#This Row],[PNP Fin]]-Horaires3567310[[#This Row],[PNP Début]],1))*24</f>
        <v>0</v>
      </c>
      <c r="K43" s="59">
        <f>IF(Horaires3567310[[#This Row],[PNP Début]]=0,0,IF(Horaires3567310[[#This Row],[PNP Début]]&lt;Horaires3567310[[#This Row],[début]],1,0)+Horaires3567310[[#This Row],[PNP Début]])</f>
        <v>0</v>
      </c>
      <c r="L43" s="60">
        <f>IF(Horaires3567310[[#This Row],[PNP Fin]]=0,0,IF(Horaires3567310[[#This Row],[PNP Fin]]&lt;Horaires3567310[[#This Row],[début]],1,0)+Horaires3567310[[#This Row],[PNP Fin]])</f>
        <v>0</v>
      </c>
      <c r="M43" s="60">
        <f>IF(Horaires3567310[[#This Row],[Fin]]&lt;Horaires3567310[[#This Row],[début]],1,0)+Horaires3567310[[#This Row],[Fin]]</f>
        <v>0</v>
      </c>
      <c r="N43" s="61">
        <f>MAX(0,MIN(Horaires3567310[[#This Row],[Fin corrigée si nuit]],fin_nuit)-MAX(Horaires3567310[[#This Row],[début]],deb_nuit))*24</f>
        <v>0</v>
      </c>
      <c r="O43" s="62">
        <f>(MAX(0,MIN(Horaires3567310[[#This Row],[Fin corrigée si nuit]],fin_nuit)-MAX(Horaires3567310[[#This Row],[début]],deb_nuit))-IF(Horaires3567310[[#This Row],[PNP Début]]=0,0,MIN(Horaires3567310[[#This Row],[PNP Fin corrigée]],fin_nuit)-MAX(Horaires3567310[[#This Row],[PNP Début corrigé]],deb_nuit)))*24</f>
        <v>0</v>
      </c>
      <c r="P43" s="62">
        <f>(IF(WEEKDAY(Horaires3567310[[#This Row],[Date]],2)=7,MAX(0,MIN(fin_dimJF,Horaires3567310[[#This Row],[Fin corrigée si nuit]])-MAX(deb_dimJF,Horaires3567310[[#This Row],[début]])),0)+IF(WEEKDAY(Horaires3567310[[#This Row],[Date]],2)=6,MAX(0,Horaires3567310[[#This Row],[Fin corrigée si nuit]]-(1+deb_dimJF)),0))*24</f>
        <v>0</v>
      </c>
      <c r="Q43"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3" s="62">
        <f>(IF(COUNTIF(JF,Horaires3567310[[#This Row],[Date]]),MAX(0,MIN(fin_dimJF,Horaires3567310[[#This Row],[Fin corrigée si nuit]])-MAX(deb_dimJF,Horaires3567310[[#This Row],[début]])),0)+IF(COUNTIF(JF,Horaires3567310[[#This Row],[Date]]+1),MAX(0,Horaires3567310[[#This Row],[Fin corrigée si nuit]]-(1+deb_dimJF)),0))*24</f>
        <v>0</v>
      </c>
      <c r="S43"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4" spans="1:19" x14ac:dyDescent="0.35">
      <c r="A44" s="9"/>
      <c r="B44" s="1"/>
      <c r="C44" s="2"/>
      <c r="D44" s="2"/>
      <c r="E44" s="3"/>
      <c r="F44" s="3"/>
      <c r="G44" s="3"/>
      <c r="H44" s="3"/>
      <c r="I44" s="57">
        <f>0.1*(Horaires3567310[[#This Row],[Heures de nuit]]+Horaires3567310[[#This Row],[heures jour dimanche]]+Horaires3567310[[#This Row],[heures jour fériés]])</f>
        <v>0</v>
      </c>
      <c r="J44" s="58">
        <f>(MOD(Horaires3567310[[#This Row],[Fin]]-Horaires3567310[[#This Row],[début]],1)-MOD(Horaires3567310[[#This Row],[PNP Fin]]-Horaires3567310[[#This Row],[PNP Début]],1))*24</f>
        <v>0</v>
      </c>
      <c r="K44" s="59">
        <f>IF(Horaires3567310[[#This Row],[PNP Début]]=0,0,IF(Horaires3567310[[#This Row],[PNP Début]]&lt;Horaires3567310[[#This Row],[début]],1,0)+Horaires3567310[[#This Row],[PNP Début]])</f>
        <v>0</v>
      </c>
      <c r="L44" s="60">
        <f>IF(Horaires3567310[[#This Row],[PNP Fin]]=0,0,IF(Horaires3567310[[#This Row],[PNP Fin]]&lt;Horaires3567310[[#This Row],[début]],1,0)+Horaires3567310[[#This Row],[PNP Fin]])</f>
        <v>0</v>
      </c>
      <c r="M44" s="60">
        <f>IF(Horaires3567310[[#This Row],[Fin]]&lt;Horaires3567310[[#This Row],[début]],1,0)+Horaires3567310[[#This Row],[Fin]]</f>
        <v>0</v>
      </c>
      <c r="N44" s="61">
        <f>MAX(0,MIN(Horaires3567310[[#This Row],[Fin corrigée si nuit]],fin_nuit)-MAX(Horaires3567310[[#This Row],[début]],deb_nuit))*24</f>
        <v>0</v>
      </c>
      <c r="O44" s="62">
        <f>(MAX(0,MIN(Horaires3567310[[#This Row],[Fin corrigée si nuit]],fin_nuit)-MAX(Horaires3567310[[#This Row],[début]],deb_nuit))-IF(Horaires3567310[[#This Row],[PNP Début]]=0,0,MIN(Horaires3567310[[#This Row],[PNP Fin corrigée]],fin_nuit)-MAX(Horaires3567310[[#This Row],[PNP Début corrigé]],deb_nuit)))*24</f>
        <v>0</v>
      </c>
      <c r="P44" s="62">
        <f>(IF(WEEKDAY(Horaires3567310[[#This Row],[Date]],2)=7,MAX(0,MIN(fin_dimJF,Horaires3567310[[#This Row],[Fin corrigée si nuit]])-MAX(deb_dimJF,Horaires3567310[[#This Row],[début]])),0)+IF(WEEKDAY(Horaires3567310[[#This Row],[Date]],2)=6,MAX(0,Horaires3567310[[#This Row],[Fin corrigée si nuit]]-(1+deb_dimJF)),0))*24</f>
        <v>0</v>
      </c>
      <c r="Q44"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4" s="62">
        <f>(IF(COUNTIF(JF,Horaires3567310[[#This Row],[Date]]),MAX(0,MIN(fin_dimJF,Horaires3567310[[#This Row],[Fin corrigée si nuit]])-MAX(deb_dimJF,Horaires3567310[[#This Row],[début]])),0)+IF(COUNTIF(JF,Horaires3567310[[#This Row],[Date]]+1),MAX(0,Horaires3567310[[#This Row],[Fin corrigée si nuit]]-(1+deb_dimJF)),0))*24</f>
        <v>0</v>
      </c>
      <c r="S44"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5" spans="1:19" x14ac:dyDescent="0.35">
      <c r="A45" s="9"/>
      <c r="B45" s="1"/>
      <c r="C45" s="2"/>
      <c r="D45" s="2"/>
      <c r="E45" s="3"/>
      <c r="F45" s="3"/>
      <c r="G45" s="3"/>
      <c r="H45" s="3"/>
      <c r="I45" s="57">
        <f>0.1*(Horaires3567310[[#This Row],[Heures de nuit]]+Horaires3567310[[#This Row],[heures jour dimanche]]+Horaires3567310[[#This Row],[heures jour fériés]])</f>
        <v>0</v>
      </c>
      <c r="J45" s="58">
        <f>(MOD(Horaires3567310[[#This Row],[Fin]]-Horaires3567310[[#This Row],[début]],1)-MOD(Horaires3567310[[#This Row],[PNP Fin]]-Horaires3567310[[#This Row],[PNP Début]],1))*24</f>
        <v>0</v>
      </c>
      <c r="K45" s="59">
        <f>IF(Horaires3567310[[#This Row],[PNP Début]]=0,0,IF(Horaires3567310[[#This Row],[PNP Début]]&lt;Horaires3567310[[#This Row],[début]],1,0)+Horaires3567310[[#This Row],[PNP Début]])</f>
        <v>0</v>
      </c>
      <c r="L45" s="60">
        <f>IF(Horaires3567310[[#This Row],[PNP Fin]]=0,0,IF(Horaires3567310[[#This Row],[PNP Fin]]&lt;Horaires3567310[[#This Row],[début]],1,0)+Horaires3567310[[#This Row],[PNP Fin]])</f>
        <v>0</v>
      </c>
      <c r="M45" s="60">
        <f>IF(Horaires3567310[[#This Row],[Fin]]&lt;Horaires3567310[[#This Row],[début]],1,0)+Horaires3567310[[#This Row],[Fin]]</f>
        <v>0</v>
      </c>
      <c r="N45" s="61">
        <f>MAX(0,MIN(Horaires3567310[[#This Row],[Fin corrigée si nuit]],fin_nuit)-MAX(Horaires3567310[[#This Row],[début]],deb_nuit))*24</f>
        <v>0</v>
      </c>
      <c r="O45" s="62">
        <f>(MAX(0,MIN(Horaires3567310[[#This Row],[Fin corrigée si nuit]],fin_nuit)-MAX(Horaires3567310[[#This Row],[début]],deb_nuit))-IF(Horaires3567310[[#This Row],[PNP Début]]=0,0,MIN(Horaires3567310[[#This Row],[PNP Fin corrigée]],fin_nuit)-MAX(Horaires3567310[[#This Row],[PNP Début corrigé]],deb_nuit)))*24</f>
        <v>0</v>
      </c>
      <c r="P45" s="62">
        <f>(IF(WEEKDAY(Horaires3567310[[#This Row],[Date]],2)=7,MAX(0,MIN(fin_dimJF,Horaires3567310[[#This Row],[Fin corrigée si nuit]])-MAX(deb_dimJF,Horaires3567310[[#This Row],[début]])),0)+IF(WEEKDAY(Horaires3567310[[#This Row],[Date]],2)=6,MAX(0,Horaires3567310[[#This Row],[Fin corrigée si nuit]]-(1+deb_dimJF)),0))*24</f>
        <v>0</v>
      </c>
      <c r="Q45"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5" s="62">
        <f>(IF(COUNTIF(JF,Horaires3567310[[#This Row],[Date]]),MAX(0,MIN(fin_dimJF,Horaires3567310[[#This Row],[Fin corrigée si nuit]])-MAX(deb_dimJF,Horaires3567310[[#This Row],[début]])),0)+IF(COUNTIF(JF,Horaires3567310[[#This Row],[Date]]+1),MAX(0,Horaires3567310[[#This Row],[Fin corrigée si nuit]]-(1+deb_dimJF)),0))*24</f>
        <v>0</v>
      </c>
      <c r="S45"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6" spans="1:19" x14ac:dyDescent="0.35">
      <c r="A46" s="9"/>
      <c r="B46" s="1"/>
      <c r="C46" s="2"/>
      <c r="D46" s="2"/>
      <c r="E46" s="3"/>
      <c r="F46" s="3"/>
      <c r="G46" s="3"/>
      <c r="H46" s="3"/>
      <c r="I46" s="57">
        <f>0.1*(Horaires3567310[[#This Row],[Heures de nuit]]+Horaires3567310[[#This Row],[heures jour dimanche]]+Horaires3567310[[#This Row],[heures jour fériés]])</f>
        <v>0</v>
      </c>
      <c r="J46" s="58">
        <f>(MOD(Horaires3567310[[#This Row],[Fin]]-Horaires3567310[[#This Row],[début]],1)-MOD(Horaires3567310[[#This Row],[PNP Fin]]-Horaires3567310[[#This Row],[PNP Début]],1))*24</f>
        <v>0</v>
      </c>
      <c r="K46" s="59">
        <f>IF(Horaires3567310[[#This Row],[PNP Début]]=0,0,IF(Horaires3567310[[#This Row],[PNP Début]]&lt;Horaires3567310[[#This Row],[début]],1,0)+Horaires3567310[[#This Row],[PNP Début]])</f>
        <v>0</v>
      </c>
      <c r="L46" s="60">
        <f>IF(Horaires3567310[[#This Row],[PNP Fin]]=0,0,IF(Horaires3567310[[#This Row],[PNP Fin]]&lt;Horaires3567310[[#This Row],[début]],1,0)+Horaires3567310[[#This Row],[PNP Fin]])</f>
        <v>0</v>
      </c>
      <c r="M46" s="60">
        <f>IF(Horaires3567310[[#This Row],[Fin]]&lt;Horaires3567310[[#This Row],[début]],1,0)+Horaires3567310[[#This Row],[Fin]]</f>
        <v>0</v>
      </c>
      <c r="N46" s="61">
        <f>MAX(0,MIN(Horaires3567310[[#This Row],[Fin corrigée si nuit]],fin_nuit)-MAX(Horaires3567310[[#This Row],[début]],deb_nuit))*24</f>
        <v>0</v>
      </c>
      <c r="O46" s="62">
        <f>(MAX(0,MIN(Horaires3567310[[#This Row],[Fin corrigée si nuit]],fin_nuit)-MAX(Horaires3567310[[#This Row],[début]],deb_nuit))-IF(Horaires3567310[[#This Row],[PNP Début]]=0,0,MIN(Horaires3567310[[#This Row],[PNP Fin corrigée]],fin_nuit)-MAX(Horaires3567310[[#This Row],[PNP Début corrigé]],deb_nuit)))*24</f>
        <v>0</v>
      </c>
      <c r="P46" s="62">
        <f>(IF(WEEKDAY(Horaires3567310[[#This Row],[Date]],2)=7,MAX(0,MIN(fin_dimJF,Horaires3567310[[#This Row],[Fin corrigée si nuit]])-MAX(deb_dimJF,Horaires3567310[[#This Row],[début]])),0)+IF(WEEKDAY(Horaires3567310[[#This Row],[Date]],2)=6,MAX(0,Horaires3567310[[#This Row],[Fin corrigée si nuit]]-(1+deb_dimJF)),0))*24</f>
        <v>0</v>
      </c>
      <c r="Q46"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6" s="62">
        <f>(IF(COUNTIF(JF,Horaires3567310[[#This Row],[Date]]),MAX(0,MIN(fin_dimJF,Horaires3567310[[#This Row],[Fin corrigée si nuit]])-MAX(deb_dimJF,Horaires3567310[[#This Row],[début]])),0)+IF(COUNTIF(JF,Horaires3567310[[#This Row],[Date]]+1),MAX(0,Horaires3567310[[#This Row],[Fin corrigée si nuit]]-(1+deb_dimJF)),0))*24</f>
        <v>0</v>
      </c>
      <c r="S46"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7" spans="1:19" x14ac:dyDescent="0.35">
      <c r="A47" s="9"/>
      <c r="B47" s="1"/>
      <c r="C47" s="2"/>
      <c r="D47" s="2"/>
      <c r="E47" s="3"/>
      <c r="F47" s="3"/>
      <c r="G47" s="3"/>
      <c r="H47" s="3"/>
      <c r="I47" s="57">
        <f>0.1*(Horaires3567310[[#This Row],[Heures de nuit]]+Horaires3567310[[#This Row],[heures jour dimanche]]+Horaires3567310[[#This Row],[heures jour fériés]])</f>
        <v>0</v>
      </c>
      <c r="J47" s="58">
        <f>(MOD(Horaires3567310[[#This Row],[Fin]]-Horaires3567310[[#This Row],[début]],1)-MOD(Horaires3567310[[#This Row],[PNP Fin]]-Horaires3567310[[#This Row],[PNP Début]],1))*24</f>
        <v>0</v>
      </c>
      <c r="K47" s="59">
        <f>IF(Horaires3567310[[#This Row],[PNP Début]]=0,0,IF(Horaires3567310[[#This Row],[PNP Début]]&lt;Horaires3567310[[#This Row],[début]],1,0)+Horaires3567310[[#This Row],[PNP Début]])</f>
        <v>0</v>
      </c>
      <c r="L47" s="60">
        <f>IF(Horaires3567310[[#This Row],[PNP Fin]]=0,0,IF(Horaires3567310[[#This Row],[PNP Fin]]&lt;Horaires3567310[[#This Row],[début]],1,0)+Horaires3567310[[#This Row],[PNP Fin]])</f>
        <v>0</v>
      </c>
      <c r="M47" s="60">
        <f>IF(Horaires3567310[[#This Row],[Fin]]&lt;Horaires3567310[[#This Row],[début]],1,0)+Horaires3567310[[#This Row],[Fin]]</f>
        <v>0</v>
      </c>
      <c r="N47" s="61">
        <f>MAX(0,MIN(Horaires3567310[[#This Row],[Fin corrigée si nuit]],fin_nuit)-MAX(Horaires3567310[[#This Row],[début]],deb_nuit))*24</f>
        <v>0</v>
      </c>
      <c r="O47" s="62">
        <f>(MAX(0,MIN(Horaires3567310[[#This Row],[Fin corrigée si nuit]],fin_nuit)-MAX(Horaires3567310[[#This Row],[début]],deb_nuit))-IF(Horaires3567310[[#This Row],[PNP Début]]=0,0,MIN(Horaires3567310[[#This Row],[PNP Fin corrigée]],fin_nuit)-MAX(Horaires3567310[[#This Row],[PNP Début corrigé]],deb_nuit)))*24</f>
        <v>0</v>
      </c>
      <c r="P47" s="62">
        <f>(IF(WEEKDAY(Horaires3567310[[#This Row],[Date]],2)=7,MAX(0,MIN(fin_dimJF,Horaires3567310[[#This Row],[Fin corrigée si nuit]])-MAX(deb_dimJF,Horaires3567310[[#This Row],[début]])),0)+IF(WEEKDAY(Horaires3567310[[#This Row],[Date]],2)=6,MAX(0,Horaires3567310[[#This Row],[Fin corrigée si nuit]]-(1+deb_dimJF)),0))*24</f>
        <v>0</v>
      </c>
      <c r="Q47"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7" s="62">
        <f>(IF(COUNTIF(JF,Horaires3567310[[#This Row],[Date]]),MAX(0,MIN(fin_dimJF,Horaires3567310[[#This Row],[Fin corrigée si nuit]])-MAX(deb_dimJF,Horaires3567310[[#This Row],[début]])),0)+IF(COUNTIF(JF,Horaires3567310[[#This Row],[Date]]+1),MAX(0,Horaires3567310[[#This Row],[Fin corrigée si nuit]]-(1+deb_dimJF)),0))*24</f>
        <v>0</v>
      </c>
      <c r="S47"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8" spans="1:19" x14ac:dyDescent="0.35">
      <c r="A48" s="9"/>
      <c r="B48" s="1"/>
      <c r="C48" s="2"/>
      <c r="D48" s="2"/>
      <c r="E48" s="3"/>
      <c r="F48" s="3"/>
      <c r="G48" s="3"/>
      <c r="H48" s="3"/>
      <c r="I48" s="57">
        <f>0.1*(Horaires3567310[[#This Row],[Heures de nuit]]+Horaires3567310[[#This Row],[heures jour dimanche]]+Horaires3567310[[#This Row],[heures jour fériés]])</f>
        <v>0</v>
      </c>
      <c r="J48" s="58">
        <f>(MOD(Horaires3567310[[#This Row],[Fin]]-Horaires3567310[[#This Row],[début]],1)-MOD(Horaires3567310[[#This Row],[PNP Fin]]-Horaires3567310[[#This Row],[PNP Début]],1))*24</f>
        <v>0</v>
      </c>
      <c r="K48" s="59">
        <f>IF(Horaires3567310[[#This Row],[PNP Début]]=0,0,IF(Horaires3567310[[#This Row],[PNP Début]]&lt;Horaires3567310[[#This Row],[début]],1,0)+Horaires3567310[[#This Row],[PNP Début]])</f>
        <v>0</v>
      </c>
      <c r="L48" s="60">
        <f>IF(Horaires3567310[[#This Row],[PNP Fin]]=0,0,IF(Horaires3567310[[#This Row],[PNP Fin]]&lt;Horaires3567310[[#This Row],[début]],1,0)+Horaires3567310[[#This Row],[PNP Fin]])</f>
        <v>0</v>
      </c>
      <c r="M48" s="60">
        <f>IF(Horaires3567310[[#This Row],[Fin]]&lt;Horaires3567310[[#This Row],[début]],1,0)+Horaires3567310[[#This Row],[Fin]]</f>
        <v>0</v>
      </c>
      <c r="N48" s="61">
        <f>MAX(0,MIN(Horaires3567310[[#This Row],[Fin corrigée si nuit]],fin_nuit)-MAX(Horaires3567310[[#This Row],[début]],deb_nuit))*24</f>
        <v>0</v>
      </c>
      <c r="O48" s="62">
        <f>(MAX(0,MIN(Horaires3567310[[#This Row],[Fin corrigée si nuit]],fin_nuit)-MAX(Horaires3567310[[#This Row],[début]],deb_nuit))-IF(Horaires3567310[[#This Row],[PNP Début]]=0,0,MIN(Horaires3567310[[#This Row],[PNP Fin corrigée]],fin_nuit)-MAX(Horaires3567310[[#This Row],[PNP Début corrigé]],deb_nuit)))*24</f>
        <v>0</v>
      </c>
      <c r="P48" s="62">
        <f>(IF(WEEKDAY(Horaires3567310[[#This Row],[Date]],2)=7,MAX(0,MIN(fin_dimJF,Horaires3567310[[#This Row],[Fin corrigée si nuit]])-MAX(deb_dimJF,Horaires3567310[[#This Row],[début]])),0)+IF(WEEKDAY(Horaires3567310[[#This Row],[Date]],2)=6,MAX(0,Horaires3567310[[#This Row],[Fin corrigée si nuit]]-(1+deb_dimJF)),0))*24</f>
        <v>0</v>
      </c>
      <c r="Q48"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8" s="62">
        <f>(IF(COUNTIF(JF,Horaires3567310[[#This Row],[Date]]),MAX(0,MIN(fin_dimJF,Horaires3567310[[#This Row],[Fin corrigée si nuit]])-MAX(deb_dimJF,Horaires3567310[[#This Row],[début]])),0)+IF(COUNTIF(JF,Horaires3567310[[#This Row],[Date]]+1),MAX(0,Horaires3567310[[#This Row],[Fin corrigée si nuit]]-(1+deb_dimJF)),0))*24</f>
        <v>0</v>
      </c>
      <c r="S48"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49" spans="1:19" ht="15" thickBot="1" x14ac:dyDescent="0.4">
      <c r="A49" s="9"/>
      <c r="B49" s="1"/>
      <c r="C49" s="2"/>
      <c r="D49" s="2"/>
      <c r="E49" s="3"/>
      <c r="F49" s="3"/>
      <c r="G49" s="3"/>
      <c r="H49" s="3"/>
      <c r="I49" s="57">
        <f>0.1*(Horaires3567310[[#This Row],[Heures de nuit]]+Horaires3567310[[#This Row],[heures jour dimanche]]+Horaires3567310[[#This Row],[heures jour fériés]])</f>
        <v>0</v>
      </c>
      <c r="J49" s="58">
        <f>(MOD(Horaires3567310[[#This Row],[Fin]]-Horaires3567310[[#This Row],[début]],1)-MOD(Horaires3567310[[#This Row],[PNP Fin]]-Horaires3567310[[#This Row],[PNP Début]],1))*24</f>
        <v>0</v>
      </c>
      <c r="K49" s="59">
        <f>IF(Horaires3567310[[#This Row],[PNP Début]]=0,0,IF(Horaires3567310[[#This Row],[PNP Début]]&lt;Horaires3567310[[#This Row],[début]],1,0)+Horaires3567310[[#This Row],[PNP Début]])</f>
        <v>0</v>
      </c>
      <c r="L49" s="60">
        <f>IF(Horaires3567310[[#This Row],[PNP Fin]]=0,0,IF(Horaires3567310[[#This Row],[PNP Fin]]&lt;Horaires3567310[[#This Row],[début]],1,0)+Horaires3567310[[#This Row],[PNP Fin]])</f>
        <v>0</v>
      </c>
      <c r="M49" s="60">
        <f>IF(Horaires3567310[[#This Row],[Fin]]&lt;Horaires3567310[[#This Row],[début]],1,0)+Horaires3567310[[#This Row],[Fin]]</f>
        <v>0</v>
      </c>
      <c r="N49" s="61">
        <f>MAX(0,MIN(Horaires3567310[[#This Row],[Fin corrigée si nuit]],fin_nuit)-MAX(Horaires3567310[[#This Row],[début]],deb_nuit))*24</f>
        <v>0</v>
      </c>
      <c r="O49" s="62">
        <f>(MAX(0,MIN(Horaires3567310[[#This Row],[Fin corrigée si nuit]],fin_nuit)-MAX(Horaires3567310[[#This Row],[début]],deb_nuit))-IF(Horaires3567310[[#This Row],[PNP Début]]=0,0,MIN(Horaires3567310[[#This Row],[PNP Fin corrigée]],fin_nuit)-MAX(Horaires3567310[[#This Row],[PNP Début corrigé]],deb_nuit)))*24</f>
        <v>0</v>
      </c>
      <c r="P49" s="62">
        <f>(IF(WEEKDAY(Horaires3567310[[#This Row],[Date]],2)=7,MAX(0,MIN(fin_dimJF,Horaires3567310[[#This Row],[Fin corrigée si nuit]])-MAX(deb_dimJF,Horaires3567310[[#This Row],[début]])),0)+IF(WEEKDAY(Horaires3567310[[#This Row],[Date]],2)=6,MAX(0,Horaires3567310[[#This Row],[Fin corrigée si nuit]]-(1+deb_dimJF)),0))*24</f>
        <v>0</v>
      </c>
      <c r="Q49" s="62">
        <f>(IF(WEEKDAY(Horaires3567310[[#This Row],[Date]],2)=7,MAX(0,MIN(fin_dimJF,Horaires3567310[[#This Row],[Fin corrigée si nuit]])-MAX(deb_dimJF,Horaires3567310[[#This Row],[début]])),0)+IF(WEEKDAY(Horaires3567310[[#This Row],[Date]],2)=6,MAX(0,Horaires3567310[[#This Row],[Fin corrigée si nuit]]-(1+deb_dimJF)),0))*24-
(IF(WEEKDAY(Horaires3567310[[#This Row],[Date]],2)=7,MAX(0,MIN(fin_dimJF,Horaires3567310[[#This Row],[PNP Fin corrigée]])-MAX(deb_dimJF,Horaires3567310[[#This Row],[PNP Début corrigé]])),0)+IF(WEEKDAY(Horaires3567310[[#This Row],[Date]],2)=6,MAX(0,Horaires3567310[[#This Row],[PNP Fin corrigée]]-(1+deb_dimJF)),0))*24</f>
        <v>0</v>
      </c>
      <c r="R49" s="62">
        <f>(IF(COUNTIF(JF,Horaires3567310[[#This Row],[Date]]),MAX(0,MIN(fin_dimJF,Horaires3567310[[#This Row],[Fin corrigée si nuit]])-MAX(deb_dimJF,Horaires3567310[[#This Row],[début]])),0)+IF(COUNTIF(JF,Horaires3567310[[#This Row],[Date]]+1),MAX(0,Horaires3567310[[#This Row],[Fin corrigée si nuit]]-(1+deb_dimJF)),0))*24</f>
        <v>0</v>
      </c>
      <c r="S49" s="62">
        <f>(IF(COUNTIF(JF,Horaires3567310[[#This Row],[Date]]),MAX(0,MIN(fin_dimJF,Horaires3567310[[#This Row],[Fin corrigée si nuit]])-MAX(deb_dimJF,Horaires3567310[[#This Row],[début]])),0)+IF(COUNTIF(JF,Horaires3567310[[#This Row],[Date]]+1),MAX(0,Horaires3567310[[#This Row],[Fin corrigée si nuit]]-(1+deb_dimJF)),0))*24-
(IF(COUNTIF(JF,Horaires3567310[[#This Row],[Date]]),MAX(0,MIN(fin_dimJF,Horaires3567310[[#This Row],[PNP Fin corrigée]])-MAX(deb_dimJF,Horaires3567310[[#This Row],[PNP Début corrigé]])),0)+IF(COUNTIF(JF,Horaires3567310[[#This Row],[Date]]+1),MAX(0,Horaires3567310[[#This Row],[PNP Fin corrigée]]-(1+deb_dimJF)),0))*24</f>
        <v>0</v>
      </c>
    </row>
    <row r="50" spans="1:19" ht="16" thickBot="1" x14ac:dyDescent="0.4">
      <c r="A50" s="63"/>
      <c r="B50" s="25"/>
      <c r="C50" s="25"/>
      <c r="D50" s="25"/>
      <c r="E50" s="106" t="s">
        <v>32</v>
      </c>
      <c r="F50" s="107"/>
      <c r="G50" s="107"/>
      <c r="H50" s="108"/>
      <c r="I50" s="64">
        <f>SUM(Horaires3567310[Majoration])</f>
        <v>0</v>
      </c>
      <c r="J50" s="65">
        <f>SUM(Horaires3567310[Heures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K12:N49"/>
  </dataValidations>
  <printOptions horizontalCentered="1"/>
  <pageMargins left="0" right="0" top="0" bottom="0" header="0" footer="0"/>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S60"/>
  <sheetViews>
    <sheetView workbookViewId="0">
      <selection activeCell="I5" sqref="I5:J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0.1*(Horaires356715[[#This Row],[Heures de nuit]]+Horaires356715[[#This Row],[heures jour dimanche]]+Horaires356715[[#This Row],[heures jour fériés]])</f>
        <v>0</v>
      </c>
      <c r="J13" s="39">
        <f>(MOD(Horaires356715[[#This Row],[Fin]]-Horaires356715[[#This Row],[début]],1)-MOD(Horaires356715[[#This Row],[PNP Fin]]-Horaires356715[[#This Row],[PNP Début]],1))*24</f>
        <v>0</v>
      </c>
      <c r="K13" s="40">
        <f>IF(Horaires356715[[#This Row],[PNP Début]]=0,0,IF(Horaires356715[[#This Row],[PNP Début]]&lt;Horaires356715[[#This Row],[début]],1,0)+Horaires356715[[#This Row],[PNP Début]])</f>
        <v>0</v>
      </c>
      <c r="L13" s="40">
        <f>IF(Horaires356715[[#This Row],[PNP Fin]]=0,0,IF(Horaires356715[[#This Row],[PNP Fin]]&lt;Horaires356715[[#This Row],[début]],1,0)+Horaires356715[[#This Row],[PNP Fin]])</f>
        <v>0</v>
      </c>
      <c r="M13" s="40">
        <f>IF(Horaires356715[[#This Row],[Fin]]&lt;Horaires356715[[#This Row],[début]],1,0)+Horaires356715[[#This Row],[Fin]]</f>
        <v>0</v>
      </c>
      <c r="N13" s="41">
        <f>MAX(0,MIN(Horaires356715[[#This Row],[Fin corrigée si nuit]],fin_nuit)-MAX(Horaires356715[[#This Row],[début]],deb_nuit))*24</f>
        <v>0</v>
      </c>
      <c r="O13" s="41">
        <f>(MAX(0,MIN(Horaires356715[[#This Row],[Fin corrigée si nuit]],fin_nuit)-MAX(Horaires356715[[#This Row],[début]],deb_nuit))-IF(Horaires356715[[#This Row],[PNP Début]]=0,0,MIN(Horaires356715[[#This Row],[PNP Fin corrigée]],fin_nuit)-MAX(Horaires356715[[#This Row],[PNP Début corrigé]],deb_nuit)))*24</f>
        <v>0</v>
      </c>
      <c r="P13" s="41">
        <f>(IF(WEEKDAY(Horaires356715[[#This Row],[Date]],2)=7,MAX(0,MIN(fin_dimJF,Horaires356715[[#This Row],[Fin corrigée si nuit]])-MAX(deb_dimJF,Horaires356715[[#This Row],[début]])),0)+IF(WEEKDAY(Horaires356715[[#This Row],[Date]],2)=6,MAX(0,Horaires356715[[#This Row],[Fin corrigée si nuit]]-(1+deb_dimJF)),0))*24</f>
        <v>0</v>
      </c>
      <c r="Q13" s="4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13" s="42">
        <f>(IF(COUNTIF(JF,Horaires356715[[#This Row],[Date]]),MAX(0,MIN(fin_dimJF,Horaires356715[[#This Row],[Fin corrigée si nuit]])-MAX(deb_dimJF,Horaires356715[[#This Row],[début]])),0)+IF(COUNTIF(JF,Horaires356715[[#This Row],[Date]]+1),MAX(0,Horaires356715[[#This Row],[Fin corrigée si nuit]]-(1+deb_dimJF)),0))*24</f>
        <v>0</v>
      </c>
      <c r="S13" s="4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14" spans="1:19" x14ac:dyDescent="0.35">
      <c r="A14" s="9"/>
      <c r="B14" s="1"/>
      <c r="C14" s="2"/>
      <c r="D14" s="2"/>
      <c r="E14" s="3"/>
      <c r="F14" s="3"/>
      <c r="G14" s="3"/>
      <c r="H14" s="3"/>
      <c r="I14" s="38">
        <f>0.1*(Horaires356715[[#This Row],[Heures de nuit]]+Horaires356715[[#This Row],[heures jour dimanche]]+Horaires356715[[#This Row],[heures jour fériés]])</f>
        <v>0</v>
      </c>
      <c r="J14" s="39">
        <f>(MOD(Horaires356715[[#This Row],[Fin]]-Horaires356715[[#This Row],[début]],1)-MOD(Horaires356715[[#This Row],[PNP Fin]]-Horaires356715[[#This Row],[PNP Début]],1))*24</f>
        <v>0</v>
      </c>
      <c r="K14" s="40">
        <f>IF(Horaires356715[[#This Row],[PNP Début]]=0,0,IF(Horaires356715[[#This Row],[PNP Début]]&lt;Horaires356715[[#This Row],[début]],1,0)+Horaires356715[[#This Row],[PNP Début]])</f>
        <v>0</v>
      </c>
      <c r="L14" s="40">
        <f>IF(Horaires356715[[#This Row],[PNP Fin]]=0,0,IF(Horaires356715[[#This Row],[PNP Fin]]&lt;Horaires356715[[#This Row],[début]],1,0)+Horaires356715[[#This Row],[PNP Fin]])</f>
        <v>0</v>
      </c>
      <c r="M14" s="40">
        <f>IF(Horaires356715[[#This Row],[Fin]]&lt;Horaires356715[[#This Row],[début]],1,0)+Horaires356715[[#This Row],[Fin]]</f>
        <v>0</v>
      </c>
      <c r="N14" s="41">
        <f>MAX(0,MIN(Horaires356715[[#This Row],[Fin corrigée si nuit]],fin_nuit)-MAX(Horaires356715[[#This Row],[début]],deb_nuit))*24</f>
        <v>0</v>
      </c>
      <c r="O14" s="41">
        <f>(MAX(0,MIN(Horaires356715[[#This Row],[Fin corrigée si nuit]],fin_nuit)-MAX(Horaires356715[[#This Row],[début]],deb_nuit))-IF(Horaires356715[[#This Row],[PNP Début]]=0,0,MIN(Horaires356715[[#This Row],[PNP Fin corrigée]],fin_nuit)-MAX(Horaires356715[[#This Row],[PNP Début corrigé]],deb_nuit)))*24</f>
        <v>0</v>
      </c>
      <c r="P14" s="41">
        <f>(IF(WEEKDAY(Horaires356715[[#This Row],[Date]],2)=7,MAX(0,MIN(fin_dimJF,Horaires356715[[#This Row],[Fin corrigée si nuit]])-MAX(deb_dimJF,Horaires356715[[#This Row],[début]])),0)+IF(WEEKDAY(Horaires356715[[#This Row],[Date]],2)=6,MAX(0,Horaires356715[[#This Row],[Fin corrigée si nuit]]-(1+deb_dimJF)),0))*24</f>
        <v>0</v>
      </c>
      <c r="Q14" s="4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14" s="42">
        <f>(IF(COUNTIF(JF,Horaires356715[[#This Row],[Date]]),MAX(0,MIN(fin_dimJF,Horaires356715[[#This Row],[Fin corrigée si nuit]])-MAX(deb_dimJF,Horaires356715[[#This Row],[début]])),0)+IF(COUNTIF(JF,Horaires356715[[#This Row],[Date]]+1),MAX(0,Horaires356715[[#This Row],[Fin corrigée si nuit]]-(1+deb_dimJF)),0))*24</f>
        <v>0</v>
      </c>
      <c r="S14" s="4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15" spans="1:19" x14ac:dyDescent="0.35">
      <c r="A15" s="9"/>
      <c r="B15" s="1"/>
      <c r="C15" s="2"/>
      <c r="D15" s="2"/>
      <c r="E15" s="3"/>
      <c r="F15" s="3"/>
      <c r="G15" s="3"/>
      <c r="H15" s="3"/>
      <c r="I15" s="38">
        <f>0.1*(Horaires356715[[#This Row],[Heures de nuit]]+Horaires356715[[#This Row],[heures jour dimanche]]+Horaires356715[[#This Row],[heures jour fériés]])</f>
        <v>0</v>
      </c>
      <c r="J15" s="39">
        <f>(MOD(Horaires356715[[#This Row],[Fin]]-Horaires356715[[#This Row],[début]],1)-MOD(Horaires356715[[#This Row],[PNP Fin]]-Horaires356715[[#This Row],[PNP Début]],1))*24</f>
        <v>0</v>
      </c>
      <c r="K15" s="40">
        <f>IF(Horaires356715[[#This Row],[PNP Début]]=0,0,IF(Horaires356715[[#This Row],[PNP Début]]&lt;Horaires356715[[#This Row],[début]],1,0)+Horaires356715[[#This Row],[PNP Début]])</f>
        <v>0</v>
      </c>
      <c r="L15" s="40">
        <f>IF(Horaires356715[[#This Row],[PNP Fin]]=0,0,IF(Horaires356715[[#This Row],[PNP Fin]]&lt;Horaires356715[[#This Row],[début]],1,0)+Horaires356715[[#This Row],[PNP Fin]])</f>
        <v>0</v>
      </c>
      <c r="M15" s="40">
        <f>IF(Horaires356715[[#This Row],[Fin]]&lt;Horaires356715[[#This Row],[début]],1,0)+Horaires356715[[#This Row],[Fin]]</f>
        <v>0</v>
      </c>
      <c r="N15" s="41">
        <f>MAX(0,MIN(Horaires356715[[#This Row],[Fin corrigée si nuit]],fin_nuit)-MAX(Horaires356715[[#This Row],[début]],deb_nuit))*24</f>
        <v>0</v>
      </c>
      <c r="O15" s="41">
        <f>(MAX(0,MIN(Horaires356715[[#This Row],[Fin corrigée si nuit]],fin_nuit)-MAX(Horaires356715[[#This Row],[début]],deb_nuit))-IF(Horaires356715[[#This Row],[PNP Début]]=0,0,MIN(Horaires356715[[#This Row],[PNP Fin corrigée]],fin_nuit)-MAX(Horaires356715[[#This Row],[PNP Début corrigé]],deb_nuit)))*24</f>
        <v>0</v>
      </c>
      <c r="P15" s="41">
        <f>(IF(WEEKDAY(Horaires356715[[#This Row],[Date]],2)=7,MAX(0,MIN(fin_dimJF,Horaires356715[[#This Row],[Fin corrigée si nuit]])-MAX(deb_dimJF,Horaires356715[[#This Row],[début]])),0)+IF(WEEKDAY(Horaires356715[[#This Row],[Date]],2)=6,MAX(0,Horaires356715[[#This Row],[Fin corrigée si nuit]]-(1+deb_dimJF)),0))*24</f>
        <v>0</v>
      </c>
      <c r="Q15" s="4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15" s="42">
        <f>(IF(COUNTIF(JF,Horaires356715[[#This Row],[Date]]),MAX(0,MIN(fin_dimJF,Horaires356715[[#This Row],[Fin corrigée si nuit]])-MAX(deb_dimJF,Horaires356715[[#This Row],[début]])),0)+IF(COUNTIF(JF,Horaires356715[[#This Row],[Date]]+1),MAX(0,Horaires356715[[#This Row],[Fin corrigée si nuit]]-(1+deb_dimJF)),0))*24</f>
        <v>0</v>
      </c>
      <c r="S15" s="4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16" spans="1:19" x14ac:dyDescent="0.35">
      <c r="A16" s="9"/>
      <c r="B16" s="10"/>
      <c r="C16" s="2"/>
      <c r="D16" s="2"/>
      <c r="E16" s="3"/>
      <c r="F16" s="3"/>
      <c r="G16" s="11"/>
      <c r="H16" s="11"/>
      <c r="I16" s="38">
        <f>0.1*(Horaires356715[[#This Row],[Heures de nuit]]+Horaires356715[[#This Row],[heures jour dimanche]]+Horaires356715[[#This Row],[heures jour fériés]])</f>
        <v>0</v>
      </c>
      <c r="J16" s="43">
        <f>(MOD(Horaires356715[[#This Row],[Fin]]-Horaires356715[[#This Row],[début]],1)-MOD(Horaires356715[[#This Row],[PNP Fin]]-Horaires356715[[#This Row],[PNP Début]],1))*24</f>
        <v>0</v>
      </c>
      <c r="K16" s="40">
        <f>IF(Horaires356715[[#This Row],[PNP Début]]=0,0,IF(Horaires356715[[#This Row],[PNP Début]]&lt;Horaires356715[[#This Row],[début]],1,0)+Horaires356715[[#This Row],[PNP Début]])</f>
        <v>0</v>
      </c>
      <c r="L16" s="40">
        <f>IF(Horaires356715[[#This Row],[PNP Fin]]=0,0,IF(Horaires356715[[#This Row],[PNP Fin]]&lt;Horaires356715[[#This Row],[début]],1,0)+Horaires356715[[#This Row],[PNP Fin]])</f>
        <v>0</v>
      </c>
      <c r="M16" s="44">
        <f>IF(Horaires356715[[#This Row],[Fin]]&lt;Horaires356715[[#This Row],[début]],1,0)+Horaires356715[[#This Row],[Fin]]</f>
        <v>0</v>
      </c>
      <c r="N16" s="41">
        <f>MAX(0,MIN(Horaires356715[[#This Row],[Fin corrigée si nuit]],fin_nuit)-MAX(Horaires356715[[#This Row],[début]],deb_nuit))*24</f>
        <v>0</v>
      </c>
      <c r="O16" s="45">
        <f>(MAX(0,MIN(Horaires356715[[#This Row],[Fin corrigée si nuit]],fin_nuit)-MAX(Horaires356715[[#This Row],[début]],deb_nuit))-IF(Horaires356715[[#This Row],[PNP Début]]=0,0,MIN(Horaires356715[[#This Row],[PNP Fin corrigée]],fin_nuit)-MAX(Horaires356715[[#This Row],[PNP Début corrigé]],deb_nuit)))*24</f>
        <v>0</v>
      </c>
      <c r="P16" s="45">
        <f>(IF(WEEKDAY(Horaires356715[[#This Row],[Date]],2)=7,MAX(0,MIN(fin_dimJF,Horaires356715[[#This Row],[Fin corrigée si nuit]])-MAX(deb_dimJF,Horaires356715[[#This Row],[début]])),0)+IF(WEEKDAY(Horaires356715[[#This Row],[Date]],2)=6,MAX(0,Horaires356715[[#This Row],[Fin corrigée si nuit]]-(1+deb_dimJF)),0))*24</f>
        <v>0</v>
      </c>
      <c r="Q16" s="4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16" s="46">
        <f>(IF(COUNTIF(JF,Horaires356715[[#This Row],[Date]]),MAX(0,MIN(fin_dimJF,Horaires356715[[#This Row],[Fin corrigée si nuit]])-MAX(deb_dimJF,Horaires356715[[#This Row],[début]])),0)+IF(COUNTIF(JF,Horaires356715[[#This Row],[Date]]+1),MAX(0,Horaires356715[[#This Row],[Fin corrigée si nuit]]-(1+deb_dimJF)),0))*24</f>
        <v>0</v>
      </c>
      <c r="S16" s="46">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17" spans="1:19" x14ac:dyDescent="0.35">
      <c r="A17" s="9"/>
      <c r="B17" s="1"/>
      <c r="C17" s="2"/>
      <c r="D17" s="2"/>
      <c r="E17" s="3"/>
      <c r="F17" s="3"/>
      <c r="G17" s="17"/>
      <c r="H17" s="17"/>
      <c r="I17" s="47">
        <f>0.1*(Horaires356715[[#This Row],[Heures de nuit]]+Horaires356715[[#This Row],[heures jour dimanche]]+Horaires356715[[#This Row],[heures jour fériés]])</f>
        <v>0</v>
      </c>
      <c r="J17" s="48">
        <f>(MOD(Horaires356715[[#This Row],[Fin]]-Horaires356715[[#This Row],[début]],1)-MOD(Horaires356715[[#This Row],[PNP Fin]]-Horaires356715[[#This Row],[PNP Début]],1))*24</f>
        <v>0</v>
      </c>
      <c r="K17" s="49">
        <f>IF(Horaires356715[[#This Row],[PNP Début]]=0,0,IF(Horaires356715[[#This Row],[PNP Début]]&lt;Horaires356715[[#This Row],[début]],1,0)+Horaires356715[[#This Row],[PNP Début]])</f>
        <v>0</v>
      </c>
      <c r="L17" s="50">
        <f>IF(Horaires356715[[#This Row],[PNP Fin]]=0,0,IF(Horaires356715[[#This Row],[PNP Fin]]&lt;Horaires356715[[#This Row],[début]],1,0)+Horaires356715[[#This Row],[PNP Fin]])</f>
        <v>0</v>
      </c>
      <c r="M17" s="50">
        <f>IF(Horaires356715[[#This Row],[Fin]]&lt;Horaires356715[[#This Row],[début]],1,0)+Horaires356715[[#This Row],[Fin]]</f>
        <v>0</v>
      </c>
      <c r="N17" s="41">
        <f>MAX(0,MIN(Horaires356715[[#This Row],[Fin corrigée si nuit]],fin_nuit)-MAX(Horaires356715[[#This Row],[début]],deb_nuit))*24</f>
        <v>0</v>
      </c>
      <c r="O17" s="51">
        <f>(MAX(0,MIN(Horaires356715[[#This Row],[Fin corrigée si nuit]],fin_nuit)-MAX(Horaires356715[[#This Row],[début]],deb_nuit))-IF(Horaires356715[[#This Row],[PNP Début]]=0,0,MIN(Horaires356715[[#This Row],[PNP Fin corrigée]],fin_nuit)-MAX(Horaires356715[[#This Row],[PNP Début corrigé]],deb_nuit)))*24</f>
        <v>0</v>
      </c>
      <c r="P17" s="51">
        <f>(IF(WEEKDAY(Horaires356715[[#This Row],[Date]],2)=7,MAX(0,MIN(fin_dimJF,Horaires356715[[#This Row],[Fin corrigée si nuit]])-MAX(deb_dimJF,Horaires356715[[#This Row],[début]])),0)+IF(WEEKDAY(Horaires356715[[#This Row],[Date]],2)=6,MAX(0,Horaires356715[[#This Row],[Fin corrigée si nuit]]-(1+deb_dimJF)),0))*24</f>
        <v>0</v>
      </c>
      <c r="Q17" s="5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17" s="51">
        <f>(IF(COUNTIF(JF,Horaires356715[[#This Row],[Date]]),MAX(0,MIN(fin_dimJF,Horaires356715[[#This Row],[Fin corrigée si nuit]])-MAX(deb_dimJF,Horaires356715[[#This Row],[début]])),0)+IF(COUNTIF(JF,Horaires356715[[#This Row],[Date]]+1),MAX(0,Horaires356715[[#This Row],[Fin corrigée si nuit]]-(1+deb_dimJF)),0))*24</f>
        <v>0</v>
      </c>
      <c r="S17" s="51">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18" spans="1:19" x14ac:dyDescent="0.35">
      <c r="A18" s="9"/>
      <c r="B18" s="69"/>
      <c r="C18" s="16"/>
      <c r="D18" s="16"/>
      <c r="E18" s="17"/>
      <c r="F18" s="17"/>
      <c r="G18" s="17"/>
      <c r="H18" s="17"/>
      <c r="I18" s="47">
        <f>0.1*(Horaires356715[[#This Row],[Heures de nuit]]+Horaires356715[[#This Row],[heures jour dimanche]]+Horaires356715[[#This Row],[heures jour fériés]])</f>
        <v>0</v>
      </c>
      <c r="J18" s="48">
        <f>(MOD(Horaires356715[[#This Row],[Fin]]-Horaires356715[[#This Row],[début]],1)-MOD(Horaires356715[[#This Row],[PNP Fin]]-Horaires356715[[#This Row],[PNP Début]],1))*24</f>
        <v>0</v>
      </c>
      <c r="K18" s="49">
        <f>IF(Horaires356715[[#This Row],[PNP Début]]=0,0,IF(Horaires356715[[#This Row],[PNP Début]]&lt;Horaires356715[[#This Row],[début]],1,0)+Horaires356715[[#This Row],[PNP Début]])</f>
        <v>0</v>
      </c>
      <c r="L18" s="50">
        <f>IF(Horaires356715[[#This Row],[PNP Fin]]=0,0,IF(Horaires356715[[#This Row],[PNP Fin]]&lt;Horaires356715[[#This Row],[début]],1,0)+Horaires356715[[#This Row],[PNP Fin]])</f>
        <v>0</v>
      </c>
      <c r="M18" s="50">
        <f>IF(Horaires356715[[#This Row],[Fin]]&lt;Horaires356715[[#This Row],[début]],1,0)+Horaires356715[[#This Row],[Fin]]</f>
        <v>0</v>
      </c>
      <c r="N18" s="41">
        <f>MAX(0,MIN(Horaires356715[[#This Row],[Fin corrigée si nuit]],fin_nuit)-MAX(Horaires356715[[#This Row],[début]],deb_nuit))*24</f>
        <v>0</v>
      </c>
      <c r="O18" s="51">
        <f>(MAX(0,MIN(Horaires356715[[#This Row],[Fin corrigée si nuit]],fin_nuit)-MAX(Horaires356715[[#This Row],[début]],deb_nuit))-IF(Horaires356715[[#This Row],[PNP Début]]=0,0,MIN(Horaires356715[[#This Row],[PNP Fin corrigée]],fin_nuit)-MAX(Horaires356715[[#This Row],[PNP Début corrigé]],deb_nuit)))*24</f>
        <v>0</v>
      </c>
      <c r="P18" s="51">
        <f>(IF(WEEKDAY(Horaires356715[[#This Row],[Date]],2)=7,MAX(0,MIN(fin_dimJF,Horaires356715[[#This Row],[Fin corrigée si nuit]])-MAX(deb_dimJF,Horaires356715[[#This Row],[début]])),0)+IF(WEEKDAY(Horaires356715[[#This Row],[Date]],2)=6,MAX(0,Horaires356715[[#This Row],[Fin corrigée si nuit]]-(1+deb_dimJF)),0))*24</f>
        <v>0</v>
      </c>
      <c r="Q18" s="5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18" s="51">
        <f>(IF(COUNTIF(JF,Horaires356715[[#This Row],[Date]]),MAX(0,MIN(fin_dimJF,Horaires356715[[#This Row],[Fin corrigée si nuit]])-MAX(deb_dimJF,Horaires356715[[#This Row],[début]])),0)+IF(COUNTIF(JF,Horaires356715[[#This Row],[Date]]+1),MAX(0,Horaires356715[[#This Row],[Fin corrigée si nuit]]-(1+deb_dimJF)),0))*24</f>
        <v>0</v>
      </c>
      <c r="S18" s="51">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19" spans="1:19" x14ac:dyDescent="0.35">
      <c r="A19" s="9"/>
      <c r="B19" s="1"/>
      <c r="C19" s="16"/>
      <c r="D19" s="16"/>
      <c r="E19" s="3"/>
      <c r="F19" s="3"/>
      <c r="G19" s="17"/>
      <c r="H19" s="17"/>
      <c r="I19" s="47">
        <f>0.1*(Horaires356715[[#This Row],[Heures de nuit]]+Horaires356715[[#This Row],[heures jour dimanche]]+Horaires356715[[#This Row],[heures jour fériés]])</f>
        <v>0</v>
      </c>
      <c r="J19" s="48">
        <f>(MOD(Horaires356715[[#This Row],[Fin]]-Horaires356715[[#This Row],[début]],1)-MOD(Horaires356715[[#This Row],[PNP Fin]]-Horaires356715[[#This Row],[PNP Début]],1))*24</f>
        <v>0</v>
      </c>
      <c r="K19" s="49">
        <f>IF(Horaires356715[[#This Row],[PNP Début]]=0,0,IF(Horaires356715[[#This Row],[PNP Début]]&lt;Horaires356715[[#This Row],[début]],1,0)+Horaires356715[[#This Row],[PNP Début]])</f>
        <v>0</v>
      </c>
      <c r="L19" s="50">
        <f>IF(Horaires356715[[#This Row],[PNP Fin]]=0,0,IF(Horaires356715[[#This Row],[PNP Fin]]&lt;Horaires356715[[#This Row],[début]],1,0)+Horaires356715[[#This Row],[PNP Fin]])</f>
        <v>0</v>
      </c>
      <c r="M19" s="50">
        <f>IF(Horaires356715[[#This Row],[Fin]]&lt;Horaires356715[[#This Row],[début]],1,0)+Horaires356715[[#This Row],[Fin]]</f>
        <v>0</v>
      </c>
      <c r="N19" s="41">
        <f>MAX(0,MIN(Horaires356715[[#This Row],[Fin corrigée si nuit]],fin_nuit)-MAX(Horaires356715[[#This Row],[début]],deb_nuit))*24</f>
        <v>0</v>
      </c>
      <c r="O19" s="51">
        <f>(MAX(0,MIN(Horaires356715[[#This Row],[Fin corrigée si nuit]],fin_nuit)-MAX(Horaires356715[[#This Row],[début]],deb_nuit))-IF(Horaires356715[[#This Row],[PNP Début]]=0,0,MIN(Horaires356715[[#This Row],[PNP Fin corrigée]],fin_nuit)-MAX(Horaires356715[[#This Row],[PNP Début corrigé]],deb_nuit)))*24</f>
        <v>0</v>
      </c>
      <c r="P19" s="51">
        <f>(IF(WEEKDAY(Horaires356715[[#This Row],[Date]],2)=7,MAX(0,MIN(fin_dimJF,Horaires356715[[#This Row],[Fin corrigée si nuit]])-MAX(deb_dimJF,Horaires356715[[#This Row],[début]])),0)+IF(WEEKDAY(Horaires356715[[#This Row],[Date]],2)=6,MAX(0,Horaires356715[[#This Row],[Fin corrigée si nuit]]-(1+deb_dimJF)),0))*24</f>
        <v>0</v>
      </c>
      <c r="Q19" s="5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19" s="51">
        <f>(IF(COUNTIF(JF,Horaires356715[[#This Row],[Date]]),MAX(0,MIN(fin_dimJF,Horaires356715[[#This Row],[Fin corrigée si nuit]])-MAX(deb_dimJF,Horaires356715[[#This Row],[début]])),0)+IF(COUNTIF(JF,Horaires356715[[#This Row],[Date]]+1),MAX(0,Horaires356715[[#This Row],[Fin corrigée si nuit]]-(1+deb_dimJF)),0))*24</f>
        <v>0</v>
      </c>
      <c r="S19" s="51">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0" spans="1:19" x14ac:dyDescent="0.35">
      <c r="A20" s="9"/>
      <c r="B20" s="1"/>
      <c r="C20" s="16"/>
      <c r="D20" s="16"/>
      <c r="E20" s="17"/>
      <c r="F20" s="17"/>
      <c r="G20" s="17"/>
      <c r="H20" s="17"/>
      <c r="I20" s="47">
        <f>0.1*(Horaires356715[[#This Row],[Heures de nuit]]+Horaires356715[[#This Row],[heures jour dimanche]]+Horaires356715[[#This Row],[heures jour fériés]])</f>
        <v>0</v>
      </c>
      <c r="J20" s="48">
        <f>(MOD(Horaires356715[[#This Row],[Fin]]-Horaires356715[[#This Row],[début]],1)-MOD(Horaires356715[[#This Row],[PNP Fin]]-Horaires356715[[#This Row],[PNP Début]],1))*24</f>
        <v>0</v>
      </c>
      <c r="K20" s="49">
        <f>IF(Horaires356715[[#This Row],[PNP Début]]=0,0,IF(Horaires356715[[#This Row],[PNP Début]]&lt;Horaires356715[[#This Row],[début]],1,0)+Horaires356715[[#This Row],[PNP Début]])</f>
        <v>0</v>
      </c>
      <c r="L20" s="50">
        <f>IF(Horaires356715[[#This Row],[PNP Fin]]=0,0,IF(Horaires356715[[#This Row],[PNP Fin]]&lt;Horaires356715[[#This Row],[début]],1,0)+Horaires356715[[#This Row],[PNP Fin]])</f>
        <v>0</v>
      </c>
      <c r="M20" s="50">
        <f>IF(Horaires356715[[#This Row],[Fin]]&lt;Horaires356715[[#This Row],[début]],1,0)+Horaires356715[[#This Row],[Fin]]</f>
        <v>0</v>
      </c>
      <c r="N20" s="41">
        <f>MAX(0,MIN(Horaires356715[[#This Row],[Fin corrigée si nuit]],fin_nuit)-MAX(Horaires356715[[#This Row],[début]],deb_nuit))*24</f>
        <v>0</v>
      </c>
      <c r="O20" s="51">
        <f>(MAX(0,MIN(Horaires356715[[#This Row],[Fin corrigée si nuit]],fin_nuit)-MAX(Horaires356715[[#This Row],[début]],deb_nuit))-IF(Horaires356715[[#This Row],[PNP Début]]=0,0,MIN(Horaires356715[[#This Row],[PNP Fin corrigée]],fin_nuit)-MAX(Horaires356715[[#This Row],[PNP Début corrigé]],deb_nuit)))*24</f>
        <v>0</v>
      </c>
      <c r="P20" s="51">
        <f>(IF(WEEKDAY(Horaires356715[[#This Row],[Date]],2)=7,MAX(0,MIN(fin_dimJF,Horaires356715[[#This Row],[Fin corrigée si nuit]])-MAX(deb_dimJF,Horaires356715[[#This Row],[début]])),0)+IF(WEEKDAY(Horaires356715[[#This Row],[Date]],2)=6,MAX(0,Horaires356715[[#This Row],[Fin corrigée si nuit]]-(1+deb_dimJF)),0))*24</f>
        <v>0</v>
      </c>
      <c r="Q20" s="51">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0" s="51">
        <f>(IF(COUNTIF(JF,Horaires356715[[#This Row],[Date]]),MAX(0,MIN(fin_dimJF,Horaires356715[[#This Row],[Fin corrigée si nuit]])-MAX(deb_dimJF,Horaires356715[[#This Row],[début]])),0)+IF(COUNTIF(JF,Horaires356715[[#This Row],[Date]]+1),MAX(0,Horaires356715[[#This Row],[Fin corrigée si nuit]]-(1+deb_dimJF)),0))*24</f>
        <v>0</v>
      </c>
      <c r="S20" s="51">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1" spans="1:19" x14ac:dyDescent="0.35">
      <c r="A21" s="9"/>
      <c r="B21" s="10"/>
      <c r="C21" s="18"/>
      <c r="D21" s="18"/>
      <c r="E21" s="3"/>
      <c r="F21" s="3"/>
      <c r="G21" s="19"/>
      <c r="H21" s="19"/>
      <c r="I21" s="52">
        <f>0.1*(Horaires356715[[#This Row],[Heures de nuit]]+Horaires356715[[#This Row],[heures jour dimanche]]+Horaires356715[[#This Row],[heures jour fériés]])</f>
        <v>0</v>
      </c>
      <c r="J21" s="53">
        <f>(MOD(Horaires356715[[#This Row],[Fin]]-Horaires356715[[#This Row],[début]],1)-MOD(Horaires356715[[#This Row],[PNP Fin]]-Horaires356715[[#This Row],[PNP Début]],1))*24</f>
        <v>0</v>
      </c>
      <c r="K21" s="54">
        <f>IF(Horaires356715[[#This Row],[PNP Début]]=0,0,IF(Horaires356715[[#This Row],[PNP Début]]&lt;Horaires356715[[#This Row],[début]],1,0)+Horaires356715[[#This Row],[PNP Début]])</f>
        <v>0</v>
      </c>
      <c r="L21" s="55">
        <f>IF(Horaires356715[[#This Row],[PNP Fin]]=0,0,IF(Horaires356715[[#This Row],[PNP Fin]]&lt;Horaires356715[[#This Row],[début]],1,0)+Horaires356715[[#This Row],[PNP Fin]])</f>
        <v>0</v>
      </c>
      <c r="M21" s="55">
        <f>IF(Horaires356715[[#This Row],[Fin]]&lt;Horaires356715[[#This Row],[début]],1,0)+Horaires356715[[#This Row],[Fin]]</f>
        <v>0</v>
      </c>
      <c r="N21" s="41">
        <f>MAX(0,MIN(Horaires356715[[#This Row],[Fin corrigée si nuit]],fin_nuit)-MAX(Horaires356715[[#This Row],[début]],deb_nuit))*24</f>
        <v>0</v>
      </c>
      <c r="O21" s="56">
        <f>(MAX(0,MIN(Horaires356715[[#This Row],[Fin corrigée si nuit]],fin_nuit)-MAX(Horaires356715[[#This Row],[début]],deb_nuit))-IF(Horaires356715[[#This Row],[PNP Début]]=0,0,MIN(Horaires356715[[#This Row],[PNP Fin corrigée]],fin_nuit)-MAX(Horaires356715[[#This Row],[PNP Début corrigé]],deb_nuit)))*24</f>
        <v>0</v>
      </c>
      <c r="P21" s="56">
        <f>(IF(WEEKDAY(Horaires356715[[#This Row],[Date]],2)=7,MAX(0,MIN(fin_dimJF,Horaires356715[[#This Row],[Fin corrigée si nuit]])-MAX(deb_dimJF,Horaires356715[[#This Row],[début]])),0)+IF(WEEKDAY(Horaires356715[[#This Row],[Date]],2)=6,MAX(0,Horaires356715[[#This Row],[Fin corrigée si nuit]]-(1+deb_dimJF)),0))*24</f>
        <v>0</v>
      </c>
      <c r="Q21" s="56">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1" s="56">
        <f>(IF(COUNTIF(JF,Horaires356715[[#This Row],[Date]]),MAX(0,MIN(fin_dimJF,Horaires356715[[#This Row],[Fin corrigée si nuit]])-MAX(deb_dimJF,Horaires356715[[#This Row],[début]])),0)+IF(COUNTIF(JF,Horaires356715[[#This Row],[Date]]+1),MAX(0,Horaires356715[[#This Row],[Fin corrigée si nuit]]-(1+deb_dimJF)),0))*24</f>
        <v>0</v>
      </c>
      <c r="S21" s="56">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2" spans="1:19" x14ac:dyDescent="0.35">
      <c r="A22" s="9"/>
      <c r="B22" s="1"/>
      <c r="C22" s="18"/>
      <c r="D22" s="18"/>
      <c r="E22" s="3"/>
      <c r="F22" s="3"/>
      <c r="G22" s="3"/>
      <c r="H22" s="3"/>
      <c r="I22" s="57">
        <f>0.1*(Horaires356715[[#This Row],[Heures de nuit]]+Horaires356715[[#This Row],[heures jour dimanche]]+Horaires356715[[#This Row],[heures jour fériés]])</f>
        <v>0</v>
      </c>
      <c r="J22" s="58">
        <f>(MOD(Horaires356715[[#This Row],[Fin]]-Horaires356715[[#This Row],[début]],1)-MOD(Horaires356715[[#This Row],[PNP Fin]]-Horaires356715[[#This Row],[PNP Début]],1))*24</f>
        <v>0</v>
      </c>
      <c r="K22" s="59">
        <f>IF(Horaires356715[[#This Row],[PNP Début]]=0,0,IF(Horaires356715[[#This Row],[PNP Début]]&lt;Horaires356715[[#This Row],[début]],1,0)+Horaires356715[[#This Row],[PNP Début]])</f>
        <v>0</v>
      </c>
      <c r="L22" s="60">
        <f>IF(Horaires356715[[#This Row],[PNP Fin]]=0,0,IF(Horaires356715[[#This Row],[PNP Fin]]&lt;Horaires356715[[#This Row],[début]],1,0)+Horaires356715[[#This Row],[PNP Fin]])</f>
        <v>0</v>
      </c>
      <c r="M22" s="60">
        <f>IF(Horaires356715[[#This Row],[Fin]]&lt;Horaires356715[[#This Row],[début]],1,0)+Horaires356715[[#This Row],[Fin]]</f>
        <v>0</v>
      </c>
      <c r="N22" s="61">
        <f>MAX(0,MIN(Horaires356715[[#This Row],[Fin corrigée si nuit]],fin_nuit)-MAX(Horaires356715[[#This Row],[début]],deb_nuit))*24</f>
        <v>0</v>
      </c>
      <c r="O22" s="62">
        <f>(MAX(0,MIN(Horaires356715[[#This Row],[Fin corrigée si nuit]],fin_nuit)-MAX(Horaires356715[[#This Row],[début]],deb_nuit))-IF(Horaires356715[[#This Row],[PNP Début]]=0,0,MIN(Horaires356715[[#This Row],[PNP Fin corrigée]],fin_nuit)-MAX(Horaires356715[[#This Row],[PNP Début corrigé]],deb_nuit)))*24</f>
        <v>0</v>
      </c>
      <c r="P22" s="62">
        <f>(IF(WEEKDAY(Horaires356715[[#This Row],[Date]],2)=7,MAX(0,MIN(fin_dimJF,Horaires356715[[#This Row],[Fin corrigée si nuit]])-MAX(deb_dimJF,Horaires356715[[#This Row],[début]])),0)+IF(WEEKDAY(Horaires356715[[#This Row],[Date]],2)=6,MAX(0,Horaires356715[[#This Row],[Fin corrigée si nuit]]-(1+deb_dimJF)),0))*24</f>
        <v>0</v>
      </c>
      <c r="Q22"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2" s="62">
        <f>(IF(COUNTIF(JF,Horaires356715[[#This Row],[Date]]),MAX(0,MIN(fin_dimJF,Horaires356715[[#This Row],[Fin corrigée si nuit]])-MAX(deb_dimJF,Horaires356715[[#This Row],[début]])),0)+IF(COUNTIF(JF,Horaires356715[[#This Row],[Date]]+1),MAX(0,Horaires356715[[#This Row],[Fin corrigée si nuit]]-(1+deb_dimJF)),0))*24</f>
        <v>0</v>
      </c>
      <c r="S22"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3" spans="1:19" x14ac:dyDescent="0.35">
      <c r="A23" s="9"/>
      <c r="B23" s="1"/>
      <c r="C23" s="18"/>
      <c r="D23" s="18"/>
      <c r="E23" s="3"/>
      <c r="F23" s="3"/>
      <c r="G23" s="3"/>
      <c r="H23" s="3"/>
      <c r="I23" s="57">
        <f>0.1*(Horaires356715[[#This Row],[Heures de nuit]]+Horaires356715[[#This Row],[heures jour dimanche]]+Horaires356715[[#This Row],[heures jour fériés]])</f>
        <v>0</v>
      </c>
      <c r="J23" s="58">
        <f>(MOD(Horaires356715[[#This Row],[Fin]]-Horaires356715[[#This Row],[début]],1)-MOD(Horaires356715[[#This Row],[PNP Fin]]-Horaires356715[[#This Row],[PNP Début]],1))*24</f>
        <v>0</v>
      </c>
      <c r="K23" s="59">
        <f>IF(Horaires356715[[#This Row],[PNP Début]]=0,0,IF(Horaires356715[[#This Row],[PNP Début]]&lt;Horaires356715[[#This Row],[début]],1,0)+Horaires356715[[#This Row],[PNP Début]])</f>
        <v>0</v>
      </c>
      <c r="L23" s="60">
        <f>IF(Horaires356715[[#This Row],[PNP Fin]]=0,0,IF(Horaires356715[[#This Row],[PNP Fin]]&lt;Horaires356715[[#This Row],[début]],1,0)+Horaires356715[[#This Row],[PNP Fin]])</f>
        <v>0</v>
      </c>
      <c r="M23" s="60">
        <f>IF(Horaires356715[[#This Row],[Fin]]&lt;Horaires356715[[#This Row],[début]],1,0)+Horaires356715[[#This Row],[Fin]]</f>
        <v>0</v>
      </c>
      <c r="N23" s="61">
        <f>MAX(0,MIN(Horaires356715[[#This Row],[Fin corrigée si nuit]],fin_nuit)-MAX(Horaires356715[[#This Row],[début]],deb_nuit))*24</f>
        <v>0</v>
      </c>
      <c r="O23" s="62">
        <f>(MAX(0,MIN(Horaires356715[[#This Row],[Fin corrigée si nuit]],fin_nuit)-MAX(Horaires356715[[#This Row],[début]],deb_nuit))-IF(Horaires356715[[#This Row],[PNP Début]]=0,0,MIN(Horaires356715[[#This Row],[PNP Fin corrigée]],fin_nuit)-MAX(Horaires356715[[#This Row],[PNP Début corrigé]],deb_nuit)))*24</f>
        <v>0</v>
      </c>
      <c r="P23" s="62">
        <f>(IF(WEEKDAY(Horaires356715[[#This Row],[Date]],2)=7,MAX(0,MIN(fin_dimJF,Horaires356715[[#This Row],[Fin corrigée si nuit]])-MAX(deb_dimJF,Horaires356715[[#This Row],[début]])),0)+IF(WEEKDAY(Horaires356715[[#This Row],[Date]],2)=6,MAX(0,Horaires356715[[#This Row],[Fin corrigée si nuit]]-(1+deb_dimJF)),0))*24</f>
        <v>0</v>
      </c>
      <c r="Q23"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3" s="62">
        <f>(IF(COUNTIF(JF,Horaires356715[[#This Row],[Date]]),MAX(0,MIN(fin_dimJF,Horaires356715[[#This Row],[Fin corrigée si nuit]])-MAX(deb_dimJF,Horaires356715[[#This Row],[début]])),0)+IF(COUNTIF(JF,Horaires356715[[#This Row],[Date]]+1),MAX(0,Horaires356715[[#This Row],[Fin corrigée si nuit]]-(1+deb_dimJF)),0))*24</f>
        <v>0</v>
      </c>
      <c r="S23"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4" spans="1:19" x14ac:dyDescent="0.35">
      <c r="A24" s="9"/>
      <c r="B24" s="1"/>
      <c r="C24" s="2"/>
      <c r="D24" s="2"/>
      <c r="E24" s="3"/>
      <c r="F24" s="3"/>
      <c r="G24" s="3"/>
      <c r="H24" s="3"/>
      <c r="I24" s="57">
        <f>0.1*(Horaires356715[[#This Row],[Heures de nuit]]+Horaires356715[[#This Row],[heures jour dimanche]]+Horaires356715[[#This Row],[heures jour fériés]])</f>
        <v>0</v>
      </c>
      <c r="J24" s="58">
        <f>(MOD(Horaires356715[[#This Row],[Fin]]-Horaires356715[[#This Row],[début]],1)-MOD(Horaires356715[[#This Row],[PNP Fin]]-Horaires356715[[#This Row],[PNP Début]],1))*24</f>
        <v>0</v>
      </c>
      <c r="K24" s="59">
        <f>IF(Horaires356715[[#This Row],[PNP Début]]=0,0,IF(Horaires356715[[#This Row],[PNP Début]]&lt;Horaires356715[[#This Row],[début]],1,0)+Horaires356715[[#This Row],[PNP Début]])</f>
        <v>0</v>
      </c>
      <c r="L24" s="60">
        <f>IF(Horaires356715[[#This Row],[PNP Fin]]=0,0,IF(Horaires356715[[#This Row],[PNP Fin]]&lt;Horaires356715[[#This Row],[début]],1,0)+Horaires356715[[#This Row],[PNP Fin]])</f>
        <v>0</v>
      </c>
      <c r="M24" s="60">
        <f>IF(Horaires356715[[#This Row],[Fin]]&lt;Horaires356715[[#This Row],[début]],1,0)+Horaires356715[[#This Row],[Fin]]</f>
        <v>0</v>
      </c>
      <c r="N24" s="61">
        <f>MAX(0,MIN(Horaires356715[[#This Row],[Fin corrigée si nuit]],fin_nuit)-MAX(Horaires356715[[#This Row],[début]],deb_nuit))*24</f>
        <v>0</v>
      </c>
      <c r="O24" s="62">
        <f>(MAX(0,MIN(Horaires356715[[#This Row],[Fin corrigée si nuit]],fin_nuit)-MAX(Horaires356715[[#This Row],[début]],deb_nuit))-IF(Horaires356715[[#This Row],[PNP Début]]=0,0,MIN(Horaires356715[[#This Row],[PNP Fin corrigée]],fin_nuit)-MAX(Horaires356715[[#This Row],[PNP Début corrigé]],deb_nuit)))*24</f>
        <v>0</v>
      </c>
      <c r="P24" s="62">
        <f>(IF(WEEKDAY(Horaires356715[[#This Row],[Date]],2)=7,MAX(0,MIN(fin_dimJF,Horaires356715[[#This Row],[Fin corrigée si nuit]])-MAX(deb_dimJF,Horaires356715[[#This Row],[début]])),0)+IF(WEEKDAY(Horaires356715[[#This Row],[Date]],2)=6,MAX(0,Horaires356715[[#This Row],[Fin corrigée si nuit]]-(1+deb_dimJF)),0))*24</f>
        <v>0</v>
      </c>
      <c r="Q24"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4" s="62">
        <f>(IF(COUNTIF(JF,Horaires356715[[#This Row],[Date]]),MAX(0,MIN(fin_dimJF,Horaires356715[[#This Row],[Fin corrigée si nuit]])-MAX(deb_dimJF,Horaires356715[[#This Row],[début]])),0)+IF(COUNTIF(JF,Horaires356715[[#This Row],[Date]]+1),MAX(0,Horaires356715[[#This Row],[Fin corrigée si nuit]]-(1+deb_dimJF)),0))*24</f>
        <v>0</v>
      </c>
      <c r="S24"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5" spans="1:19" x14ac:dyDescent="0.35">
      <c r="A25" s="9"/>
      <c r="B25" s="1"/>
      <c r="C25" s="2"/>
      <c r="D25" s="2"/>
      <c r="E25" s="3"/>
      <c r="F25" s="3"/>
      <c r="G25" s="3"/>
      <c r="H25" s="3"/>
      <c r="I25" s="57">
        <f>0.1*(Horaires356715[[#This Row],[Heures de nuit]]+Horaires356715[[#This Row],[heures jour dimanche]]+Horaires356715[[#This Row],[heures jour fériés]])</f>
        <v>0</v>
      </c>
      <c r="J25" s="58">
        <f>(MOD(Horaires356715[[#This Row],[Fin]]-Horaires356715[[#This Row],[début]],1)-MOD(Horaires356715[[#This Row],[PNP Fin]]-Horaires356715[[#This Row],[PNP Début]],1))*24</f>
        <v>0</v>
      </c>
      <c r="K25" s="59">
        <f>IF(Horaires356715[[#This Row],[PNP Début]]=0,0,IF(Horaires356715[[#This Row],[PNP Début]]&lt;Horaires356715[[#This Row],[début]],1,0)+Horaires356715[[#This Row],[PNP Début]])</f>
        <v>0</v>
      </c>
      <c r="L25" s="60">
        <f>IF(Horaires356715[[#This Row],[PNP Fin]]=0,0,IF(Horaires356715[[#This Row],[PNP Fin]]&lt;Horaires356715[[#This Row],[début]],1,0)+Horaires356715[[#This Row],[PNP Fin]])</f>
        <v>0</v>
      </c>
      <c r="M25" s="60">
        <f>IF(Horaires356715[[#This Row],[Fin]]&lt;Horaires356715[[#This Row],[début]],1,0)+Horaires356715[[#This Row],[Fin]]</f>
        <v>0</v>
      </c>
      <c r="N25" s="61">
        <f>MAX(0,MIN(Horaires356715[[#This Row],[Fin corrigée si nuit]],fin_nuit)-MAX(Horaires356715[[#This Row],[début]],deb_nuit))*24</f>
        <v>0</v>
      </c>
      <c r="O25" s="62">
        <f>(MAX(0,MIN(Horaires356715[[#This Row],[Fin corrigée si nuit]],fin_nuit)-MAX(Horaires356715[[#This Row],[début]],deb_nuit))-IF(Horaires356715[[#This Row],[PNP Début]]=0,0,MIN(Horaires356715[[#This Row],[PNP Fin corrigée]],fin_nuit)-MAX(Horaires356715[[#This Row],[PNP Début corrigé]],deb_nuit)))*24</f>
        <v>0</v>
      </c>
      <c r="P25" s="62">
        <f>(IF(WEEKDAY(Horaires356715[[#This Row],[Date]],2)=7,MAX(0,MIN(fin_dimJF,Horaires356715[[#This Row],[Fin corrigée si nuit]])-MAX(deb_dimJF,Horaires356715[[#This Row],[début]])),0)+IF(WEEKDAY(Horaires356715[[#This Row],[Date]],2)=6,MAX(0,Horaires356715[[#This Row],[Fin corrigée si nuit]]-(1+deb_dimJF)),0))*24</f>
        <v>0</v>
      </c>
      <c r="Q25"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5" s="62">
        <f>(IF(COUNTIF(JF,Horaires356715[[#This Row],[Date]]),MAX(0,MIN(fin_dimJF,Horaires356715[[#This Row],[Fin corrigée si nuit]])-MAX(deb_dimJF,Horaires356715[[#This Row],[début]])),0)+IF(COUNTIF(JF,Horaires356715[[#This Row],[Date]]+1),MAX(0,Horaires356715[[#This Row],[Fin corrigée si nuit]]-(1+deb_dimJF)),0))*24</f>
        <v>0</v>
      </c>
      <c r="S25"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6" spans="1:19" ht="21" customHeight="1" x14ac:dyDescent="0.35">
      <c r="A26" s="9"/>
      <c r="B26" s="1"/>
      <c r="C26" s="2"/>
      <c r="D26" s="2"/>
      <c r="E26" s="3"/>
      <c r="F26" s="3"/>
      <c r="G26" s="3"/>
      <c r="H26" s="3"/>
      <c r="I26" s="57">
        <f>0.1*(Horaires356715[[#This Row],[Heures de nuit]]+Horaires356715[[#This Row],[heures jour dimanche]]+Horaires356715[[#This Row],[heures jour fériés]])</f>
        <v>0</v>
      </c>
      <c r="J26" s="58">
        <f>(MOD(Horaires356715[[#This Row],[Fin]]-Horaires356715[[#This Row],[début]],1)-MOD(Horaires356715[[#This Row],[PNP Fin]]-Horaires356715[[#This Row],[PNP Début]],1))*24</f>
        <v>0</v>
      </c>
      <c r="K26" s="59">
        <f>IF(Horaires356715[[#This Row],[PNP Début]]=0,0,IF(Horaires356715[[#This Row],[PNP Début]]&lt;Horaires356715[[#This Row],[début]],1,0)+Horaires356715[[#This Row],[PNP Début]])</f>
        <v>0</v>
      </c>
      <c r="L26" s="60">
        <f>IF(Horaires356715[[#This Row],[PNP Fin]]=0,0,IF(Horaires356715[[#This Row],[PNP Fin]]&lt;Horaires356715[[#This Row],[début]],1,0)+Horaires356715[[#This Row],[PNP Fin]])</f>
        <v>0</v>
      </c>
      <c r="M26" s="60">
        <f>IF(Horaires356715[[#This Row],[Fin]]&lt;Horaires356715[[#This Row],[début]],1,0)+Horaires356715[[#This Row],[Fin]]</f>
        <v>0</v>
      </c>
      <c r="N26" s="61">
        <f>MAX(0,MIN(Horaires356715[[#This Row],[Fin corrigée si nuit]],fin_nuit)-MAX(Horaires356715[[#This Row],[début]],deb_nuit))*24</f>
        <v>0</v>
      </c>
      <c r="O26" s="62">
        <f>(MAX(0,MIN(Horaires356715[[#This Row],[Fin corrigée si nuit]],fin_nuit)-MAX(Horaires356715[[#This Row],[début]],deb_nuit))-IF(Horaires356715[[#This Row],[PNP Début]]=0,0,MIN(Horaires356715[[#This Row],[PNP Fin corrigée]],fin_nuit)-MAX(Horaires356715[[#This Row],[PNP Début corrigé]],deb_nuit)))*24</f>
        <v>0</v>
      </c>
      <c r="P26" s="62">
        <f>(IF(WEEKDAY(Horaires356715[[#This Row],[Date]],2)=7,MAX(0,MIN(fin_dimJF,Horaires356715[[#This Row],[Fin corrigée si nuit]])-MAX(deb_dimJF,Horaires356715[[#This Row],[début]])),0)+IF(WEEKDAY(Horaires356715[[#This Row],[Date]],2)=6,MAX(0,Horaires356715[[#This Row],[Fin corrigée si nuit]]-(1+deb_dimJF)),0))*24</f>
        <v>0</v>
      </c>
      <c r="Q26"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6" s="62">
        <f>(IF(COUNTIF(JF,Horaires356715[[#This Row],[Date]]),MAX(0,MIN(fin_dimJF,Horaires356715[[#This Row],[Fin corrigée si nuit]])-MAX(deb_dimJF,Horaires356715[[#This Row],[début]])),0)+IF(COUNTIF(JF,Horaires356715[[#This Row],[Date]]+1),MAX(0,Horaires356715[[#This Row],[Fin corrigée si nuit]]-(1+deb_dimJF)),0))*24</f>
        <v>0</v>
      </c>
      <c r="S26"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7" spans="1:19" x14ac:dyDescent="0.35">
      <c r="A27" s="9"/>
      <c r="B27" s="1"/>
      <c r="C27" s="2"/>
      <c r="D27" s="2"/>
      <c r="E27" s="3"/>
      <c r="F27" s="3"/>
      <c r="G27" s="3"/>
      <c r="H27" s="3"/>
      <c r="I27" s="57">
        <f>0.1*(Horaires356715[[#This Row],[Heures de nuit]]+Horaires356715[[#This Row],[heures jour dimanche]]+Horaires356715[[#This Row],[heures jour fériés]])</f>
        <v>0</v>
      </c>
      <c r="J27" s="58">
        <f>(MOD(Horaires356715[[#This Row],[Fin]]-Horaires356715[[#This Row],[début]],1)-MOD(Horaires356715[[#This Row],[PNP Fin]]-Horaires356715[[#This Row],[PNP Début]],1))*24</f>
        <v>0</v>
      </c>
      <c r="K27" s="59">
        <f>IF(Horaires356715[[#This Row],[PNP Début]]=0,0,IF(Horaires356715[[#This Row],[PNP Début]]&lt;Horaires356715[[#This Row],[début]],1,0)+Horaires356715[[#This Row],[PNP Début]])</f>
        <v>0</v>
      </c>
      <c r="L27" s="60">
        <f>IF(Horaires356715[[#This Row],[PNP Fin]]=0,0,IF(Horaires356715[[#This Row],[PNP Fin]]&lt;Horaires356715[[#This Row],[début]],1,0)+Horaires356715[[#This Row],[PNP Fin]])</f>
        <v>0</v>
      </c>
      <c r="M27" s="60">
        <f>IF(Horaires356715[[#This Row],[Fin]]&lt;Horaires356715[[#This Row],[début]],1,0)+Horaires356715[[#This Row],[Fin]]</f>
        <v>0</v>
      </c>
      <c r="N27" s="61">
        <f>MAX(0,MIN(Horaires356715[[#This Row],[Fin corrigée si nuit]],fin_nuit)-MAX(Horaires356715[[#This Row],[début]],deb_nuit))*24</f>
        <v>0</v>
      </c>
      <c r="O27" s="62">
        <f>(MAX(0,MIN(Horaires356715[[#This Row],[Fin corrigée si nuit]],fin_nuit)-MAX(Horaires356715[[#This Row],[début]],deb_nuit))-IF(Horaires356715[[#This Row],[PNP Début]]=0,0,MIN(Horaires356715[[#This Row],[PNP Fin corrigée]],fin_nuit)-MAX(Horaires356715[[#This Row],[PNP Début corrigé]],deb_nuit)))*24</f>
        <v>0</v>
      </c>
      <c r="P27" s="62">
        <f>(IF(WEEKDAY(Horaires356715[[#This Row],[Date]],2)=7,MAX(0,MIN(fin_dimJF,Horaires356715[[#This Row],[Fin corrigée si nuit]])-MAX(deb_dimJF,Horaires356715[[#This Row],[début]])),0)+IF(WEEKDAY(Horaires356715[[#This Row],[Date]],2)=6,MAX(0,Horaires356715[[#This Row],[Fin corrigée si nuit]]-(1+deb_dimJF)),0))*24</f>
        <v>0</v>
      </c>
      <c r="Q27"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7" s="62">
        <f>(IF(COUNTIF(JF,Horaires356715[[#This Row],[Date]]),MAX(0,MIN(fin_dimJF,Horaires356715[[#This Row],[Fin corrigée si nuit]])-MAX(deb_dimJF,Horaires356715[[#This Row],[début]])),0)+IF(COUNTIF(JF,Horaires356715[[#This Row],[Date]]+1),MAX(0,Horaires356715[[#This Row],[Fin corrigée si nuit]]-(1+deb_dimJF)),0))*24</f>
        <v>0</v>
      </c>
      <c r="S27"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8" spans="1:19" x14ac:dyDescent="0.35">
      <c r="A28" s="9"/>
      <c r="B28" s="1"/>
      <c r="C28" s="2"/>
      <c r="D28" s="2"/>
      <c r="E28" s="3"/>
      <c r="F28" s="3"/>
      <c r="G28" s="3"/>
      <c r="H28" s="3"/>
      <c r="I28" s="57">
        <f>0.1*(Horaires356715[[#This Row],[Heures de nuit]]+Horaires356715[[#This Row],[heures jour dimanche]]+Horaires356715[[#This Row],[heures jour fériés]])</f>
        <v>0</v>
      </c>
      <c r="J28" s="58">
        <f>(MOD(Horaires356715[[#This Row],[Fin]]-Horaires356715[[#This Row],[début]],1)-MOD(Horaires356715[[#This Row],[PNP Fin]]-Horaires356715[[#This Row],[PNP Début]],1))*24</f>
        <v>0</v>
      </c>
      <c r="K28" s="59">
        <f>IF(Horaires356715[[#This Row],[PNP Début]]=0,0,IF(Horaires356715[[#This Row],[PNP Début]]&lt;Horaires356715[[#This Row],[début]],1,0)+Horaires356715[[#This Row],[PNP Début]])</f>
        <v>0</v>
      </c>
      <c r="L28" s="60">
        <f>IF(Horaires356715[[#This Row],[PNP Fin]]=0,0,IF(Horaires356715[[#This Row],[PNP Fin]]&lt;Horaires356715[[#This Row],[début]],1,0)+Horaires356715[[#This Row],[PNP Fin]])</f>
        <v>0</v>
      </c>
      <c r="M28" s="60">
        <f>IF(Horaires356715[[#This Row],[Fin]]&lt;Horaires356715[[#This Row],[début]],1,0)+Horaires356715[[#This Row],[Fin]]</f>
        <v>0</v>
      </c>
      <c r="N28" s="61">
        <f>MAX(0,MIN(Horaires356715[[#This Row],[Fin corrigée si nuit]],fin_nuit)-MAX(Horaires356715[[#This Row],[début]],deb_nuit))*24</f>
        <v>0</v>
      </c>
      <c r="O28" s="62">
        <f>(MAX(0,MIN(Horaires356715[[#This Row],[Fin corrigée si nuit]],fin_nuit)-MAX(Horaires356715[[#This Row],[début]],deb_nuit))-IF(Horaires356715[[#This Row],[PNP Début]]=0,0,MIN(Horaires356715[[#This Row],[PNP Fin corrigée]],fin_nuit)-MAX(Horaires356715[[#This Row],[PNP Début corrigé]],deb_nuit)))*24</f>
        <v>0</v>
      </c>
      <c r="P28" s="62">
        <f>(IF(WEEKDAY(Horaires356715[[#This Row],[Date]],2)=7,MAX(0,MIN(fin_dimJF,Horaires356715[[#This Row],[Fin corrigée si nuit]])-MAX(deb_dimJF,Horaires356715[[#This Row],[début]])),0)+IF(WEEKDAY(Horaires356715[[#This Row],[Date]],2)=6,MAX(0,Horaires356715[[#This Row],[Fin corrigée si nuit]]-(1+deb_dimJF)),0))*24</f>
        <v>0</v>
      </c>
      <c r="Q28"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8" s="62">
        <f>(IF(COUNTIF(JF,Horaires356715[[#This Row],[Date]]),MAX(0,MIN(fin_dimJF,Horaires356715[[#This Row],[Fin corrigée si nuit]])-MAX(deb_dimJF,Horaires356715[[#This Row],[début]])),0)+IF(COUNTIF(JF,Horaires356715[[#This Row],[Date]]+1),MAX(0,Horaires356715[[#This Row],[Fin corrigée si nuit]]-(1+deb_dimJF)),0))*24</f>
        <v>0</v>
      </c>
      <c r="S28"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29" spans="1:19" x14ac:dyDescent="0.35">
      <c r="A29" s="9"/>
      <c r="B29" s="1"/>
      <c r="C29" s="2"/>
      <c r="D29" s="2"/>
      <c r="E29" s="3"/>
      <c r="F29" s="3"/>
      <c r="G29" s="3"/>
      <c r="H29" s="3"/>
      <c r="I29" s="57">
        <f>0.1*(Horaires356715[[#This Row],[Heures de nuit]]+Horaires356715[[#This Row],[heures jour dimanche]]+Horaires356715[[#This Row],[heures jour fériés]])</f>
        <v>0</v>
      </c>
      <c r="J29" s="58">
        <f>(MOD(Horaires356715[[#This Row],[Fin]]-Horaires356715[[#This Row],[début]],1)-MOD(Horaires356715[[#This Row],[PNP Fin]]-Horaires356715[[#This Row],[PNP Début]],1))*24</f>
        <v>0</v>
      </c>
      <c r="K29" s="59">
        <f>IF(Horaires356715[[#This Row],[PNP Début]]=0,0,IF(Horaires356715[[#This Row],[PNP Début]]&lt;Horaires356715[[#This Row],[début]],1,0)+Horaires356715[[#This Row],[PNP Début]])</f>
        <v>0</v>
      </c>
      <c r="L29" s="60">
        <f>IF(Horaires356715[[#This Row],[PNP Fin]]=0,0,IF(Horaires356715[[#This Row],[PNP Fin]]&lt;Horaires356715[[#This Row],[début]],1,0)+Horaires356715[[#This Row],[PNP Fin]])</f>
        <v>0</v>
      </c>
      <c r="M29" s="60">
        <f>IF(Horaires356715[[#This Row],[Fin]]&lt;Horaires356715[[#This Row],[début]],1,0)+Horaires356715[[#This Row],[Fin]]</f>
        <v>0</v>
      </c>
      <c r="N29" s="61">
        <f>MAX(0,MIN(Horaires356715[[#This Row],[Fin corrigée si nuit]],fin_nuit)-MAX(Horaires356715[[#This Row],[début]],deb_nuit))*24</f>
        <v>0</v>
      </c>
      <c r="O29" s="62">
        <f>(MAX(0,MIN(Horaires356715[[#This Row],[Fin corrigée si nuit]],fin_nuit)-MAX(Horaires356715[[#This Row],[début]],deb_nuit))-IF(Horaires356715[[#This Row],[PNP Début]]=0,0,MIN(Horaires356715[[#This Row],[PNP Fin corrigée]],fin_nuit)-MAX(Horaires356715[[#This Row],[PNP Début corrigé]],deb_nuit)))*24</f>
        <v>0</v>
      </c>
      <c r="P29" s="62">
        <f>(IF(WEEKDAY(Horaires356715[[#This Row],[Date]],2)=7,MAX(0,MIN(fin_dimJF,Horaires356715[[#This Row],[Fin corrigée si nuit]])-MAX(deb_dimJF,Horaires356715[[#This Row],[début]])),0)+IF(WEEKDAY(Horaires356715[[#This Row],[Date]],2)=6,MAX(0,Horaires356715[[#This Row],[Fin corrigée si nuit]]-(1+deb_dimJF)),0))*24</f>
        <v>0</v>
      </c>
      <c r="Q29"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29" s="62">
        <f>(IF(COUNTIF(JF,Horaires356715[[#This Row],[Date]]),MAX(0,MIN(fin_dimJF,Horaires356715[[#This Row],[Fin corrigée si nuit]])-MAX(deb_dimJF,Horaires356715[[#This Row],[début]])),0)+IF(COUNTIF(JF,Horaires356715[[#This Row],[Date]]+1),MAX(0,Horaires356715[[#This Row],[Fin corrigée si nuit]]-(1+deb_dimJF)),0))*24</f>
        <v>0</v>
      </c>
      <c r="S29"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0" spans="1:19" x14ac:dyDescent="0.35">
      <c r="A30" s="9"/>
      <c r="B30" s="1"/>
      <c r="C30" s="2"/>
      <c r="D30" s="2"/>
      <c r="E30" s="3"/>
      <c r="F30" s="3"/>
      <c r="G30" s="3"/>
      <c r="H30" s="3"/>
      <c r="I30" s="57">
        <f>0.1*(Horaires356715[[#This Row],[Heures de nuit]]+Horaires356715[[#This Row],[heures jour dimanche]]+Horaires356715[[#This Row],[heures jour fériés]])</f>
        <v>0</v>
      </c>
      <c r="J30" s="58">
        <f>(MOD(Horaires356715[[#This Row],[Fin]]-Horaires356715[[#This Row],[début]],1)-MOD(Horaires356715[[#This Row],[PNP Fin]]-Horaires356715[[#This Row],[PNP Début]],1))*24</f>
        <v>0</v>
      </c>
      <c r="K30" s="59">
        <f>IF(Horaires356715[[#This Row],[PNP Début]]=0,0,IF(Horaires356715[[#This Row],[PNP Début]]&lt;Horaires356715[[#This Row],[début]],1,0)+Horaires356715[[#This Row],[PNP Début]])</f>
        <v>0</v>
      </c>
      <c r="L30" s="60">
        <f>IF(Horaires356715[[#This Row],[PNP Fin]]=0,0,IF(Horaires356715[[#This Row],[PNP Fin]]&lt;Horaires356715[[#This Row],[début]],1,0)+Horaires356715[[#This Row],[PNP Fin]])</f>
        <v>0</v>
      </c>
      <c r="M30" s="60">
        <f>IF(Horaires356715[[#This Row],[Fin]]&lt;Horaires356715[[#This Row],[début]],1,0)+Horaires356715[[#This Row],[Fin]]</f>
        <v>0</v>
      </c>
      <c r="N30" s="61">
        <f>MAX(0,MIN(Horaires356715[[#This Row],[Fin corrigée si nuit]],fin_nuit)-MAX(Horaires356715[[#This Row],[début]],deb_nuit))*24</f>
        <v>0</v>
      </c>
      <c r="O30" s="62">
        <f>(MAX(0,MIN(Horaires356715[[#This Row],[Fin corrigée si nuit]],fin_nuit)-MAX(Horaires356715[[#This Row],[début]],deb_nuit))-IF(Horaires356715[[#This Row],[PNP Début]]=0,0,MIN(Horaires356715[[#This Row],[PNP Fin corrigée]],fin_nuit)-MAX(Horaires356715[[#This Row],[PNP Début corrigé]],deb_nuit)))*24</f>
        <v>0</v>
      </c>
      <c r="P30" s="62">
        <f>(IF(WEEKDAY(Horaires356715[[#This Row],[Date]],2)=7,MAX(0,MIN(fin_dimJF,Horaires356715[[#This Row],[Fin corrigée si nuit]])-MAX(deb_dimJF,Horaires356715[[#This Row],[début]])),0)+IF(WEEKDAY(Horaires356715[[#This Row],[Date]],2)=6,MAX(0,Horaires356715[[#This Row],[Fin corrigée si nuit]]-(1+deb_dimJF)),0))*24</f>
        <v>0</v>
      </c>
      <c r="Q30"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0" s="62">
        <f>(IF(COUNTIF(JF,Horaires356715[[#This Row],[Date]]),MAX(0,MIN(fin_dimJF,Horaires356715[[#This Row],[Fin corrigée si nuit]])-MAX(deb_dimJF,Horaires356715[[#This Row],[début]])),0)+IF(COUNTIF(JF,Horaires356715[[#This Row],[Date]]+1),MAX(0,Horaires356715[[#This Row],[Fin corrigée si nuit]]-(1+deb_dimJF)),0))*24</f>
        <v>0</v>
      </c>
      <c r="S30"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1" spans="1:19" x14ac:dyDescent="0.35">
      <c r="A31" s="9"/>
      <c r="B31" s="1"/>
      <c r="C31" s="2"/>
      <c r="D31" s="2"/>
      <c r="E31" s="3"/>
      <c r="F31" s="3"/>
      <c r="G31" s="3"/>
      <c r="H31" s="3"/>
      <c r="I31" s="57">
        <f>0.1*(Horaires356715[[#This Row],[Heures de nuit]]+Horaires356715[[#This Row],[heures jour dimanche]]+Horaires356715[[#This Row],[heures jour fériés]])</f>
        <v>0</v>
      </c>
      <c r="J31" s="58">
        <f>(MOD(Horaires356715[[#This Row],[Fin]]-Horaires356715[[#This Row],[début]],1)-MOD(Horaires356715[[#This Row],[PNP Fin]]-Horaires356715[[#This Row],[PNP Début]],1))*24</f>
        <v>0</v>
      </c>
      <c r="K31" s="59">
        <f>IF(Horaires356715[[#This Row],[PNP Début]]=0,0,IF(Horaires356715[[#This Row],[PNP Début]]&lt;Horaires356715[[#This Row],[début]],1,0)+Horaires356715[[#This Row],[PNP Début]])</f>
        <v>0</v>
      </c>
      <c r="L31" s="60">
        <f>IF(Horaires356715[[#This Row],[PNP Fin]]=0,0,IF(Horaires356715[[#This Row],[PNP Fin]]&lt;Horaires356715[[#This Row],[début]],1,0)+Horaires356715[[#This Row],[PNP Fin]])</f>
        <v>0</v>
      </c>
      <c r="M31" s="60">
        <f>IF(Horaires356715[[#This Row],[Fin]]&lt;Horaires356715[[#This Row],[début]],1,0)+Horaires356715[[#This Row],[Fin]]</f>
        <v>0</v>
      </c>
      <c r="N31" s="61">
        <f>MAX(0,MIN(Horaires356715[[#This Row],[Fin corrigée si nuit]],fin_nuit)-MAX(Horaires356715[[#This Row],[début]],deb_nuit))*24</f>
        <v>0</v>
      </c>
      <c r="O31" s="62">
        <f>(MAX(0,MIN(Horaires356715[[#This Row],[Fin corrigée si nuit]],fin_nuit)-MAX(Horaires356715[[#This Row],[début]],deb_nuit))-IF(Horaires356715[[#This Row],[PNP Début]]=0,0,MIN(Horaires356715[[#This Row],[PNP Fin corrigée]],fin_nuit)-MAX(Horaires356715[[#This Row],[PNP Début corrigé]],deb_nuit)))*24</f>
        <v>0</v>
      </c>
      <c r="P31" s="62">
        <f>(IF(WEEKDAY(Horaires356715[[#This Row],[Date]],2)=7,MAX(0,MIN(fin_dimJF,Horaires356715[[#This Row],[Fin corrigée si nuit]])-MAX(deb_dimJF,Horaires356715[[#This Row],[début]])),0)+IF(WEEKDAY(Horaires356715[[#This Row],[Date]],2)=6,MAX(0,Horaires356715[[#This Row],[Fin corrigée si nuit]]-(1+deb_dimJF)),0))*24</f>
        <v>0</v>
      </c>
      <c r="Q31"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1" s="62">
        <f>(IF(COUNTIF(JF,Horaires356715[[#This Row],[Date]]),MAX(0,MIN(fin_dimJF,Horaires356715[[#This Row],[Fin corrigée si nuit]])-MAX(deb_dimJF,Horaires356715[[#This Row],[début]])),0)+IF(COUNTIF(JF,Horaires356715[[#This Row],[Date]]+1),MAX(0,Horaires356715[[#This Row],[Fin corrigée si nuit]]-(1+deb_dimJF)),0))*24</f>
        <v>0</v>
      </c>
      <c r="S31"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2" spans="1:19" ht="14.5" customHeight="1" x14ac:dyDescent="0.35">
      <c r="A32" s="9"/>
      <c r="B32" s="1"/>
      <c r="C32" s="2"/>
      <c r="D32" s="2"/>
      <c r="E32" s="3"/>
      <c r="F32" s="3"/>
      <c r="G32" s="3"/>
      <c r="H32" s="3"/>
      <c r="I32" s="57">
        <f>0.1*(Horaires356715[[#This Row],[Heures de nuit]]+Horaires356715[[#This Row],[heures jour dimanche]]+Horaires356715[[#This Row],[heures jour fériés]])</f>
        <v>0</v>
      </c>
      <c r="J32" s="58">
        <f>(MOD(Horaires356715[[#This Row],[Fin]]-Horaires356715[[#This Row],[début]],1)-MOD(Horaires356715[[#This Row],[PNP Fin]]-Horaires356715[[#This Row],[PNP Début]],1))*24</f>
        <v>0</v>
      </c>
      <c r="K32" s="59">
        <f>IF(Horaires356715[[#This Row],[PNP Début]]=0,0,IF(Horaires356715[[#This Row],[PNP Début]]&lt;Horaires356715[[#This Row],[début]],1,0)+Horaires356715[[#This Row],[PNP Début]])</f>
        <v>0</v>
      </c>
      <c r="L32" s="60">
        <f>IF(Horaires356715[[#This Row],[PNP Fin]]=0,0,IF(Horaires356715[[#This Row],[PNP Fin]]&lt;Horaires356715[[#This Row],[début]],1,0)+Horaires356715[[#This Row],[PNP Fin]])</f>
        <v>0</v>
      </c>
      <c r="M32" s="60">
        <f>IF(Horaires356715[[#This Row],[Fin]]&lt;Horaires356715[[#This Row],[début]],1,0)+Horaires356715[[#This Row],[Fin]]</f>
        <v>0</v>
      </c>
      <c r="N32" s="61">
        <f>MAX(0,MIN(Horaires356715[[#This Row],[Fin corrigée si nuit]],fin_nuit)-MAX(Horaires356715[[#This Row],[début]],deb_nuit))*24</f>
        <v>0</v>
      </c>
      <c r="O32" s="62">
        <f>(MAX(0,MIN(Horaires356715[[#This Row],[Fin corrigée si nuit]],fin_nuit)-MAX(Horaires356715[[#This Row],[début]],deb_nuit))-IF(Horaires356715[[#This Row],[PNP Début]]=0,0,MIN(Horaires356715[[#This Row],[PNP Fin corrigée]],fin_nuit)-MAX(Horaires356715[[#This Row],[PNP Début corrigé]],deb_nuit)))*24</f>
        <v>0</v>
      </c>
      <c r="P32" s="62">
        <f>(IF(WEEKDAY(Horaires356715[[#This Row],[Date]],2)=7,MAX(0,MIN(fin_dimJF,Horaires356715[[#This Row],[Fin corrigée si nuit]])-MAX(deb_dimJF,Horaires356715[[#This Row],[début]])),0)+IF(WEEKDAY(Horaires356715[[#This Row],[Date]],2)=6,MAX(0,Horaires356715[[#This Row],[Fin corrigée si nuit]]-(1+deb_dimJF)),0))*24</f>
        <v>0</v>
      </c>
      <c r="Q32"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2" s="62">
        <f>(IF(COUNTIF(JF,Horaires356715[[#This Row],[Date]]),MAX(0,MIN(fin_dimJF,Horaires356715[[#This Row],[Fin corrigée si nuit]])-MAX(deb_dimJF,Horaires356715[[#This Row],[début]])),0)+IF(COUNTIF(JF,Horaires356715[[#This Row],[Date]]+1),MAX(0,Horaires356715[[#This Row],[Fin corrigée si nuit]]-(1+deb_dimJF)),0))*24</f>
        <v>0</v>
      </c>
      <c r="S32"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3" spans="1:19" x14ac:dyDescent="0.35">
      <c r="A33" s="9"/>
      <c r="B33" s="1"/>
      <c r="C33" s="2"/>
      <c r="D33" s="2"/>
      <c r="E33" s="3"/>
      <c r="F33" s="3"/>
      <c r="G33" s="3"/>
      <c r="H33" s="3"/>
      <c r="I33" s="57">
        <f>0.1*(Horaires356715[[#This Row],[Heures de nuit]]+Horaires356715[[#This Row],[heures jour dimanche]]+Horaires356715[[#This Row],[heures jour fériés]])</f>
        <v>0</v>
      </c>
      <c r="J33" s="58">
        <f>(MOD(Horaires356715[[#This Row],[Fin]]-Horaires356715[[#This Row],[début]],1)-MOD(Horaires356715[[#This Row],[PNP Fin]]-Horaires356715[[#This Row],[PNP Début]],1))*24</f>
        <v>0</v>
      </c>
      <c r="K33" s="59">
        <f>IF(Horaires356715[[#This Row],[PNP Début]]=0,0,IF(Horaires356715[[#This Row],[PNP Début]]&lt;Horaires356715[[#This Row],[début]],1,0)+Horaires356715[[#This Row],[PNP Début]])</f>
        <v>0</v>
      </c>
      <c r="L33" s="60">
        <f>IF(Horaires356715[[#This Row],[PNP Fin]]=0,0,IF(Horaires356715[[#This Row],[PNP Fin]]&lt;Horaires356715[[#This Row],[début]],1,0)+Horaires356715[[#This Row],[PNP Fin]])</f>
        <v>0</v>
      </c>
      <c r="M33" s="60">
        <f>IF(Horaires356715[[#This Row],[Fin]]&lt;Horaires356715[[#This Row],[début]],1,0)+Horaires356715[[#This Row],[Fin]]</f>
        <v>0</v>
      </c>
      <c r="N33" s="61">
        <f>MAX(0,MIN(Horaires356715[[#This Row],[Fin corrigée si nuit]],fin_nuit)-MAX(Horaires356715[[#This Row],[début]],deb_nuit))*24</f>
        <v>0</v>
      </c>
      <c r="O33" s="62">
        <f>(MAX(0,MIN(Horaires356715[[#This Row],[Fin corrigée si nuit]],fin_nuit)-MAX(Horaires356715[[#This Row],[début]],deb_nuit))-IF(Horaires356715[[#This Row],[PNP Début]]=0,0,MIN(Horaires356715[[#This Row],[PNP Fin corrigée]],fin_nuit)-MAX(Horaires356715[[#This Row],[PNP Début corrigé]],deb_nuit)))*24</f>
        <v>0</v>
      </c>
      <c r="P33" s="62">
        <f>(IF(WEEKDAY(Horaires356715[[#This Row],[Date]],2)=7,MAX(0,MIN(fin_dimJF,Horaires356715[[#This Row],[Fin corrigée si nuit]])-MAX(deb_dimJF,Horaires356715[[#This Row],[début]])),0)+IF(WEEKDAY(Horaires356715[[#This Row],[Date]],2)=6,MAX(0,Horaires356715[[#This Row],[Fin corrigée si nuit]]-(1+deb_dimJF)),0))*24</f>
        <v>0</v>
      </c>
      <c r="Q33"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3" s="62">
        <f>(IF(COUNTIF(JF,Horaires356715[[#This Row],[Date]]),MAX(0,MIN(fin_dimJF,Horaires356715[[#This Row],[Fin corrigée si nuit]])-MAX(deb_dimJF,Horaires356715[[#This Row],[début]])),0)+IF(COUNTIF(JF,Horaires356715[[#This Row],[Date]]+1),MAX(0,Horaires356715[[#This Row],[Fin corrigée si nuit]]-(1+deb_dimJF)),0))*24</f>
        <v>0</v>
      </c>
      <c r="S33"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4" spans="1:19" x14ac:dyDescent="0.35">
      <c r="A34" s="9"/>
      <c r="B34" s="1"/>
      <c r="C34" s="2"/>
      <c r="D34" s="2"/>
      <c r="E34" s="3"/>
      <c r="F34" s="3"/>
      <c r="G34" s="3"/>
      <c r="H34" s="3"/>
      <c r="I34" s="57">
        <f>0.1*(Horaires356715[[#This Row],[Heures de nuit]]+Horaires356715[[#This Row],[heures jour dimanche]]+Horaires356715[[#This Row],[heures jour fériés]])</f>
        <v>0</v>
      </c>
      <c r="J34" s="58">
        <f>(MOD(Horaires356715[[#This Row],[Fin]]-Horaires356715[[#This Row],[début]],1)-MOD(Horaires356715[[#This Row],[PNP Fin]]-Horaires356715[[#This Row],[PNP Début]],1))*24</f>
        <v>0</v>
      </c>
      <c r="K34" s="59">
        <f>IF(Horaires356715[[#This Row],[PNP Début]]=0,0,IF(Horaires356715[[#This Row],[PNP Début]]&lt;Horaires356715[[#This Row],[début]],1,0)+Horaires356715[[#This Row],[PNP Début]])</f>
        <v>0</v>
      </c>
      <c r="L34" s="60">
        <f>IF(Horaires356715[[#This Row],[PNP Fin]]=0,0,IF(Horaires356715[[#This Row],[PNP Fin]]&lt;Horaires356715[[#This Row],[début]],1,0)+Horaires356715[[#This Row],[PNP Fin]])</f>
        <v>0</v>
      </c>
      <c r="M34" s="60">
        <f>IF(Horaires356715[[#This Row],[Fin]]&lt;Horaires356715[[#This Row],[début]],1,0)+Horaires356715[[#This Row],[Fin]]</f>
        <v>0</v>
      </c>
      <c r="N34" s="61">
        <f>MAX(0,MIN(Horaires356715[[#This Row],[Fin corrigée si nuit]],fin_nuit)-MAX(Horaires356715[[#This Row],[début]],deb_nuit))*24</f>
        <v>0</v>
      </c>
      <c r="O34" s="62">
        <f>(MAX(0,MIN(Horaires356715[[#This Row],[Fin corrigée si nuit]],fin_nuit)-MAX(Horaires356715[[#This Row],[début]],deb_nuit))-IF(Horaires356715[[#This Row],[PNP Début]]=0,0,MIN(Horaires356715[[#This Row],[PNP Fin corrigée]],fin_nuit)-MAX(Horaires356715[[#This Row],[PNP Début corrigé]],deb_nuit)))*24</f>
        <v>0</v>
      </c>
      <c r="P34" s="62">
        <f>(IF(WEEKDAY(Horaires356715[[#This Row],[Date]],2)=7,MAX(0,MIN(fin_dimJF,Horaires356715[[#This Row],[Fin corrigée si nuit]])-MAX(deb_dimJF,Horaires356715[[#This Row],[début]])),0)+IF(WEEKDAY(Horaires356715[[#This Row],[Date]],2)=6,MAX(0,Horaires356715[[#This Row],[Fin corrigée si nuit]]-(1+deb_dimJF)),0))*24</f>
        <v>0</v>
      </c>
      <c r="Q34"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4" s="62">
        <f>(IF(COUNTIF(JF,Horaires356715[[#This Row],[Date]]),MAX(0,MIN(fin_dimJF,Horaires356715[[#This Row],[Fin corrigée si nuit]])-MAX(deb_dimJF,Horaires356715[[#This Row],[début]])),0)+IF(COUNTIF(JF,Horaires356715[[#This Row],[Date]]+1),MAX(0,Horaires356715[[#This Row],[Fin corrigée si nuit]]-(1+deb_dimJF)),0))*24</f>
        <v>0</v>
      </c>
      <c r="S34"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5" spans="1:19" x14ac:dyDescent="0.35">
      <c r="A35" s="9"/>
      <c r="B35" s="1"/>
      <c r="C35" s="2"/>
      <c r="D35" s="2"/>
      <c r="E35" s="3"/>
      <c r="F35" s="3"/>
      <c r="G35" s="3"/>
      <c r="H35" s="3"/>
      <c r="I35" s="57">
        <f>0.1*(Horaires356715[[#This Row],[Heures de nuit]]+Horaires356715[[#This Row],[heures jour dimanche]]+Horaires356715[[#This Row],[heures jour fériés]])</f>
        <v>0</v>
      </c>
      <c r="J35" s="58">
        <f>(MOD(Horaires356715[[#This Row],[Fin]]-Horaires356715[[#This Row],[début]],1)-MOD(Horaires356715[[#This Row],[PNP Fin]]-Horaires356715[[#This Row],[PNP Début]],1))*24</f>
        <v>0</v>
      </c>
      <c r="K35" s="59">
        <f>IF(Horaires356715[[#This Row],[PNP Début]]=0,0,IF(Horaires356715[[#This Row],[PNP Début]]&lt;Horaires356715[[#This Row],[début]],1,0)+Horaires356715[[#This Row],[PNP Début]])</f>
        <v>0</v>
      </c>
      <c r="L35" s="60">
        <f>IF(Horaires356715[[#This Row],[PNP Fin]]=0,0,IF(Horaires356715[[#This Row],[PNP Fin]]&lt;Horaires356715[[#This Row],[début]],1,0)+Horaires356715[[#This Row],[PNP Fin]])</f>
        <v>0</v>
      </c>
      <c r="M35" s="60">
        <f>IF(Horaires356715[[#This Row],[Fin]]&lt;Horaires356715[[#This Row],[début]],1,0)+Horaires356715[[#This Row],[Fin]]</f>
        <v>0</v>
      </c>
      <c r="N35" s="61">
        <f>MAX(0,MIN(Horaires356715[[#This Row],[Fin corrigée si nuit]],fin_nuit)-MAX(Horaires356715[[#This Row],[début]],deb_nuit))*24</f>
        <v>0</v>
      </c>
      <c r="O35" s="62">
        <f>(MAX(0,MIN(Horaires356715[[#This Row],[Fin corrigée si nuit]],fin_nuit)-MAX(Horaires356715[[#This Row],[début]],deb_nuit))-IF(Horaires356715[[#This Row],[PNP Début]]=0,0,MIN(Horaires356715[[#This Row],[PNP Fin corrigée]],fin_nuit)-MAX(Horaires356715[[#This Row],[PNP Début corrigé]],deb_nuit)))*24</f>
        <v>0</v>
      </c>
      <c r="P35" s="62">
        <f>(IF(WEEKDAY(Horaires356715[[#This Row],[Date]],2)=7,MAX(0,MIN(fin_dimJF,Horaires356715[[#This Row],[Fin corrigée si nuit]])-MAX(deb_dimJF,Horaires356715[[#This Row],[début]])),0)+IF(WEEKDAY(Horaires356715[[#This Row],[Date]],2)=6,MAX(0,Horaires356715[[#This Row],[Fin corrigée si nuit]]-(1+deb_dimJF)),0))*24</f>
        <v>0</v>
      </c>
      <c r="Q35"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5" s="62">
        <f>(IF(COUNTIF(JF,Horaires356715[[#This Row],[Date]]),MAX(0,MIN(fin_dimJF,Horaires356715[[#This Row],[Fin corrigée si nuit]])-MAX(deb_dimJF,Horaires356715[[#This Row],[début]])),0)+IF(COUNTIF(JF,Horaires356715[[#This Row],[Date]]+1),MAX(0,Horaires356715[[#This Row],[Fin corrigée si nuit]]-(1+deb_dimJF)),0))*24</f>
        <v>0</v>
      </c>
      <c r="S35"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6" spans="1:19" x14ac:dyDescent="0.35">
      <c r="A36" s="9"/>
      <c r="B36" s="1"/>
      <c r="C36" s="2"/>
      <c r="D36" s="2"/>
      <c r="E36" s="3"/>
      <c r="F36" s="3"/>
      <c r="G36" s="3"/>
      <c r="H36" s="3"/>
      <c r="I36" s="57">
        <f>0.1*(Horaires356715[[#This Row],[Heures de nuit]]+Horaires356715[[#This Row],[heures jour dimanche]]+Horaires356715[[#This Row],[heures jour fériés]])</f>
        <v>0</v>
      </c>
      <c r="J36" s="58">
        <f>(MOD(Horaires356715[[#This Row],[Fin]]-Horaires356715[[#This Row],[début]],1)-MOD(Horaires356715[[#This Row],[PNP Fin]]-Horaires356715[[#This Row],[PNP Début]],1))*24</f>
        <v>0</v>
      </c>
      <c r="K36" s="59">
        <f>IF(Horaires356715[[#This Row],[PNP Début]]=0,0,IF(Horaires356715[[#This Row],[PNP Début]]&lt;Horaires356715[[#This Row],[début]],1,0)+Horaires356715[[#This Row],[PNP Début]])</f>
        <v>0</v>
      </c>
      <c r="L36" s="60">
        <f>IF(Horaires356715[[#This Row],[PNP Fin]]=0,0,IF(Horaires356715[[#This Row],[PNP Fin]]&lt;Horaires356715[[#This Row],[début]],1,0)+Horaires356715[[#This Row],[PNP Fin]])</f>
        <v>0</v>
      </c>
      <c r="M36" s="60">
        <f>IF(Horaires356715[[#This Row],[Fin]]&lt;Horaires356715[[#This Row],[début]],1,0)+Horaires356715[[#This Row],[Fin]]</f>
        <v>0</v>
      </c>
      <c r="N36" s="61">
        <f>MAX(0,MIN(Horaires356715[[#This Row],[Fin corrigée si nuit]],fin_nuit)-MAX(Horaires356715[[#This Row],[début]],deb_nuit))*24</f>
        <v>0</v>
      </c>
      <c r="O36" s="62">
        <f>(MAX(0,MIN(Horaires356715[[#This Row],[Fin corrigée si nuit]],fin_nuit)-MAX(Horaires356715[[#This Row],[début]],deb_nuit))-IF(Horaires356715[[#This Row],[PNP Début]]=0,0,MIN(Horaires356715[[#This Row],[PNP Fin corrigée]],fin_nuit)-MAX(Horaires356715[[#This Row],[PNP Début corrigé]],deb_nuit)))*24</f>
        <v>0</v>
      </c>
      <c r="P36" s="62">
        <f>(IF(WEEKDAY(Horaires356715[[#This Row],[Date]],2)=7,MAX(0,MIN(fin_dimJF,Horaires356715[[#This Row],[Fin corrigée si nuit]])-MAX(deb_dimJF,Horaires356715[[#This Row],[début]])),0)+IF(WEEKDAY(Horaires356715[[#This Row],[Date]],2)=6,MAX(0,Horaires356715[[#This Row],[Fin corrigée si nuit]]-(1+deb_dimJF)),0))*24</f>
        <v>0</v>
      </c>
      <c r="Q36"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6" s="62">
        <f>(IF(COUNTIF(JF,Horaires356715[[#This Row],[Date]]),MAX(0,MIN(fin_dimJF,Horaires356715[[#This Row],[Fin corrigée si nuit]])-MAX(deb_dimJF,Horaires356715[[#This Row],[début]])),0)+IF(COUNTIF(JF,Horaires356715[[#This Row],[Date]]+1),MAX(0,Horaires356715[[#This Row],[Fin corrigée si nuit]]-(1+deb_dimJF)),0))*24</f>
        <v>0</v>
      </c>
      <c r="S36"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7" spans="1:19" x14ac:dyDescent="0.35">
      <c r="A37" s="9"/>
      <c r="B37" s="1"/>
      <c r="C37" s="2"/>
      <c r="D37" s="2"/>
      <c r="E37" s="3"/>
      <c r="F37" s="3"/>
      <c r="G37" s="3"/>
      <c r="H37" s="3"/>
      <c r="I37" s="57">
        <f>0.1*(Horaires356715[[#This Row],[Heures de nuit]]+Horaires356715[[#This Row],[heures jour dimanche]]+Horaires356715[[#This Row],[heures jour fériés]])</f>
        <v>0</v>
      </c>
      <c r="J37" s="58">
        <f>(MOD(Horaires356715[[#This Row],[Fin]]-Horaires356715[[#This Row],[début]],1)-MOD(Horaires356715[[#This Row],[PNP Fin]]-Horaires356715[[#This Row],[PNP Début]],1))*24</f>
        <v>0</v>
      </c>
      <c r="K37" s="59">
        <f>IF(Horaires356715[[#This Row],[PNP Début]]=0,0,IF(Horaires356715[[#This Row],[PNP Début]]&lt;Horaires356715[[#This Row],[début]],1,0)+Horaires356715[[#This Row],[PNP Début]])</f>
        <v>0</v>
      </c>
      <c r="L37" s="60">
        <f>IF(Horaires356715[[#This Row],[PNP Fin]]=0,0,IF(Horaires356715[[#This Row],[PNP Fin]]&lt;Horaires356715[[#This Row],[début]],1,0)+Horaires356715[[#This Row],[PNP Fin]])</f>
        <v>0</v>
      </c>
      <c r="M37" s="60">
        <f>IF(Horaires356715[[#This Row],[Fin]]&lt;Horaires356715[[#This Row],[début]],1,0)+Horaires356715[[#This Row],[Fin]]</f>
        <v>0</v>
      </c>
      <c r="N37" s="61">
        <f>MAX(0,MIN(Horaires356715[[#This Row],[Fin corrigée si nuit]],fin_nuit)-MAX(Horaires356715[[#This Row],[début]],deb_nuit))*24</f>
        <v>0</v>
      </c>
      <c r="O37" s="62">
        <f>(MAX(0,MIN(Horaires356715[[#This Row],[Fin corrigée si nuit]],fin_nuit)-MAX(Horaires356715[[#This Row],[début]],deb_nuit))-IF(Horaires356715[[#This Row],[PNP Début]]=0,0,MIN(Horaires356715[[#This Row],[PNP Fin corrigée]],fin_nuit)-MAX(Horaires356715[[#This Row],[PNP Début corrigé]],deb_nuit)))*24</f>
        <v>0</v>
      </c>
      <c r="P37" s="62">
        <f>(IF(WEEKDAY(Horaires356715[[#This Row],[Date]],2)=7,MAX(0,MIN(fin_dimJF,Horaires356715[[#This Row],[Fin corrigée si nuit]])-MAX(deb_dimJF,Horaires356715[[#This Row],[début]])),0)+IF(WEEKDAY(Horaires356715[[#This Row],[Date]],2)=6,MAX(0,Horaires356715[[#This Row],[Fin corrigée si nuit]]-(1+deb_dimJF)),0))*24</f>
        <v>0</v>
      </c>
      <c r="Q37"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7" s="62">
        <f>(IF(COUNTIF(JF,Horaires356715[[#This Row],[Date]]),MAX(0,MIN(fin_dimJF,Horaires356715[[#This Row],[Fin corrigée si nuit]])-MAX(deb_dimJF,Horaires356715[[#This Row],[début]])),0)+IF(COUNTIF(JF,Horaires356715[[#This Row],[Date]]+1),MAX(0,Horaires356715[[#This Row],[Fin corrigée si nuit]]-(1+deb_dimJF)),0))*24</f>
        <v>0</v>
      </c>
      <c r="S37"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8" spans="1:19" x14ac:dyDescent="0.35">
      <c r="A38" s="9"/>
      <c r="B38" s="1"/>
      <c r="C38" s="2"/>
      <c r="D38" s="2"/>
      <c r="E38" s="3"/>
      <c r="F38" s="3"/>
      <c r="G38" s="3"/>
      <c r="H38" s="3"/>
      <c r="I38" s="57">
        <f>0.1*(Horaires356715[[#This Row],[Heures de nuit]]+Horaires356715[[#This Row],[heures jour dimanche]]+Horaires356715[[#This Row],[heures jour fériés]])</f>
        <v>0</v>
      </c>
      <c r="J38" s="58">
        <f>(MOD(Horaires356715[[#This Row],[Fin]]-Horaires356715[[#This Row],[début]],1)-MOD(Horaires356715[[#This Row],[PNP Fin]]-Horaires356715[[#This Row],[PNP Début]],1))*24</f>
        <v>0</v>
      </c>
      <c r="K38" s="59">
        <f>IF(Horaires356715[[#This Row],[PNP Début]]=0,0,IF(Horaires356715[[#This Row],[PNP Début]]&lt;Horaires356715[[#This Row],[début]],1,0)+Horaires356715[[#This Row],[PNP Début]])</f>
        <v>0</v>
      </c>
      <c r="L38" s="60">
        <f>IF(Horaires356715[[#This Row],[PNP Fin]]=0,0,IF(Horaires356715[[#This Row],[PNP Fin]]&lt;Horaires356715[[#This Row],[début]],1,0)+Horaires356715[[#This Row],[PNP Fin]])</f>
        <v>0</v>
      </c>
      <c r="M38" s="60">
        <f>IF(Horaires356715[[#This Row],[Fin]]&lt;Horaires356715[[#This Row],[début]],1,0)+Horaires356715[[#This Row],[Fin]]</f>
        <v>0</v>
      </c>
      <c r="N38" s="61">
        <f>MAX(0,MIN(Horaires356715[[#This Row],[Fin corrigée si nuit]],fin_nuit)-MAX(Horaires356715[[#This Row],[début]],deb_nuit))*24</f>
        <v>0</v>
      </c>
      <c r="O38" s="62">
        <f>(MAX(0,MIN(Horaires356715[[#This Row],[Fin corrigée si nuit]],fin_nuit)-MAX(Horaires356715[[#This Row],[début]],deb_nuit))-IF(Horaires356715[[#This Row],[PNP Début]]=0,0,MIN(Horaires356715[[#This Row],[PNP Fin corrigée]],fin_nuit)-MAX(Horaires356715[[#This Row],[PNP Début corrigé]],deb_nuit)))*24</f>
        <v>0</v>
      </c>
      <c r="P38" s="62">
        <f>(IF(WEEKDAY(Horaires356715[[#This Row],[Date]],2)=7,MAX(0,MIN(fin_dimJF,Horaires356715[[#This Row],[Fin corrigée si nuit]])-MAX(deb_dimJF,Horaires356715[[#This Row],[début]])),0)+IF(WEEKDAY(Horaires356715[[#This Row],[Date]],2)=6,MAX(0,Horaires356715[[#This Row],[Fin corrigée si nuit]]-(1+deb_dimJF)),0))*24</f>
        <v>0</v>
      </c>
      <c r="Q38"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8" s="62">
        <f>(IF(COUNTIF(JF,Horaires356715[[#This Row],[Date]]),MAX(0,MIN(fin_dimJF,Horaires356715[[#This Row],[Fin corrigée si nuit]])-MAX(deb_dimJF,Horaires356715[[#This Row],[début]])),0)+IF(COUNTIF(JF,Horaires356715[[#This Row],[Date]]+1),MAX(0,Horaires356715[[#This Row],[Fin corrigée si nuit]]-(1+deb_dimJF)),0))*24</f>
        <v>0</v>
      </c>
      <c r="S38"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39" spans="1:19" x14ac:dyDescent="0.35">
      <c r="A39" s="9"/>
      <c r="B39" s="1"/>
      <c r="C39" s="2"/>
      <c r="D39" s="2"/>
      <c r="E39" s="3"/>
      <c r="F39" s="3"/>
      <c r="G39" s="3"/>
      <c r="H39" s="3"/>
      <c r="I39" s="57">
        <f>0.1*(Horaires356715[[#This Row],[Heures de nuit]]+Horaires356715[[#This Row],[heures jour dimanche]]+Horaires356715[[#This Row],[heures jour fériés]])</f>
        <v>0</v>
      </c>
      <c r="J39" s="58">
        <f>(MOD(Horaires356715[[#This Row],[Fin]]-Horaires356715[[#This Row],[début]],1)-MOD(Horaires356715[[#This Row],[PNP Fin]]-Horaires356715[[#This Row],[PNP Début]],1))*24</f>
        <v>0</v>
      </c>
      <c r="K39" s="59">
        <f>IF(Horaires356715[[#This Row],[PNP Début]]=0,0,IF(Horaires356715[[#This Row],[PNP Début]]&lt;Horaires356715[[#This Row],[début]],1,0)+Horaires356715[[#This Row],[PNP Début]])</f>
        <v>0</v>
      </c>
      <c r="L39" s="60">
        <f>IF(Horaires356715[[#This Row],[PNP Fin]]=0,0,IF(Horaires356715[[#This Row],[PNP Fin]]&lt;Horaires356715[[#This Row],[début]],1,0)+Horaires356715[[#This Row],[PNP Fin]])</f>
        <v>0</v>
      </c>
      <c r="M39" s="60">
        <f>IF(Horaires356715[[#This Row],[Fin]]&lt;Horaires356715[[#This Row],[début]],1,0)+Horaires356715[[#This Row],[Fin]]</f>
        <v>0</v>
      </c>
      <c r="N39" s="61">
        <f>MAX(0,MIN(Horaires356715[[#This Row],[Fin corrigée si nuit]],fin_nuit)-MAX(Horaires356715[[#This Row],[début]],deb_nuit))*24</f>
        <v>0</v>
      </c>
      <c r="O39" s="62">
        <f>(MAX(0,MIN(Horaires356715[[#This Row],[Fin corrigée si nuit]],fin_nuit)-MAX(Horaires356715[[#This Row],[début]],deb_nuit))-IF(Horaires356715[[#This Row],[PNP Début]]=0,0,MIN(Horaires356715[[#This Row],[PNP Fin corrigée]],fin_nuit)-MAX(Horaires356715[[#This Row],[PNP Début corrigé]],deb_nuit)))*24</f>
        <v>0</v>
      </c>
      <c r="P39" s="62">
        <f>(IF(WEEKDAY(Horaires356715[[#This Row],[Date]],2)=7,MAX(0,MIN(fin_dimJF,Horaires356715[[#This Row],[Fin corrigée si nuit]])-MAX(deb_dimJF,Horaires356715[[#This Row],[début]])),0)+IF(WEEKDAY(Horaires356715[[#This Row],[Date]],2)=6,MAX(0,Horaires356715[[#This Row],[Fin corrigée si nuit]]-(1+deb_dimJF)),0))*24</f>
        <v>0</v>
      </c>
      <c r="Q39"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39" s="62">
        <f>(IF(COUNTIF(JF,Horaires356715[[#This Row],[Date]]),MAX(0,MIN(fin_dimJF,Horaires356715[[#This Row],[Fin corrigée si nuit]])-MAX(deb_dimJF,Horaires356715[[#This Row],[début]])),0)+IF(COUNTIF(JF,Horaires356715[[#This Row],[Date]]+1),MAX(0,Horaires356715[[#This Row],[Fin corrigée si nuit]]-(1+deb_dimJF)),0))*24</f>
        <v>0</v>
      </c>
      <c r="S39"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0" spans="1:19" x14ac:dyDescent="0.35">
      <c r="A40" s="9"/>
      <c r="B40" s="1"/>
      <c r="C40" s="2"/>
      <c r="D40" s="2"/>
      <c r="E40" s="3"/>
      <c r="F40" s="3"/>
      <c r="G40" s="3"/>
      <c r="H40" s="3"/>
      <c r="I40" s="57">
        <f>0.1*(Horaires356715[[#This Row],[Heures de nuit]]+Horaires356715[[#This Row],[heures jour dimanche]]+Horaires356715[[#This Row],[heures jour fériés]])</f>
        <v>0</v>
      </c>
      <c r="J40" s="58">
        <f>(MOD(Horaires356715[[#This Row],[Fin]]-Horaires356715[[#This Row],[début]],1)-MOD(Horaires356715[[#This Row],[PNP Fin]]-Horaires356715[[#This Row],[PNP Début]],1))*24</f>
        <v>0</v>
      </c>
      <c r="K40" s="59">
        <f>IF(Horaires356715[[#This Row],[PNP Début]]=0,0,IF(Horaires356715[[#This Row],[PNP Début]]&lt;Horaires356715[[#This Row],[début]],1,0)+Horaires356715[[#This Row],[PNP Début]])</f>
        <v>0</v>
      </c>
      <c r="L40" s="60">
        <f>IF(Horaires356715[[#This Row],[PNP Fin]]=0,0,IF(Horaires356715[[#This Row],[PNP Fin]]&lt;Horaires356715[[#This Row],[début]],1,0)+Horaires356715[[#This Row],[PNP Fin]])</f>
        <v>0</v>
      </c>
      <c r="M40" s="60">
        <f>IF(Horaires356715[[#This Row],[Fin]]&lt;Horaires356715[[#This Row],[début]],1,0)+Horaires356715[[#This Row],[Fin]]</f>
        <v>0</v>
      </c>
      <c r="N40" s="61">
        <f>MAX(0,MIN(Horaires356715[[#This Row],[Fin corrigée si nuit]],fin_nuit)-MAX(Horaires356715[[#This Row],[début]],deb_nuit))*24</f>
        <v>0</v>
      </c>
      <c r="O40" s="62">
        <f>(MAX(0,MIN(Horaires356715[[#This Row],[Fin corrigée si nuit]],fin_nuit)-MAX(Horaires356715[[#This Row],[début]],deb_nuit))-IF(Horaires356715[[#This Row],[PNP Début]]=0,0,MIN(Horaires356715[[#This Row],[PNP Fin corrigée]],fin_nuit)-MAX(Horaires356715[[#This Row],[PNP Début corrigé]],deb_nuit)))*24</f>
        <v>0</v>
      </c>
      <c r="P40" s="62">
        <f>(IF(WEEKDAY(Horaires356715[[#This Row],[Date]],2)=7,MAX(0,MIN(fin_dimJF,Horaires356715[[#This Row],[Fin corrigée si nuit]])-MAX(deb_dimJF,Horaires356715[[#This Row],[début]])),0)+IF(WEEKDAY(Horaires356715[[#This Row],[Date]],2)=6,MAX(0,Horaires356715[[#This Row],[Fin corrigée si nuit]]-(1+deb_dimJF)),0))*24</f>
        <v>0</v>
      </c>
      <c r="Q40"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0" s="62">
        <f>(IF(COUNTIF(JF,Horaires356715[[#This Row],[Date]]),MAX(0,MIN(fin_dimJF,Horaires356715[[#This Row],[Fin corrigée si nuit]])-MAX(deb_dimJF,Horaires356715[[#This Row],[début]])),0)+IF(COUNTIF(JF,Horaires356715[[#This Row],[Date]]+1),MAX(0,Horaires356715[[#This Row],[Fin corrigée si nuit]]-(1+deb_dimJF)),0))*24</f>
        <v>0</v>
      </c>
      <c r="S40"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1" spans="1:19" x14ac:dyDescent="0.35">
      <c r="A41" s="9"/>
      <c r="B41" s="1"/>
      <c r="C41" s="2"/>
      <c r="D41" s="2"/>
      <c r="E41" s="3"/>
      <c r="F41" s="3"/>
      <c r="G41" s="3"/>
      <c r="H41" s="3"/>
      <c r="I41" s="57">
        <f>0.1*(Horaires356715[[#This Row],[Heures de nuit]]+Horaires356715[[#This Row],[heures jour dimanche]]+Horaires356715[[#This Row],[heures jour fériés]])</f>
        <v>0</v>
      </c>
      <c r="J41" s="58">
        <f>(MOD(Horaires356715[[#This Row],[Fin]]-Horaires356715[[#This Row],[début]],1)-MOD(Horaires356715[[#This Row],[PNP Fin]]-Horaires356715[[#This Row],[PNP Début]],1))*24</f>
        <v>0</v>
      </c>
      <c r="K41" s="59">
        <f>IF(Horaires356715[[#This Row],[PNP Début]]=0,0,IF(Horaires356715[[#This Row],[PNP Début]]&lt;Horaires356715[[#This Row],[début]],1,0)+Horaires356715[[#This Row],[PNP Début]])</f>
        <v>0</v>
      </c>
      <c r="L41" s="60">
        <f>IF(Horaires356715[[#This Row],[PNP Fin]]=0,0,IF(Horaires356715[[#This Row],[PNP Fin]]&lt;Horaires356715[[#This Row],[début]],1,0)+Horaires356715[[#This Row],[PNP Fin]])</f>
        <v>0</v>
      </c>
      <c r="M41" s="60">
        <f>IF(Horaires356715[[#This Row],[Fin]]&lt;Horaires356715[[#This Row],[début]],1,0)+Horaires356715[[#This Row],[Fin]]</f>
        <v>0</v>
      </c>
      <c r="N41" s="61">
        <f>MAX(0,MIN(Horaires356715[[#This Row],[Fin corrigée si nuit]],fin_nuit)-MAX(Horaires356715[[#This Row],[début]],deb_nuit))*24</f>
        <v>0</v>
      </c>
      <c r="O41" s="62">
        <f>(MAX(0,MIN(Horaires356715[[#This Row],[Fin corrigée si nuit]],fin_nuit)-MAX(Horaires356715[[#This Row],[début]],deb_nuit))-IF(Horaires356715[[#This Row],[PNP Début]]=0,0,MIN(Horaires356715[[#This Row],[PNP Fin corrigée]],fin_nuit)-MAX(Horaires356715[[#This Row],[PNP Début corrigé]],deb_nuit)))*24</f>
        <v>0</v>
      </c>
      <c r="P41" s="62">
        <f>(IF(WEEKDAY(Horaires356715[[#This Row],[Date]],2)=7,MAX(0,MIN(fin_dimJF,Horaires356715[[#This Row],[Fin corrigée si nuit]])-MAX(deb_dimJF,Horaires356715[[#This Row],[début]])),0)+IF(WEEKDAY(Horaires356715[[#This Row],[Date]],2)=6,MAX(0,Horaires356715[[#This Row],[Fin corrigée si nuit]]-(1+deb_dimJF)),0))*24</f>
        <v>0</v>
      </c>
      <c r="Q41"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1" s="62">
        <f>(IF(COUNTIF(JF,Horaires356715[[#This Row],[Date]]),MAX(0,MIN(fin_dimJF,Horaires356715[[#This Row],[Fin corrigée si nuit]])-MAX(deb_dimJF,Horaires356715[[#This Row],[début]])),0)+IF(COUNTIF(JF,Horaires356715[[#This Row],[Date]]+1),MAX(0,Horaires356715[[#This Row],[Fin corrigée si nuit]]-(1+deb_dimJF)),0))*24</f>
        <v>0</v>
      </c>
      <c r="S41"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2" spans="1:19" x14ac:dyDescent="0.35">
      <c r="A42" s="9"/>
      <c r="B42" s="1"/>
      <c r="C42" s="2"/>
      <c r="D42" s="2"/>
      <c r="E42" s="3"/>
      <c r="F42" s="3"/>
      <c r="G42" s="3"/>
      <c r="H42" s="3"/>
      <c r="I42" s="57">
        <f>0.1*(Horaires356715[[#This Row],[Heures de nuit]]+Horaires356715[[#This Row],[heures jour dimanche]]+Horaires356715[[#This Row],[heures jour fériés]])</f>
        <v>0</v>
      </c>
      <c r="J42" s="58">
        <f>(MOD(Horaires356715[[#This Row],[Fin]]-Horaires356715[[#This Row],[début]],1)-MOD(Horaires356715[[#This Row],[PNP Fin]]-Horaires356715[[#This Row],[PNP Début]],1))*24</f>
        <v>0</v>
      </c>
      <c r="K42" s="59">
        <f>IF(Horaires356715[[#This Row],[PNP Début]]=0,0,IF(Horaires356715[[#This Row],[PNP Début]]&lt;Horaires356715[[#This Row],[début]],1,0)+Horaires356715[[#This Row],[PNP Début]])</f>
        <v>0</v>
      </c>
      <c r="L42" s="60">
        <f>IF(Horaires356715[[#This Row],[PNP Fin]]=0,0,IF(Horaires356715[[#This Row],[PNP Fin]]&lt;Horaires356715[[#This Row],[début]],1,0)+Horaires356715[[#This Row],[PNP Fin]])</f>
        <v>0</v>
      </c>
      <c r="M42" s="60">
        <f>IF(Horaires356715[[#This Row],[Fin]]&lt;Horaires356715[[#This Row],[début]],1,0)+Horaires356715[[#This Row],[Fin]]</f>
        <v>0</v>
      </c>
      <c r="N42" s="61">
        <f>MAX(0,MIN(Horaires356715[[#This Row],[Fin corrigée si nuit]],fin_nuit)-MAX(Horaires356715[[#This Row],[début]],deb_nuit))*24</f>
        <v>0</v>
      </c>
      <c r="O42" s="62">
        <f>(MAX(0,MIN(Horaires356715[[#This Row],[Fin corrigée si nuit]],fin_nuit)-MAX(Horaires356715[[#This Row],[début]],deb_nuit))-IF(Horaires356715[[#This Row],[PNP Début]]=0,0,MIN(Horaires356715[[#This Row],[PNP Fin corrigée]],fin_nuit)-MAX(Horaires356715[[#This Row],[PNP Début corrigé]],deb_nuit)))*24</f>
        <v>0</v>
      </c>
      <c r="P42" s="62">
        <f>(IF(WEEKDAY(Horaires356715[[#This Row],[Date]],2)=7,MAX(0,MIN(fin_dimJF,Horaires356715[[#This Row],[Fin corrigée si nuit]])-MAX(deb_dimJF,Horaires356715[[#This Row],[début]])),0)+IF(WEEKDAY(Horaires356715[[#This Row],[Date]],2)=6,MAX(0,Horaires356715[[#This Row],[Fin corrigée si nuit]]-(1+deb_dimJF)),0))*24</f>
        <v>0</v>
      </c>
      <c r="Q42"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2" s="62">
        <f>(IF(COUNTIF(JF,Horaires356715[[#This Row],[Date]]),MAX(0,MIN(fin_dimJF,Horaires356715[[#This Row],[Fin corrigée si nuit]])-MAX(deb_dimJF,Horaires356715[[#This Row],[début]])),0)+IF(COUNTIF(JF,Horaires356715[[#This Row],[Date]]+1),MAX(0,Horaires356715[[#This Row],[Fin corrigée si nuit]]-(1+deb_dimJF)),0))*24</f>
        <v>0</v>
      </c>
      <c r="S42"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3" spans="1:19" x14ac:dyDescent="0.35">
      <c r="A43" s="9"/>
      <c r="B43" s="1"/>
      <c r="C43" s="2"/>
      <c r="D43" s="2"/>
      <c r="E43" s="3"/>
      <c r="F43" s="3"/>
      <c r="G43" s="3"/>
      <c r="H43" s="3"/>
      <c r="I43" s="57">
        <f>0.1*(Horaires356715[[#This Row],[Heures de nuit]]+Horaires356715[[#This Row],[heures jour dimanche]]+Horaires356715[[#This Row],[heures jour fériés]])</f>
        <v>0</v>
      </c>
      <c r="J43" s="58">
        <f>(MOD(Horaires356715[[#This Row],[Fin]]-Horaires356715[[#This Row],[début]],1)-MOD(Horaires356715[[#This Row],[PNP Fin]]-Horaires356715[[#This Row],[PNP Début]],1))*24</f>
        <v>0</v>
      </c>
      <c r="K43" s="59">
        <f>IF(Horaires356715[[#This Row],[PNP Début]]=0,0,IF(Horaires356715[[#This Row],[PNP Début]]&lt;Horaires356715[[#This Row],[début]],1,0)+Horaires356715[[#This Row],[PNP Début]])</f>
        <v>0</v>
      </c>
      <c r="L43" s="60">
        <f>IF(Horaires356715[[#This Row],[PNP Fin]]=0,0,IF(Horaires356715[[#This Row],[PNP Fin]]&lt;Horaires356715[[#This Row],[début]],1,0)+Horaires356715[[#This Row],[PNP Fin]])</f>
        <v>0</v>
      </c>
      <c r="M43" s="60">
        <f>IF(Horaires356715[[#This Row],[Fin]]&lt;Horaires356715[[#This Row],[début]],1,0)+Horaires356715[[#This Row],[Fin]]</f>
        <v>0</v>
      </c>
      <c r="N43" s="61">
        <f>MAX(0,MIN(Horaires356715[[#This Row],[Fin corrigée si nuit]],fin_nuit)-MAX(Horaires356715[[#This Row],[début]],deb_nuit))*24</f>
        <v>0</v>
      </c>
      <c r="O43" s="62">
        <f>(MAX(0,MIN(Horaires356715[[#This Row],[Fin corrigée si nuit]],fin_nuit)-MAX(Horaires356715[[#This Row],[début]],deb_nuit))-IF(Horaires356715[[#This Row],[PNP Début]]=0,0,MIN(Horaires356715[[#This Row],[PNP Fin corrigée]],fin_nuit)-MAX(Horaires356715[[#This Row],[PNP Début corrigé]],deb_nuit)))*24</f>
        <v>0</v>
      </c>
      <c r="P43" s="62">
        <f>(IF(WEEKDAY(Horaires356715[[#This Row],[Date]],2)=7,MAX(0,MIN(fin_dimJF,Horaires356715[[#This Row],[Fin corrigée si nuit]])-MAX(deb_dimJF,Horaires356715[[#This Row],[début]])),0)+IF(WEEKDAY(Horaires356715[[#This Row],[Date]],2)=6,MAX(0,Horaires356715[[#This Row],[Fin corrigée si nuit]]-(1+deb_dimJF)),0))*24</f>
        <v>0</v>
      </c>
      <c r="Q43"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3" s="62">
        <f>(IF(COUNTIF(JF,Horaires356715[[#This Row],[Date]]),MAX(0,MIN(fin_dimJF,Horaires356715[[#This Row],[Fin corrigée si nuit]])-MAX(deb_dimJF,Horaires356715[[#This Row],[début]])),0)+IF(COUNTIF(JF,Horaires356715[[#This Row],[Date]]+1),MAX(0,Horaires356715[[#This Row],[Fin corrigée si nuit]]-(1+deb_dimJF)),0))*24</f>
        <v>0</v>
      </c>
      <c r="S43"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4" spans="1:19" x14ac:dyDescent="0.35">
      <c r="A44" s="9"/>
      <c r="B44" s="1"/>
      <c r="C44" s="2"/>
      <c r="D44" s="2"/>
      <c r="E44" s="3"/>
      <c r="F44" s="3"/>
      <c r="G44" s="3"/>
      <c r="H44" s="3"/>
      <c r="I44" s="57">
        <f>0.1*(Horaires356715[[#This Row],[Heures de nuit]]+Horaires356715[[#This Row],[heures jour dimanche]]+Horaires356715[[#This Row],[heures jour fériés]])</f>
        <v>0</v>
      </c>
      <c r="J44" s="58">
        <f>(MOD(Horaires356715[[#This Row],[Fin]]-Horaires356715[[#This Row],[début]],1)-MOD(Horaires356715[[#This Row],[PNP Fin]]-Horaires356715[[#This Row],[PNP Début]],1))*24</f>
        <v>0</v>
      </c>
      <c r="K44" s="59">
        <f>IF(Horaires356715[[#This Row],[PNP Début]]=0,0,IF(Horaires356715[[#This Row],[PNP Début]]&lt;Horaires356715[[#This Row],[début]],1,0)+Horaires356715[[#This Row],[PNP Début]])</f>
        <v>0</v>
      </c>
      <c r="L44" s="60">
        <f>IF(Horaires356715[[#This Row],[PNP Fin]]=0,0,IF(Horaires356715[[#This Row],[PNP Fin]]&lt;Horaires356715[[#This Row],[début]],1,0)+Horaires356715[[#This Row],[PNP Fin]])</f>
        <v>0</v>
      </c>
      <c r="M44" s="60">
        <f>IF(Horaires356715[[#This Row],[Fin]]&lt;Horaires356715[[#This Row],[début]],1,0)+Horaires356715[[#This Row],[Fin]]</f>
        <v>0</v>
      </c>
      <c r="N44" s="61">
        <f>MAX(0,MIN(Horaires356715[[#This Row],[Fin corrigée si nuit]],fin_nuit)-MAX(Horaires356715[[#This Row],[début]],deb_nuit))*24</f>
        <v>0</v>
      </c>
      <c r="O44" s="62">
        <f>(MAX(0,MIN(Horaires356715[[#This Row],[Fin corrigée si nuit]],fin_nuit)-MAX(Horaires356715[[#This Row],[début]],deb_nuit))-IF(Horaires356715[[#This Row],[PNP Début]]=0,0,MIN(Horaires356715[[#This Row],[PNP Fin corrigée]],fin_nuit)-MAX(Horaires356715[[#This Row],[PNP Début corrigé]],deb_nuit)))*24</f>
        <v>0</v>
      </c>
      <c r="P44" s="62">
        <f>(IF(WEEKDAY(Horaires356715[[#This Row],[Date]],2)=7,MAX(0,MIN(fin_dimJF,Horaires356715[[#This Row],[Fin corrigée si nuit]])-MAX(deb_dimJF,Horaires356715[[#This Row],[début]])),0)+IF(WEEKDAY(Horaires356715[[#This Row],[Date]],2)=6,MAX(0,Horaires356715[[#This Row],[Fin corrigée si nuit]]-(1+deb_dimJF)),0))*24</f>
        <v>0</v>
      </c>
      <c r="Q44"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4" s="62">
        <f>(IF(COUNTIF(JF,Horaires356715[[#This Row],[Date]]),MAX(0,MIN(fin_dimJF,Horaires356715[[#This Row],[Fin corrigée si nuit]])-MAX(deb_dimJF,Horaires356715[[#This Row],[début]])),0)+IF(COUNTIF(JF,Horaires356715[[#This Row],[Date]]+1),MAX(0,Horaires356715[[#This Row],[Fin corrigée si nuit]]-(1+deb_dimJF)),0))*24</f>
        <v>0</v>
      </c>
      <c r="S44"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5" spans="1:19" x14ac:dyDescent="0.35">
      <c r="A45" s="9"/>
      <c r="B45" s="1"/>
      <c r="C45" s="2"/>
      <c r="D45" s="2"/>
      <c r="E45" s="3"/>
      <c r="F45" s="3"/>
      <c r="G45" s="3"/>
      <c r="H45" s="3"/>
      <c r="I45" s="57">
        <f>0.1*(Horaires356715[[#This Row],[Heures de nuit]]+Horaires356715[[#This Row],[heures jour dimanche]]+Horaires356715[[#This Row],[heures jour fériés]])</f>
        <v>0</v>
      </c>
      <c r="J45" s="58">
        <f>(MOD(Horaires356715[[#This Row],[Fin]]-Horaires356715[[#This Row],[début]],1)-MOD(Horaires356715[[#This Row],[PNP Fin]]-Horaires356715[[#This Row],[PNP Début]],1))*24</f>
        <v>0</v>
      </c>
      <c r="K45" s="59">
        <f>IF(Horaires356715[[#This Row],[PNP Début]]=0,0,IF(Horaires356715[[#This Row],[PNP Début]]&lt;Horaires356715[[#This Row],[début]],1,0)+Horaires356715[[#This Row],[PNP Début]])</f>
        <v>0</v>
      </c>
      <c r="L45" s="60">
        <f>IF(Horaires356715[[#This Row],[PNP Fin]]=0,0,IF(Horaires356715[[#This Row],[PNP Fin]]&lt;Horaires356715[[#This Row],[début]],1,0)+Horaires356715[[#This Row],[PNP Fin]])</f>
        <v>0</v>
      </c>
      <c r="M45" s="60">
        <f>IF(Horaires356715[[#This Row],[Fin]]&lt;Horaires356715[[#This Row],[début]],1,0)+Horaires356715[[#This Row],[Fin]]</f>
        <v>0</v>
      </c>
      <c r="N45" s="61">
        <f>MAX(0,MIN(Horaires356715[[#This Row],[Fin corrigée si nuit]],fin_nuit)-MAX(Horaires356715[[#This Row],[début]],deb_nuit))*24</f>
        <v>0</v>
      </c>
      <c r="O45" s="62">
        <f>(MAX(0,MIN(Horaires356715[[#This Row],[Fin corrigée si nuit]],fin_nuit)-MAX(Horaires356715[[#This Row],[début]],deb_nuit))-IF(Horaires356715[[#This Row],[PNP Début]]=0,0,MIN(Horaires356715[[#This Row],[PNP Fin corrigée]],fin_nuit)-MAX(Horaires356715[[#This Row],[PNP Début corrigé]],deb_nuit)))*24</f>
        <v>0</v>
      </c>
      <c r="P45" s="62">
        <f>(IF(WEEKDAY(Horaires356715[[#This Row],[Date]],2)=7,MAX(0,MIN(fin_dimJF,Horaires356715[[#This Row],[Fin corrigée si nuit]])-MAX(deb_dimJF,Horaires356715[[#This Row],[début]])),0)+IF(WEEKDAY(Horaires356715[[#This Row],[Date]],2)=6,MAX(0,Horaires356715[[#This Row],[Fin corrigée si nuit]]-(1+deb_dimJF)),0))*24</f>
        <v>0</v>
      </c>
      <c r="Q45"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5" s="62">
        <f>(IF(COUNTIF(JF,Horaires356715[[#This Row],[Date]]),MAX(0,MIN(fin_dimJF,Horaires356715[[#This Row],[Fin corrigée si nuit]])-MAX(deb_dimJF,Horaires356715[[#This Row],[début]])),0)+IF(COUNTIF(JF,Horaires356715[[#This Row],[Date]]+1),MAX(0,Horaires356715[[#This Row],[Fin corrigée si nuit]]-(1+deb_dimJF)),0))*24</f>
        <v>0</v>
      </c>
      <c r="S45"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6" spans="1:19" x14ac:dyDescent="0.35">
      <c r="A46" s="9"/>
      <c r="B46" s="1"/>
      <c r="C46" s="2"/>
      <c r="D46" s="2"/>
      <c r="E46" s="3"/>
      <c r="F46" s="3"/>
      <c r="G46" s="3"/>
      <c r="H46" s="3"/>
      <c r="I46" s="57">
        <f>0.1*(Horaires356715[[#This Row],[Heures de nuit]]+Horaires356715[[#This Row],[heures jour dimanche]]+Horaires356715[[#This Row],[heures jour fériés]])</f>
        <v>0</v>
      </c>
      <c r="J46" s="58">
        <f>(MOD(Horaires356715[[#This Row],[Fin]]-Horaires356715[[#This Row],[début]],1)-MOD(Horaires356715[[#This Row],[PNP Fin]]-Horaires356715[[#This Row],[PNP Début]],1))*24</f>
        <v>0</v>
      </c>
      <c r="K46" s="59">
        <f>IF(Horaires356715[[#This Row],[PNP Début]]=0,0,IF(Horaires356715[[#This Row],[PNP Début]]&lt;Horaires356715[[#This Row],[début]],1,0)+Horaires356715[[#This Row],[PNP Début]])</f>
        <v>0</v>
      </c>
      <c r="L46" s="60">
        <f>IF(Horaires356715[[#This Row],[PNP Fin]]=0,0,IF(Horaires356715[[#This Row],[PNP Fin]]&lt;Horaires356715[[#This Row],[début]],1,0)+Horaires356715[[#This Row],[PNP Fin]])</f>
        <v>0</v>
      </c>
      <c r="M46" s="60">
        <f>IF(Horaires356715[[#This Row],[Fin]]&lt;Horaires356715[[#This Row],[début]],1,0)+Horaires356715[[#This Row],[Fin]]</f>
        <v>0</v>
      </c>
      <c r="N46" s="61">
        <f>MAX(0,MIN(Horaires356715[[#This Row],[Fin corrigée si nuit]],fin_nuit)-MAX(Horaires356715[[#This Row],[début]],deb_nuit))*24</f>
        <v>0</v>
      </c>
      <c r="O46" s="62">
        <f>(MAX(0,MIN(Horaires356715[[#This Row],[Fin corrigée si nuit]],fin_nuit)-MAX(Horaires356715[[#This Row],[début]],deb_nuit))-IF(Horaires356715[[#This Row],[PNP Début]]=0,0,MIN(Horaires356715[[#This Row],[PNP Fin corrigée]],fin_nuit)-MAX(Horaires356715[[#This Row],[PNP Début corrigé]],deb_nuit)))*24</f>
        <v>0</v>
      </c>
      <c r="P46" s="62">
        <f>(IF(WEEKDAY(Horaires356715[[#This Row],[Date]],2)=7,MAX(0,MIN(fin_dimJF,Horaires356715[[#This Row],[Fin corrigée si nuit]])-MAX(deb_dimJF,Horaires356715[[#This Row],[début]])),0)+IF(WEEKDAY(Horaires356715[[#This Row],[Date]],2)=6,MAX(0,Horaires356715[[#This Row],[Fin corrigée si nuit]]-(1+deb_dimJF)),0))*24</f>
        <v>0</v>
      </c>
      <c r="Q46"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6" s="62">
        <f>(IF(COUNTIF(JF,Horaires356715[[#This Row],[Date]]),MAX(0,MIN(fin_dimJF,Horaires356715[[#This Row],[Fin corrigée si nuit]])-MAX(deb_dimJF,Horaires356715[[#This Row],[début]])),0)+IF(COUNTIF(JF,Horaires356715[[#This Row],[Date]]+1),MAX(0,Horaires356715[[#This Row],[Fin corrigée si nuit]]-(1+deb_dimJF)),0))*24</f>
        <v>0</v>
      </c>
      <c r="S46"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7" spans="1:19" x14ac:dyDescent="0.35">
      <c r="A47" s="9"/>
      <c r="B47" s="1"/>
      <c r="C47" s="2"/>
      <c r="D47" s="2"/>
      <c r="E47" s="3"/>
      <c r="F47" s="3"/>
      <c r="G47" s="3"/>
      <c r="H47" s="3"/>
      <c r="I47" s="57">
        <f>0.1*(Horaires356715[[#This Row],[Heures de nuit]]+Horaires356715[[#This Row],[heures jour dimanche]]+Horaires356715[[#This Row],[heures jour fériés]])</f>
        <v>0</v>
      </c>
      <c r="J47" s="58">
        <f>(MOD(Horaires356715[[#This Row],[Fin]]-Horaires356715[[#This Row],[début]],1)-MOD(Horaires356715[[#This Row],[PNP Fin]]-Horaires356715[[#This Row],[PNP Début]],1))*24</f>
        <v>0</v>
      </c>
      <c r="K47" s="59">
        <f>IF(Horaires356715[[#This Row],[PNP Début]]=0,0,IF(Horaires356715[[#This Row],[PNP Début]]&lt;Horaires356715[[#This Row],[début]],1,0)+Horaires356715[[#This Row],[PNP Début]])</f>
        <v>0</v>
      </c>
      <c r="L47" s="60">
        <f>IF(Horaires356715[[#This Row],[PNP Fin]]=0,0,IF(Horaires356715[[#This Row],[PNP Fin]]&lt;Horaires356715[[#This Row],[début]],1,0)+Horaires356715[[#This Row],[PNP Fin]])</f>
        <v>0</v>
      </c>
      <c r="M47" s="60">
        <f>IF(Horaires356715[[#This Row],[Fin]]&lt;Horaires356715[[#This Row],[début]],1,0)+Horaires356715[[#This Row],[Fin]]</f>
        <v>0</v>
      </c>
      <c r="N47" s="61">
        <f>MAX(0,MIN(Horaires356715[[#This Row],[Fin corrigée si nuit]],fin_nuit)-MAX(Horaires356715[[#This Row],[début]],deb_nuit))*24</f>
        <v>0</v>
      </c>
      <c r="O47" s="62">
        <f>(MAX(0,MIN(Horaires356715[[#This Row],[Fin corrigée si nuit]],fin_nuit)-MAX(Horaires356715[[#This Row],[début]],deb_nuit))-IF(Horaires356715[[#This Row],[PNP Début]]=0,0,MIN(Horaires356715[[#This Row],[PNP Fin corrigée]],fin_nuit)-MAX(Horaires356715[[#This Row],[PNP Début corrigé]],deb_nuit)))*24</f>
        <v>0</v>
      </c>
      <c r="P47" s="62">
        <f>(IF(WEEKDAY(Horaires356715[[#This Row],[Date]],2)=7,MAX(0,MIN(fin_dimJF,Horaires356715[[#This Row],[Fin corrigée si nuit]])-MAX(deb_dimJF,Horaires356715[[#This Row],[début]])),0)+IF(WEEKDAY(Horaires356715[[#This Row],[Date]],2)=6,MAX(0,Horaires356715[[#This Row],[Fin corrigée si nuit]]-(1+deb_dimJF)),0))*24</f>
        <v>0</v>
      </c>
      <c r="Q47"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7" s="62">
        <f>(IF(COUNTIF(JF,Horaires356715[[#This Row],[Date]]),MAX(0,MIN(fin_dimJF,Horaires356715[[#This Row],[Fin corrigée si nuit]])-MAX(deb_dimJF,Horaires356715[[#This Row],[début]])),0)+IF(COUNTIF(JF,Horaires356715[[#This Row],[Date]]+1),MAX(0,Horaires356715[[#This Row],[Fin corrigée si nuit]]-(1+deb_dimJF)),0))*24</f>
        <v>0</v>
      </c>
      <c r="S47"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8" spans="1:19" x14ac:dyDescent="0.35">
      <c r="A48" s="9"/>
      <c r="B48" s="1"/>
      <c r="C48" s="2"/>
      <c r="D48" s="2"/>
      <c r="E48" s="3"/>
      <c r="F48" s="3"/>
      <c r="G48" s="3"/>
      <c r="H48" s="3"/>
      <c r="I48" s="57">
        <f>0.1*(Horaires356715[[#This Row],[Heures de nuit]]+Horaires356715[[#This Row],[heures jour dimanche]]+Horaires356715[[#This Row],[heures jour fériés]])</f>
        <v>0</v>
      </c>
      <c r="J48" s="58">
        <f>(MOD(Horaires356715[[#This Row],[Fin]]-Horaires356715[[#This Row],[début]],1)-MOD(Horaires356715[[#This Row],[PNP Fin]]-Horaires356715[[#This Row],[PNP Début]],1))*24</f>
        <v>0</v>
      </c>
      <c r="K48" s="59">
        <f>IF(Horaires356715[[#This Row],[PNP Début]]=0,0,IF(Horaires356715[[#This Row],[PNP Début]]&lt;Horaires356715[[#This Row],[début]],1,0)+Horaires356715[[#This Row],[PNP Début]])</f>
        <v>0</v>
      </c>
      <c r="L48" s="60">
        <f>IF(Horaires356715[[#This Row],[PNP Fin]]=0,0,IF(Horaires356715[[#This Row],[PNP Fin]]&lt;Horaires356715[[#This Row],[début]],1,0)+Horaires356715[[#This Row],[PNP Fin]])</f>
        <v>0</v>
      </c>
      <c r="M48" s="60">
        <f>IF(Horaires356715[[#This Row],[Fin]]&lt;Horaires356715[[#This Row],[début]],1,0)+Horaires356715[[#This Row],[Fin]]</f>
        <v>0</v>
      </c>
      <c r="N48" s="61">
        <f>MAX(0,MIN(Horaires356715[[#This Row],[Fin corrigée si nuit]],fin_nuit)-MAX(Horaires356715[[#This Row],[début]],deb_nuit))*24</f>
        <v>0</v>
      </c>
      <c r="O48" s="62">
        <f>(MAX(0,MIN(Horaires356715[[#This Row],[Fin corrigée si nuit]],fin_nuit)-MAX(Horaires356715[[#This Row],[début]],deb_nuit))-IF(Horaires356715[[#This Row],[PNP Début]]=0,0,MIN(Horaires356715[[#This Row],[PNP Fin corrigée]],fin_nuit)-MAX(Horaires356715[[#This Row],[PNP Début corrigé]],deb_nuit)))*24</f>
        <v>0</v>
      </c>
      <c r="P48" s="62">
        <f>(IF(WEEKDAY(Horaires356715[[#This Row],[Date]],2)=7,MAX(0,MIN(fin_dimJF,Horaires356715[[#This Row],[Fin corrigée si nuit]])-MAX(deb_dimJF,Horaires356715[[#This Row],[début]])),0)+IF(WEEKDAY(Horaires356715[[#This Row],[Date]],2)=6,MAX(0,Horaires356715[[#This Row],[Fin corrigée si nuit]]-(1+deb_dimJF)),0))*24</f>
        <v>0</v>
      </c>
      <c r="Q48"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8" s="62">
        <f>(IF(COUNTIF(JF,Horaires356715[[#This Row],[Date]]),MAX(0,MIN(fin_dimJF,Horaires356715[[#This Row],[Fin corrigée si nuit]])-MAX(deb_dimJF,Horaires356715[[#This Row],[début]])),0)+IF(COUNTIF(JF,Horaires356715[[#This Row],[Date]]+1),MAX(0,Horaires356715[[#This Row],[Fin corrigée si nuit]]-(1+deb_dimJF)),0))*24</f>
        <v>0</v>
      </c>
      <c r="S48"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49" spans="1:19" ht="15" thickBot="1" x14ac:dyDescent="0.4">
      <c r="A49" s="9"/>
      <c r="B49" s="1"/>
      <c r="C49" s="2"/>
      <c r="D49" s="2"/>
      <c r="E49" s="3"/>
      <c r="F49" s="3"/>
      <c r="G49" s="3"/>
      <c r="H49" s="3"/>
      <c r="I49" s="57">
        <f>0.1*(Horaires356715[[#This Row],[Heures de nuit]]+Horaires356715[[#This Row],[heures jour dimanche]]+Horaires356715[[#This Row],[heures jour fériés]])</f>
        <v>0</v>
      </c>
      <c r="J49" s="58">
        <f>(MOD(Horaires356715[[#This Row],[Fin]]-Horaires356715[[#This Row],[début]],1)-MOD(Horaires356715[[#This Row],[PNP Fin]]-Horaires356715[[#This Row],[PNP Début]],1))*24</f>
        <v>0</v>
      </c>
      <c r="K49" s="59">
        <f>IF(Horaires356715[[#This Row],[PNP Début]]=0,0,IF(Horaires356715[[#This Row],[PNP Début]]&lt;Horaires356715[[#This Row],[début]],1,0)+Horaires356715[[#This Row],[PNP Début]])</f>
        <v>0</v>
      </c>
      <c r="L49" s="60">
        <f>IF(Horaires356715[[#This Row],[PNP Fin]]=0,0,IF(Horaires356715[[#This Row],[PNP Fin]]&lt;Horaires356715[[#This Row],[début]],1,0)+Horaires356715[[#This Row],[PNP Fin]])</f>
        <v>0</v>
      </c>
      <c r="M49" s="60">
        <f>IF(Horaires356715[[#This Row],[Fin]]&lt;Horaires356715[[#This Row],[début]],1,0)+Horaires356715[[#This Row],[Fin]]</f>
        <v>0</v>
      </c>
      <c r="N49" s="61">
        <f>MAX(0,MIN(Horaires356715[[#This Row],[Fin corrigée si nuit]],fin_nuit)-MAX(Horaires356715[[#This Row],[début]],deb_nuit))*24</f>
        <v>0</v>
      </c>
      <c r="O49" s="62">
        <f>(MAX(0,MIN(Horaires356715[[#This Row],[Fin corrigée si nuit]],fin_nuit)-MAX(Horaires356715[[#This Row],[début]],deb_nuit))-IF(Horaires356715[[#This Row],[PNP Début]]=0,0,MIN(Horaires356715[[#This Row],[PNP Fin corrigée]],fin_nuit)-MAX(Horaires356715[[#This Row],[PNP Début corrigé]],deb_nuit)))*24</f>
        <v>0</v>
      </c>
      <c r="P49" s="62">
        <f>(IF(WEEKDAY(Horaires356715[[#This Row],[Date]],2)=7,MAX(0,MIN(fin_dimJF,Horaires356715[[#This Row],[Fin corrigée si nuit]])-MAX(deb_dimJF,Horaires356715[[#This Row],[début]])),0)+IF(WEEKDAY(Horaires356715[[#This Row],[Date]],2)=6,MAX(0,Horaires356715[[#This Row],[Fin corrigée si nuit]]-(1+deb_dimJF)),0))*24</f>
        <v>0</v>
      </c>
      <c r="Q49" s="62">
        <f>(IF(WEEKDAY(Horaires356715[[#This Row],[Date]],2)=7,MAX(0,MIN(fin_dimJF,Horaires356715[[#This Row],[Fin corrigée si nuit]])-MAX(deb_dimJF,Horaires356715[[#This Row],[début]])),0)+IF(WEEKDAY(Horaires356715[[#This Row],[Date]],2)=6,MAX(0,Horaires356715[[#This Row],[Fin corrigée si nuit]]-(1+deb_dimJF)),0))*24-
(IF(WEEKDAY(Horaires356715[[#This Row],[Date]],2)=7,MAX(0,MIN(fin_dimJF,Horaires356715[[#This Row],[PNP Fin corrigée]])-MAX(deb_dimJF,Horaires356715[[#This Row],[PNP Début corrigé]])),0)+IF(WEEKDAY(Horaires356715[[#This Row],[Date]],2)=6,MAX(0,Horaires356715[[#This Row],[PNP Fin corrigée]]-(1+deb_dimJF)),0))*24</f>
        <v>0</v>
      </c>
      <c r="R49" s="62">
        <f>(IF(COUNTIF(JF,Horaires356715[[#This Row],[Date]]),MAX(0,MIN(fin_dimJF,Horaires356715[[#This Row],[Fin corrigée si nuit]])-MAX(deb_dimJF,Horaires356715[[#This Row],[début]])),0)+IF(COUNTIF(JF,Horaires356715[[#This Row],[Date]]+1),MAX(0,Horaires356715[[#This Row],[Fin corrigée si nuit]]-(1+deb_dimJF)),0))*24</f>
        <v>0</v>
      </c>
      <c r="S49" s="62">
        <f>(IF(COUNTIF(JF,Horaires356715[[#This Row],[Date]]),MAX(0,MIN(fin_dimJF,Horaires356715[[#This Row],[Fin corrigée si nuit]])-MAX(deb_dimJF,Horaires356715[[#This Row],[début]])),0)+IF(COUNTIF(JF,Horaires356715[[#This Row],[Date]]+1),MAX(0,Horaires356715[[#This Row],[Fin corrigée si nuit]]-(1+deb_dimJF)),0))*24-
(IF(COUNTIF(JF,Horaires356715[[#This Row],[Date]]),MAX(0,MIN(fin_dimJF,Horaires356715[[#This Row],[PNP Fin corrigée]])-MAX(deb_dimJF,Horaires356715[[#This Row],[PNP Début corrigé]])),0)+IF(COUNTIF(JF,Horaires356715[[#This Row],[Date]]+1),MAX(0,Horaires356715[[#This Row],[PNP Fin corrigée]]-(1+deb_dimJF)),0))*24</f>
        <v>0</v>
      </c>
    </row>
    <row r="50" spans="1:19" ht="16" thickBot="1" x14ac:dyDescent="0.4">
      <c r="A50" s="63"/>
      <c r="B50" s="25"/>
      <c r="C50" s="25"/>
      <c r="D50" s="25"/>
      <c r="E50" s="106" t="s">
        <v>32</v>
      </c>
      <c r="F50" s="107"/>
      <c r="G50" s="107"/>
      <c r="H50" s="108"/>
      <c r="I50" s="64">
        <f>SUM(Horaires356715[Majoration])</f>
        <v>0</v>
      </c>
      <c r="J50" s="65">
        <f>SUM(Horaires356715[Heures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allowBlank="1" showInputMessage="1" showErrorMessage="1" error="Tapez les heures sous le format_x000a_00:00" sqref="K12:N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rintOptions horizontalCentered="1"/>
  <pageMargins left="0" right="0" top="0" bottom="0" header="0" footer="0"/>
  <pageSetup paperSize="9"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S60"/>
  <sheetViews>
    <sheetView topLeftCell="A10" workbookViewId="0">
      <selection activeCell="I5" sqref="I5:J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0.1*(Horaires3567314[[#This Row],[Heures de nuit]]+Horaires3567314[[#This Row],[heures jour dimanche]]+Horaires3567314[[#This Row],[heures jour fériés]])</f>
        <v>0</v>
      </c>
      <c r="J13" s="39">
        <f>(MOD(Horaires3567314[[#This Row],[Fin]]-Horaires3567314[[#This Row],[début]],1)-MOD(Horaires3567314[[#This Row],[PNP Fin]]-Horaires3567314[[#This Row],[PNP Début]],1))*24</f>
        <v>0</v>
      </c>
      <c r="K13" s="40">
        <f>IF(Horaires3567314[[#This Row],[PNP Début]]=0,0,IF(Horaires3567314[[#This Row],[PNP Début]]&lt;Horaires3567314[[#This Row],[début]],1,0)+Horaires3567314[[#This Row],[PNP Début]])</f>
        <v>0</v>
      </c>
      <c r="L13" s="40">
        <f>IF(Horaires3567314[[#This Row],[PNP Fin]]=0,0,IF(Horaires3567314[[#This Row],[PNP Fin]]&lt;Horaires3567314[[#This Row],[début]],1,0)+Horaires3567314[[#This Row],[PNP Fin]])</f>
        <v>0</v>
      </c>
      <c r="M13" s="40">
        <f>IF(Horaires3567314[[#This Row],[Fin]]&lt;Horaires3567314[[#This Row],[début]],1,0)+Horaires3567314[[#This Row],[Fin]]</f>
        <v>0</v>
      </c>
      <c r="N13" s="41">
        <f>MAX(0,MIN(Horaires3567314[[#This Row],[Fin corrigée si nuit]],fin_nuit)-MAX(Horaires3567314[[#This Row],[début]],deb_nuit))*24</f>
        <v>0</v>
      </c>
      <c r="O13" s="41">
        <f>(MAX(0,MIN(Horaires3567314[[#This Row],[Fin corrigée si nuit]],fin_nuit)-MAX(Horaires3567314[[#This Row],[début]],deb_nuit))-IF(Horaires3567314[[#This Row],[PNP Début]]=0,0,MIN(Horaires3567314[[#This Row],[PNP Fin corrigée]],fin_nuit)-MAX(Horaires3567314[[#This Row],[PNP Début corrigé]],deb_nuit)))*24</f>
        <v>0</v>
      </c>
      <c r="P13" s="41">
        <f>(IF(WEEKDAY(Horaires3567314[[#This Row],[Date]],2)=7,MAX(0,MIN(fin_dimJF,Horaires3567314[[#This Row],[Fin corrigée si nuit]])-MAX(deb_dimJF,Horaires3567314[[#This Row],[début]])),0)+IF(WEEKDAY(Horaires3567314[[#This Row],[Date]],2)=6,MAX(0,Horaires3567314[[#This Row],[Fin corrigée si nuit]]-(1+deb_dimJF)),0))*24</f>
        <v>0</v>
      </c>
      <c r="Q13" s="4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13" s="42">
        <f>(IF(COUNTIF(JF,Horaires3567314[[#This Row],[Date]]),MAX(0,MIN(fin_dimJF,Horaires3567314[[#This Row],[Fin corrigée si nuit]])-MAX(deb_dimJF,Horaires3567314[[#This Row],[début]])),0)+IF(COUNTIF(JF,Horaires3567314[[#This Row],[Date]]+1),MAX(0,Horaires3567314[[#This Row],[Fin corrigée si nuit]]-(1+deb_dimJF)),0))*24</f>
        <v>0</v>
      </c>
      <c r="S13" s="4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14" spans="1:19" x14ac:dyDescent="0.35">
      <c r="A14" s="9"/>
      <c r="B14" s="1"/>
      <c r="C14" s="2"/>
      <c r="D14" s="2"/>
      <c r="E14" s="3"/>
      <c r="F14" s="3"/>
      <c r="G14" s="3"/>
      <c r="H14" s="3"/>
      <c r="I14" s="38">
        <f>0.1*(Horaires3567314[[#This Row],[Heures de nuit]]+Horaires3567314[[#This Row],[heures jour dimanche]]+Horaires3567314[[#This Row],[heures jour fériés]])</f>
        <v>0</v>
      </c>
      <c r="J14" s="39">
        <f>(MOD(Horaires3567314[[#This Row],[Fin]]-Horaires3567314[[#This Row],[début]],1)-MOD(Horaires3567314[[#This Row],[PNP Fin]]-Horaires3567314[[#This Row],[PNP Début]],1))*24</f>
        <v>0</v>
      </c>
      <c r="K14" s="40">
        <f>IF(Horaires3567314[[#This Row],[PNP Début]]=0,0,IF(Horaires3567314[[#This Row],[PNP Début]]&lt;Horaires3567314[[#This Row],[début]],1,0)+Horaires3567314[[#This Row],[PNP Début]])</f>
        <v>0</v>
      </c>
      <c r="L14" s="40">
        <f>IF(Horaires3567314[[#This Row],[PNP Fin]]=0,0,IF(Horaires3567314[[#This Row],[PNP Fin]]&lt;Horaires3567314[[#This Row],[début]],1,0)+Horaires3567314[[#This Row],[PNP Fin]])</f>
        <v>0</v>
      </c>
      <c r="M14" s="40">
        <f>IF(Horaires3567314[[#This Row],[Fin]]&lt;Horaires3567314[[#This Row],[début]],1,0)+Horaires3567314[[#This Row],[Fin]]</f>
        <v>0</v>
      </c>
      <c r="N14" s="41">
        <f>MAX(0,MIN(Horaires3567314[[#This Row],[Fin corrigée si nuit]],fin_nuit)-MAX(Horaires3567314[[#This Row],[début]],deb_nuit))*24</f>
        <v>0</v>
      </c>
      <c r="O14" s="41">
        <f>(MAX(0,MIN(Horaires3567314[[#This Row],[Fin corrigée si nuit]],fin_nuit)-MAX(Horaires3567314[[#This Row],[début]],deb_nuit))-IF(Horaires3567314[[#This Row],[PNP Début]]=0,0,MIN(Horaires3567314[[#This Row],[PNP Fin corrigée]],fin_nuit)-MAX(Horaires3567314[[#This Row],[PNP Début corrigé]],deb_nuit)))*24</f>
        <v>0</v>
      </c>
      <c r="P14" s="41">
        <f>(IF(WEEKDAY(Horaires3567314[[#This Row],[Date]],2)=7,MAX(0,MIN(fin_dimJF,Horaires3567314[[#This Row],[Fin corrigée si nuit]])-MAX(deb_dimJF,Horaires3567314[[#This Row],[début]])),0)+IF(WEEKDAY(Horaires3567314[[#This Row],[Date]],2)=6,MAX(0,Horaires3567314[[#This Row],[Fin corrigée si nuit]]-(1+deb_dimJF)),0))*24</f>
        <v>0</v>
      </c>
      <c r="Q14" s="4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14" s="42">
        <f>(IF(COUNTIF(JF,Horaires3567314[[#This Row],[Date]]),MAX(0,MIN(fin_dimJF,Horaires3567314[[#This Row],[Fin corrigée si nuit]])-MAX(deb_dimJF,Horaires3567314[[#This Row],[début]])),0)+IF(COUNTIF(JF,Horaires3567314[[#This Row],[Date]]+1),MAX(0,Horaires3567314[[#This Row],[Fin corrigée si nuit]]-(1+deb_dimJF)),0))*24</f>
        <v>0</v>
      </c>
      <c r="S14" s="4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15" spans="1:19" x14ac:dyDescent="0.35">
      <c r="A15" s="9"/>
      <c r="B15" s="1"/>
      <c r="C15" s="2"/>
      <c r="D15" s="2"/>
      <c r="E15" s="3"/>
      <c r="F15" s="3"/>
      <c r="G15" s="3"/>
      <c r="H15" s="3"/>
      <c r="I15" s="38">
        <f>0.1*(Horaires3567314[[#This Row],[Heures de nuit]]+Horaires3567314[[#This Row],[heures jour dimanche]]+Horaires3567314[[#This Row],[heures jour fériés]])</f>
        <v>0</v>
      </c>
      <c r="J15" s="39">
        <f>(MOD(Horaires3567314[[#This Row],[Fin]]-Horaires3567314[[#This Row],[début]],1)-MOD(Horaires3567314[[#This Row],[PNP Fin]]-Horaires3567314[[#This Row],[PNP Début]],1))*24</f>
        <v>0</v>
      </c>
      <c r="K15" s="40">
        <f>IF(Horaires3567314[[#This Row],[PNP Début]]=0,0,IF(Horaires3567314[[#This Row],[PNP Début]]&lt;Horaires3567314[[#This Row],[début]],1,0)+Horaires3567314[[#This Row],[PNP Début]])</f>
        <v>0</v>
      </c>
      <c r="L15" s="40">
        <f>IF(Horaires3567314[[#This Row],[PNP Fin]]=0,0,IF(Horaires3567314[[#This Row],[PNP Fin]]&lt;Horaires3567314[[#This Row],[début]],1,0)+Horaires3567314[[#This Row],[PNP Fin]])</f>
        <v>0</v>
      </c>
      <c r="M15" s="40">
        <f>IF(Horaires3567314[[#This Row],[Fin]]&lt;Horaires3567314[[#This Row],[début]],1,0)+Horaires3567314[[#This Row],[Fin]]</f>
        <v>0</v>
      </c>
      <c r="N15" s="41">
        <f>MAX(0,MIN(Horaires3567314[[#This Row],[Fin corrigée si nuit]],fin_nuit)-MAX(Horaires3567314[[#This Row],[début]],deb_nuit))*24</f>
        <v>0</v>
      </c>
      <c r="O15" s="41">
        <f>(MAX(0,MIN(Horaires3567314[[#This Row],[Fin corrigée si nuit]],fin_nuit)-MAX(Horaires3567314[[#This Row],[début]],deb_nuit))-IF(Horaires3567314[[#This Row],[PNP Début]]=0,0,MIN(Horaires3567314[[#This Row],[PNP Fin corrigée]],fin_nuit)-MAX(Horaires3567314[[#This Row],[PNP Début corrigé]],deb_nuit)))*24</f>
        <v>0</v>
      </c>
      <c r="P15" s="41">
        <f>(IF(WEEKDAY(Horaires3567314[[#This Row],[Date]],2)=7,MAX(0,MIN(fin_dimJF,Horaires3567314[[#This Row],[Fin corrigée si nuit]])-MAX(deb_dimJF,Horaires3567314[[#This Row],[début]])),0)+IF(WEEKDAY(Horaires3567314[[#This Row],[Date]],2)=6,MAX(0,Horaires3567314[[#This Row],[Fin corrigée si nuit]]-(1+deb_dimJF)),0))*24</f>
        <v>0</v>
      </c>
      <c r="Q15" s="4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15" s="42">
        <f>(IF(COUNTIF(JF,Horaires3567314[[#This Row],[Date]]),MAX(0,MIN(fin_dimJF,Horaires3567314[[#This Row],[Fin corrigée si nuit]])-MAX(deb_dimJF,Horaires3567314[[#This Row],[début]])),0)+IF(COUNTIF(JF,Horaires3567314[[#This Row],[Date]]+1),MAX(0,Horaires3567314[[#This Row],[Fin corrigée si nuit]]-(1+deb_dimJF)),0))*24</f>
        <v>0</v>
      </c>
      <c r="S15" s="4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16" spans="1:19" x14ac:dyDescent="0.35">
      <c r="A16" s="9"/>
      <c r="B16" s="10"/>
      <c r="C16" s="2"/>
      <c r="D16" s="2"/>
      <c r="E16" s="3"/>
      <c r="F16" s="3"/>
      <c r="G16" s="11"/>
      <c r="H16" s="11"/>
      <c r="I16" s="38">
        <f>0.1*(Horaires3567314[[#This Row],[Heures de nuit]]+Horaires3567314[[#This Row],[heures jour dimanche]]+Horaires3567314[[#This Row],[heures jour fériés]])</f>
        <v>0</v>
      </c>
      <c r="J16" s="43">
        <f>(MOD(Horaires3567314[[#This Row],[Fin]]-Horaires3567314[[#This Row],[début]],1)-MOD(Horaires3567314[[#This Row],[PNP Fin]]-Horaires3567314[[#This Row],[PNP Début]],1))*24</f>
        <v>0</v>
      </c>
      <c r="K16" s="40">
        <f>IF(Horaires3567314[[#This Row],[PNP Début]]=0,0,IF(Horaires3567314[[#This Row],[PNP Début]]&lt;Horaires3567314[[#This Row],[début]],1,0)+Horaires3567314[[#This Row],[PNP Début]])</f>
        <v>0</v>
      </c>
      <c r="L16" s="40">
        <f>IF(Horaires3567314[[#This Row],[PNP Fin]]=0,0,IF(Horaires3567314[[#This Row],[PNP Fin]]&lt;Horaires3567314[[#This Row],[début]],1,0)+Horaires3567314[[#This Row],[PNP Fin]])</f>
        <v>0</v>
      </c>
      <c r="M16" s="44">
        <f>IF(Horaires3567314[[#This Row],[Fin]]&lt;Horaires3567314[[#This Row],[début]],1,0)+Horaires3567314[[#This Row],[Fin]]</f>
        <v>0</v>
      </c>
      <c r="N16" s="41">
        <f>MAX(0,MIN(Horaires3567314[[#This Row],[Fin corrigée si nuit]],fin_nuit)-MAX(Horaires3567314[[#This Row],[début]],deb_nuit))*24</f>
        <v>0</v>
      </c>
      <c r="O16" s="45">
        <f>(MAX(0,MIN(Horaires3567314[[#This Row],[Fin corrigée si nuit]],fin_nuit)-MAX(Horaires3567314[[#This Row],[début]],deb_nuit))-IF(Horaires3567314[[#This Row],[PNP Début]]=0,0,MIN(Horaires3567314[[#This Row],[PNP Fin corrigée]],fin_nuit)-MAX(Horaires3567314[[#This Row],[PNP Début corrigé]],deb_nuit)))*24</f>
        <v>0</v>
      </c>
      <c r="P16" s="45">
        <f>(IF(WEEKDAY(Horaires3567314[[#This Row],[Date]],2)=7,MAX(0,MIN(fin_dimJF,Horaires3567314[[#This Row],[Fin corrigée si nuit]])-MAX(deb_dimJF,Horaires3567314[[#This Row],[début]])),0)+IF(WEEKDAY(Horaires3567314[[#This Row],[Date]],2)=6,MAX(0,Horaires3567314[[#This Row],[Fin corrigée si nuit]]-(1+deb_dimJF)),0))*24</f>
        <v>0</v>
      </c>
      <c r="Q16" s="4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16" s="46">
        <f>(IF(COUNTIF(JF,Horaires3567314[[#This Row],[Date]]),MAX(0,MIN(fin_dimJF,Horaires3567314[[#This Row],[Fin corrigée si nuit]])-MAX(deb_dimJF,Horaires3567314[[#This Row],[début]])),0)+IF(COUNTIF(JF,Horaires3567314[[#This Row],[Date]]+1),MAX(0,Horaires3567314[[#This Row],[Fin corrigée si nuit]]-(1+deb_dimJF)),0))*24</f>
        <v>0</v>
      </c>
      <c r="S16" s="46">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17" spans="1:19" x14ac:dyDescent="0.35">
      <c r="A17" s="9"/>
      <c r="B17" s="1"/>
      <c r="C17" s="2"/>
      <c r="D17" s="2"/>
      <c r="E17" s="3"/>
      <c r="F17" s="3"/>
      <c r="G17" s="17"/>
      <c r="H17" s="17"/>
      <c r="I17" s="47">
        <f>0.1*(Horaires3567314[[#This Row],[Heures de nuit]]+Horaires3567314[[#This Row],[heures jour dimanche]]+Horaires3567314[[#This Row],[heures jour fériés]])</f>
        <v>0</v>
      </c>
      <c r="J17" s="48">
        <f>(MOD(Horaires3567314[[#This Row],[Fin]]-Horaires3567314[[#This Row],[début]],1)-MOD(Horaires3567314[[#This Row],[PNP Fin]]-Horaires3567314[[#This Row],[PNP Début]],1))*24</f>
        <v>0</v>
      </c>
      <c r="K17" s="49">
        <f>IF(Horaires3567314[[#This Row],[PNP Début]]=0,0,IF(Horaires3567314[[#This Row],[PNP Début]]&lt;Horaires3567314[[#This Row],[début]],1,0)+Horaires3567314[[#This Row],[PNP Début]])</f>
        <v>0</v>
      </c>
      <c r="L17" s="50">
        <f>IF(Horaires3567314[[#This Row],[PNP Fin]]=0,0,IF(Horaires3567314[[#This Row],[PNP Fin]]&lt;Horaires3567314[[#This Row],[début]],1,0)+Horaires3567314[[#This Row],[PNP Fin]])</f>
        <v>0</v>
      </c>
      <c r="M17" s="50">
        <f>IF(Horaires3567314[[#This Row],[Fin]]&lt;Horaires3567314[[#This Row],[début]],1,0)+Horaires3567314[[#This Row],[Fin]]</f>
        <v>0</v>
      </c>
      <c r="N17" s="41">
        <f>MAX(0,MIN(Horaires3567314[[#This Row],[Fin corrigée si nuit]],fin_nuit)-MAX(Horaires3567314[[#This Row],[début]],deb_nuit))*24</f>
        <v>0</v>
      </c>
      <c r="O17" s="51">
        <f>(MAX(0,MIN(Horaires3567314[[#This Row],[Fin corrigée si nuit]],fin_nuit)-MAX(Horaires3567314[[#This Row],[début]],deb_nuit))-IF(Horaires3567314[[#This Row],[PNP Début]]=0,0,MIN(Horaires3567314[[#This Row],[PNP Fin corrigée]],fin_nuit)-MAX(Horaires3567314[[#This Row],[PNP Début corrigé]],deb_nuit)))*24</f>
        <v>0</v>
      </c>
      <c r="P17" s="51">
        <f>(IF(WEEKDAY(Horaires3567314[[#This Row],[Date]],2)=7,MAX(0,MIN(fin_dimJF,Horaires3567314[[#This Row],[Fin corrigée si nuit]])-MAX(deb_dimJF,Horaires3567314[[#This Row],[début]])),0)+IF(WEEKDAY(Horaires3567314[[#This Row],[Date]],2)=6,MAX(0,Horaires3567314[[#This Row],[Fin corrigée si nuit]]-(1+deb_dimJF)),0))*24</f>
        <v>0</v>
      </c>
      <c r="Q17" s="5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17" s="51">
        <f>(IF(COUNTIF(JF,Horaires3567314[[#This Row],[Date]]),MAX(0,MIN(fin_dimJF,Horaires3567314[[#This Row],[Fin corrigée si nuit]])-MAX(deb_dimJF,Horaires3567314[[#This Row],[début]])),0)+IF(COUNTIF(JF,Horaires3567314[[#This Row],[Date]]+1),MAX(0,Horaires3567314[[#This Row],[Fin corrigée si nuit]]-(1+deb_dimJF)),0))*24</f>
        <v>0</v>
      </c>
      <c r="S17" s="51">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18" spans="1:19" x14ac:dyDescent="0.35">
      <c r="A18" s="9"/>
      <c r="B18" s="69"/>
      <c r="C18" s="16"/>
      <c r="D18" s="16"/>
      <c r="E18" s="17"/>
      <c r="F18" s="17"/>
      <c r="G18" s="17"/>
      <c r="H18" s="17"/>
      <c r="I18" s="47">
        <f>0.1*(Horaires3567314[[#This Row],[Heures de nuit]]+Horaires3567314[[#This Row],[heures jour dimanche]]+Horaires3567314[[#This Row],[heures jour fériés]])</f>
        <v>0</v>
      </c>
      <c r="J18" s="48">
        <f>(MOD(Horaires3567314[[#This Row],[Fin]]-Horaires3567314[[#This Row],[début]],1)-MOD(Horaires3567314[[#This Row],[PNP Fin]]-Horaires3567314[[#This Row],[PNP Début]],1))*24</f>
        <v>0</v>
      </c>
      <c r="K18" s="49">
        <f>IF(Horaires3567314[[#This Row],[PNP Début]]=0,0,IF(Horaires3567314[[#This Row],[PNP Début]]&lt;Horaires3567314[[#This Row],[début]],1,0)+Horaires3567314[[#This Row],[PNP Début]])</f>
        <v>0</v>
      </c>
      <c r="L18" s="50">
        <f>IF(Horaires3567314[[#This Row],[PNP Fin]]=0,0,IF(Horaires3567314[[#This Row],[PNP Fin]]&lt;Horaires3567314[[#This Row],[début]],1,0)+Horaires3567314[[#This Row],[PNP Fin]])</f>
        <v>0</v>
      </c>
      <c r="M18" s="50">
        <f>IF(Horaires3567314[[#This Row],[Fin]]&lt;Horaires3567314[[#This Row],[début]],1,0)+Horaires3567314[[#This Row],[Fin]]</f>
        <v>0</v>
      </c>
      <c r="N18" s="41">
        <f>MAX(0,MIN(Horaires3567314[[#This Row],[Fin corrigée si nuit]],fin_nuit)-MAX(Horaires3567314[[#This Row],[début]],deb_nuit))*24</f>
        <v>0</v>
      </c>
      <c r="O18" s="51">
        <f>(MAX(0,MIN(Horaires3567314[[#This Row],[Fin corrigée si nuit]],fin_nuit)-MAX(Horaires3567314[[#This Row],[début]],deb_nuit))-IF(Horaires3567314[[#This Row],[PNP Début]]=0,0,MIN(Horaires3567314[[#This Row],[PNP Fin corrigée]],fin_nuit)-MAX(Horaires3567314[[#This Row],[PNP Début corrigé]],deb_nuit)))*24</f>
        <v>0</v>
      </c>
      <c r="P18" s="51">
        <f>(IF(WEEKDAY(Horaires3567314[[#This Row],[Date]],2)=7,MAX(0,MIN(fin_dimJF,Horaires3567314[[#This Row],[Fin corrigée si nuit]])-MAX(deb_dimJF,Horaires3567314[[#This Row],[début]])),0)+IF(WEEKDAY(Horaires3567314[[#This Row],[Date]],2)=6,MAX(0,Horaires3567314[[#This Row],[Fin corrigée si nuit]]-(1+deb_dimJF)),0))*24</f>
        <v>0</v>
      </c>
      <c r="Q18" s="5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18" s="51">
        <f>(IF(COUNTIF(JF,Horaires3567314[[#This Row],[Date]]),MAX(0,MIN(fin_dimJF,Horaires3567314[[#This Row],[Fin corrigée si nuit]])-MAX(deb_dimJF,Horaires3567314[[#This Row],[début]])),0)+IF(COUNTIF(JF,Horaires3567314[[#This Row],[Date]]+1),MAX(0,Horaires3567314[[#This Row],[Fin corrigée si nuit]]-(1+deb_dimJF)),0))*24</f>
        <v>0</v>
      </c>
      <c r="S18" s="51">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19" spans="1:19" x14ac:dyDescent="0.35">
      <c r="A19" s="9"/>
      <c r="B19" s="1"/>
      <c r="C19" s="16"/>
      <c r="D19" s="16"/>
      <c r="E19" s="3"/>
      <c r="F19" s="3"/>
      <c r="G19" s="17"/>
      <c r="H19" s="17"/>
      <c r="I19" s="47">
        <f>0.1*(Horaires3567314[[#This Row],[Heures de nuit]]+Horaires3567314[[#This Row],[heures jour dimanche]]+Horaires3567314[[#This Row],[heures jour fériés]])</f>
        <v>0</v>
      </c>
      <c r="J19" s="48">
        <f>(MOD(Horaires3567314[[#This Row],[Fin]]-Horaires3567314[[#This Row],[début]],1)-MOD(Horaires3567314[[#This Row],[PNP Fin]]-Horaires3567314[[#This Row],[PNP Début]],1))*24</f>
        <v>0</v>
      </c>
      <c r="K19" s="49">
        <f>IF(Horaires3567314[[#This Row],[PNP Début]]=0,0,IF(Horaires3567314[[#This Row],[PNP Début]]&lt;Horaires3567314[[#This Row],[début]],1,0)+Horaires3567314[[#This Row],[PNP Début]])</f>
        <v>0</v>
      </c>
      <c r="L19" s="50">
        <f>IF(Horaires3567314[[#This Row],[PNP Fin]]=0,0,IF(Horaires3567314[[#This Row],[PNP Fin]]&lt;Horaires3567314[[#This Row],[début]],1,0)+Horaires3567314[[#This Row],[PNP Fin]])</f>
        <v>0</v>
      </c>
      <c r="M19" s="50">
        <f>IF(Horaires3567314[[#This Row],[Fin]]&lt;Horaires3567314[[#This Row],[début]],1,0)+Horaires3567314[[#This Row],[Fin]]</f>
        <v>0</v>
      </c>
      <c r="N19" s="41">
        <f>MAX(0,MIN(Horaires3567314[[#This Row],[Fin corrigée si nuit]],fin_nuit)-MAX(Horaires3567314[[#This Row],[début]],deb_nuit))*24</f>
        <v>0</v>
      </c>
      <c r="O19" s="51">
        <f>(MAX(0,MIN(Horaires3567314[[#This Row],[Fin corrigée si nuit]],fin_nuit)-MAX(Horaires3567314[[#This Row],[début]],deb_nuit))-IF(Horaires3567314[[#This Row],[PNP Début]]=0,0,MIN(Horaires3567314[[#This Row],[PNP Fin corrigée]],fin_nuit)-MAX(Horaires3567314[[#This Row],[PNP Début corrigé]],deb_nuit)))*24</f>
        <v>0</v>
      </c>
      <c r="P19" s="51">
        <f>(IF(WEEKDAY(Horaires3567314[[#This Row],[Date]],2)=7,MAX(0,MIN(fin_dimJF,Horaires3567314[[#This Row],[Fin corrigée si nuit]])-MAX(deb_dimJF,Horaires3567314[[#This Row],[début]])),0)+IF(WEEKDAY(Horaires3567314[[#This Row],[Date]],2)=6,MAX(0,Horaires3567314[[#This Row],[Fin corrigée si nuit]]-(1+deb_dimJF)),0))*24</f>
        <v>0</v>
      </c>
      <c r="Q19" s="5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19" s="51">
        <f>(IF(COUNTIF(JF,Horaires3567314[[#This Row],[Date]]),MAX(0,MIN(fin_dimJF,Horaires3567314[[#This Row],[Fin corrigée si nuit]])-MAX(deb_dimJF,Horaires3567314[[#This Row],[début]])),0)+IF(COUNTIF(JF,Horaires3567314[[#This Row],[Date]]+1),MAX(0,Horaires3567314[[#This Row],[Fin corrigée si nuit]]-(1+deb_dimJF)),0))*24</f>
        <v>0</v>
      </c>
      <c r="S19" s="51">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0" spans="1:19" x14ac:dyDescent="0.35">
      <c r="A20" s="9"/>
      <c r="B20" s="1"/>
      <c r="C20" s="16"/>
      <c r="D20" s="16"/>
      <c r="E20" s="17"/>
      <c r="F20" s="17"/>
      <c r="G20" s="17"/>
      <c r="H20" s="17"/>
      <c r="I20" s="47">
        <f>0.1*(Horaires3567314[[#This Row],[Heures de nuit]]+Horaires3567314[[#This Row],[heures jour dimanche]]+Horaires3567314[[#This Row],[heures jour fériés]])</f>
        <v>0</v>
      </c>
      <c r="J20" s="48">
        <f>(MOD(Horaires3567314[[#This Row],[Fin]]-Horaires3567314[[#This Row],[début]],1)-MOD(Horaires3567314[[#This Row],[PNP Fin]]-Horaires3567314[[#This Row],[PNP Début]],1))*24</f>
        <v>0</v>
      </c>
      <c r="K20" s="49">
        <f>IF(Horaires3567314[[#This Row],[PNP Début]]=0,0,IF(Horaires3567314[[#This Row],[PNP Début]]&lt;Horaires3567314[[#This Row],[début]],1,0)+Horaires3567314[[#This Row],[PNP Début]])</f>
        <v>0</v>
      </c>
      <c r="L20" s="50">
        <f>IF(Horaires3567314[[#This Row],[PNP Fin]]=0,0,IF(Horaires3567314[[#This Row],[PNP Fin]]&lt;Horaires3567314[[#This Row],[début]],1,0)+Horaires3567314[[#This Row],[PNP Fin]])</f>
        <v>0</v>
      </c>
      <c r="M20" s="50">
        <f>IF(Horaires3567314[[#This Row],[Fin]]&lt;Horaires3567314[[#This Row],[début]],1,0)+Horaires3567314[[#This Row],[Fin]]</f>
        <v>0</v>
      </c>
      <c r="N20" s="41">
        <f>MAX(0,MIN(Horaires3567314[[#This Row],[Fin corrigée si nuit]],fin_nuit)-MAX(Horaires3567314[[#This Row],[début]],deb_nuit))*24</f>
        <v>0</v>
      </c>
      <c r="O20" s="51">
        <f>(MAX(0,MIN(Horaires3567314[[#This Row],[Fin corrigée si nuit]],fin_nuit)-MAX(Horaires3567314[[#This Row],[début]],deb_nuit))-IF(Horaires3567314[[#This Row],[PNP Début]]=0,0,MIN(Horaires3567314[[#This Row],[PNP Fin corrigée]],fin_nuit)-MAX(Horaires3567314[[#This Row],[PNP Début corrigé]],deb_nuit)))*24</f>
        <v>0</v>
      </c>
      <c r="P20" s="51">
        <f>(IF(WEEKDAY(Horaires3567314[[#This Row],[Date]],2)=7,MAX(0,MIN(fin_dimJF,Horaires3567314[[#This Row],[Fin corrigée si nuit]])-MAX(deb_dimJF,Horaires3567314[[#This Row],[début]])),0)+IF(WEEKDAY(Horaires3567314[[#This Row],[Date]],2)=6,MAX(0,Horaires3567314[[#This Row],[Fin corrigée si nuit]]-(1+deb_dimJF)),0))*24</f>
        <v>0</v>
      </c>
      <c r="Q20" s="51">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0" s="51">
        <f>(IF(COUNTIF(JF,Horaires3567314[[#This Row],[Date]]),MAX(0,MIN(fin_dimJF,Horaires3567314[[#This Row],[Fin corrigée si nuit]])-MAX(deb_dimJF,Horaires3567314[[#This Row],[début]])),0)+IF(COUNTIF(JF,Horaires3567314[[#This Row],[Date]]+1),MAX(0,Horaires3567314[[#This Row],[Fin corrigée si nuit]]-(1+deb_dimJF)),0))*24</f>
        <v>0</v>
      </c>
      <c r="S20" s="51">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1" spans="1:19" x14ac:dyDescent="0.35">
      <c r="A21" s="9"/>
      <c r="B21" s="10"/>
      <c r="C21" s="18"/>
      <c r="D21" s="18"/>
      <c r="E21" s="3"/>
      <c r="F21" s="3"/>
      <c r="G21" s="19"/>
      <c r="H21" s="19"/>
      <c r="I21" s="52">
        <f>0.1*(Horaires3567314[[#This Row],[Heures de nuit]]+Horaires3567314[[#This Row],[heures jour dimanche]]+Horaires3567314[[#This Row],[heures jour fériés]])</f>
        <v>0</v>
      </c>
      <c r="J21" s="53">
        <f>(MOD(Horaires3567314[[#This Row],[Fin]]-Horaires3567314[[#This Row],[début]],1)-MOD(Horaires3567314[[#This Row],[PNP Fin]]-Horaires3567314[[#This Row],[PNP Début]],1))*24</f>
        <v>0</v>
      </c>
      <c r="K21" s="54">
        <f>IF(Horaires3567314[[#This Row],[PNP Début]]=0,0,IF(Horaires3567314[[#This Row],[PNP Début]]&lt;Horaires3567314[[#This Row],[début]],1,0)+Horaires3567314[[#This Row],[PNP Début]])</f>
        <v>0</v>
      </c>
      <c r="L21" s="55">
        <f>IF(Horaires3567314[[#This Row],[PNP Fin]]=0,0,IF(Horaires3567314[[#This Row],[PNP Fin]]&lt;Horaires3567314[[#This Row],[début]],1,0)+Horaires3567314[[#This Row],[PNP Fin]])</f>
        <v>0</v>
      </c>
      <c r="M21" s="55">
        <f>IF(Horaires3567314[[#This Row],[Fin]]&lt;Horaires3567314[[#This Row],[début]],1,0)+Horaires3567314[[#This Row],[Fin]]</f>
        <v>0</v>
      </c>
      <c r="N21" s="41">
        <f>MAX(0,MIN(Horaires3567314[[#This Row],[Fin corrigée si nuit]],fin_nuit)-MAX(Horaires3567314[[#This Row],[début]],deb_nuit))*24</f>
        <v>0</v>
      </c>
      <c r="O21" s="56">
        <f>(MAX(0,MIN(Horaires3567314[[#This Row],[Fin corrigée si nuit]],fin_nuit)-MAX(Horaires3567314[[#This Row],[début]],deb_nuit))-IF(Horaires3567314[[#This Row],[PNP Début]]=0,0,MIN(Horaires3567314[[#This Row],[PNP Fin corrigée]],fin_nuit)-MAX(Horaires3567314[[#This Row],[PNP Début corrigé]],deb_nuit)))*24</f>
        <v>0</v>
      </c>
      <c r="P21" s="56">
        <f>(IF(WEEKDAY(Horaires3567314[[#This Row],[Date]],2)=7,MAX(0,MIN(fin_dimJF,Horaires3567314[[#This Row],[Fin corrigée si nuit]])-MAX(deb_dimJF,Horaires3567314[[#This Row],[début]])),0)+IF(WEEKDAY(Horaires3567314[[#This Row],[Date]],2)=6,MAX(0,Horaires3567314[[#This Row],[Fin corrigée si nuit]]-(1+deb_dimJF)),0))*24</f>
        <v>0</v>
      </c>
      <c r="Q21" s="56">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1" s="56">
        <f>(IF(COUNTIF(JF,Horaires3567314[[#This Row],[Date]]),MAX(0,MIN(fin_dimJF,Horaires3567314[[#This Row],[Fin corrigée si nuit]])-MAX(deb_dimJF,Horaires3567314[[#This Row],[début]])),0)+IF(COUNTIF(JF,Horaires3567314[[#This Row],[Date]]+1),MAX(0,Horaires3567314[[#This Row],[Fin corrigée si nuit]]-(1+deb_dimJF)),0))*24</f>
        <v>0</v>
      </c>
      <c r="S21" s="56">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2" spans="1:19" x14ac:dyDescent="0.35">
      <c r="A22" s="9"/>
      <c r="B22" s="1"/>
      <c r="C22" s="18"/>
      <c r="D22" s="18"/>
      <c r="E22" s="3"/>
      <c r="F22" s="3"/>
      <c r="G22" s="3"/>
      <c r="H22" s="3"/>
      <c r="I22" s="57">
        <f>0.1*(Horaires3567314[[#This Row],[Heures de nuit]]+Horaires3567314[[#This Row],[heures jour dimanche]]+Horaires3567314[[#This Row],[heures jour fériés]])</f>
        <v>0</v>
      </c>
      <c r="J22" s="58">
        <f>(MOD(Horaires3567314[[#This Row],[Fin]]-Horaires3567314[[#This Row],[début]],1)-MOD(Horaires3567314[[#This Row],[PNP Fin]]-Horaires3567314[[#This Row],[PNP Début]],1))*24</f>
        <v>0</v>
      </c>
      <c r="K22" s="59">
        <f>IF(Horaires3567314[[#This Row],[PNP Début]]=0,0,IF(Horaires3567314[[#This Row],[PNP Début]]&lt;Horaires3567314[[#This Row],[début]],1,0)+Horaires3567314[[#This Row],[PNP Début]])</f>
        <v>0</v>
      </c>
      <c r="L22" s="60">
        <f>IF(Horaires3567314[[#This Row],[PNP Fin]]=0,0,IF(Horaires3567314[[#This Row],[PNP Fin]]&lt;Horaires3567314[[#This Row],[début]],1,0)+Horaires3567314[[#This Row],[PNP Fin]])</f>
        <v>0</v>
      </c>
      <c r="M22" s="60">
        <f>IF(Horaires3567314[[#This Row],[Fin]]&lt;Horaires3567314[[#This Row],[début]],1,0)+Horaires3567314[[#This Row],[Fin]]</f>
        <v>0</v>
      </c>
      <c r="N22" s="61">
        <f>MAX(0,MIN(Horaires3567314[[#This Row],[Fin corrigée si nuit]],fin_nuit)-MAX(Horaires3567314[[#This Row],[début]],deb_nuit))*24</f>
        <v>0</v>
      </c>
      <c r="O22" s="62">
        <f>(MAX(0,MIN(Horaires3567314[[#This Row],[Fin corrigée si nuit]],fin_nuit)-MAX(Horaires3567314[[#This Row],[début]],deb_nuit))-IF(Horaires3567314[[#This Row],[PNP Début]]=0,0,MIN(Horaires3567314[[#This Row],[PNP Fin corrigée]],fin_nuit)-MAX(Horaires3567314[[#This Row],[PNP Début corrigé]],deb_nuit)))*24</f>
        <v>0</v>
      </c>
      <c r="P22" s="62">
        <f>(IF(WEEKDAY(Horaires3567314[[#This Row],[Date]],2)=7,MAX(0,MIN(fin_dimJF,Horaires3567314[[#This Row],[Fin corrigée si nuit]])-MAX(deb_dimJF,Horaires3567314[[#This Row],[début]])),0)+IF(WEEKDAY(Horaires3567314[[#This Row],[Date]],2)=6,MAX(0,Horaires3567314[[#This Row],[Fin corrigée si nuit]]-(1+deb_dimJF)),0))*24</f>
        <v>0</v>
      </c>
      <c r="Q22"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2" s="62">
        <f>(IF(COUNTIF(JF,Horaires3567314[[#This Row],[Date]]),MAX(0,MIN(fin_dimJF,Horaires3567314[[#This Row],[Fin corrigée si nuit]])-MAX(deb_dimJF,Horaires3567314[[#This Row],[début]])),0)+IF(COUNTIF(JF,Horaires3567314[[#This Row],[Date]]+1),MAX(0,Horaires3567314[[#This Row],[Fin corrigée si nuit]]-(1+deb_dimJF)),0))*24</f>
        <v>0</v>
      </c>
      <c r="S22"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3" spans="1:19" x14ac:dyDescent="0.35">
      <c r="A23" s="9"/>
      <c r="B23" s="1"/>
      <c r="C23" s="18"/>
      <c r="D23" s="18"/>
      <c r="E23" s="3"/>
      <c r="F23" s="3"/>
      <c r="G23" s="3"/>
      <c r="H23" s="3"/>
      <c r="I23" s="57">
        <f>0.1*(Horaires3567314[[#This Row],[Heures de nuit]]+Horaires3567314[[#This Row],[heures jour dimanche]]+Horaires3567314[[#This Row],[heures jour fériés]])</f>
        <v>0</v>
      </c>
      <c r="J23" s="58">
        <f>(MOD(Horaires3567314[[#This Row],[Fin]]-Horaires3567314[[#This Row],[début]],1)-MOD(Horaires3567314[[#This Row],[PNP Fin]]-Horaires3567314[[#This Row],[PNP Début]],1))*24</f>
        <v>0</v>
      </c>
      <c r="K23" s="59">
        <f>IF(Horaires3567314[[#This Row],[PNP Début]]=0,0,IF(Horaires3567314[[#This Row],[PNP Début]]&lt;Horaires3567314[[#This Row],[début]],1,0)+Horaires3567314[[#This Row],[PNP Début]])</f>
        <v>0</v>
      </c>
      <c r="L23" s="60">
        <f>IF(Horaires3567314[[#This Row],[PNP Fin]]=0,0,IF(Horaires3567314[[#This Row],[PNP Fin]]&lt;Horaires3567314[[#This Row],[début]],1,0)+Horaires3567314[[#This Row],[PNP Fin]])</f>
        <v>0</v>
      </c>
      <c r="M23" s="60">
        <f>IF(Horaires3567314[[#This Row],[Fin]]&lt;Horaires3567314[[#This Row],[début]],1,0)+Horaires3567314[[#This Row],[Fin]]</f>
        <v>0</v>
      </c>
      <c r="N23" s="61">
        <f>MAX(0,MIN(Horaires3567314[[#This Row],[Fin corrigée si nuit]],fin_nuit)-MAX(Horaires3567314[[#This Row],[début]],deb_nuit))*24</f>
        <v>0</v>
      </c>
      <c r="O23" s="62">
        <f>(MAX(0,MIN(Horaires3567314[[#This Row],[Fin corrigée si nuit]],fin_nuit)-MAX(Horaires3567314[[#This Row],[début]],deb_nuit))-IF(Horaires3567314[[#This Row],[PNP Début]]=0,0,MIN(Horaires3567314[[#This Row],[PNP Fin corrigée]],fin_nuit)-MAX(Horaires3567314[[#This Row],[PNP Début corrigé]],deb_nuit)))*24</f>
        <v>0</v>
      </c>
      <c r="P23" s="62">
        <f>(IF(WEEKDAY(Horaires3567314[[#This Row],[Date]],2)=7,MAX(0,MIN(fin_dimJF,Horaires3567314[[#This Row],[Fin corrigée si nuit]])-MAX(deb_dimJF,Horaires3567314[[#This Row],[début]])),0)+IF(WEEKDAY(Horaires3567314[[#This Row],[Date]],2)=6,MAX(0,Horaires3567314[[#This Row],[Fin corrigée si nuit]]-(1+deb_dimJF)),0))*24</f>
        <v>0</v>
      </c>
      <c r="Q23"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3" s="62">
        <f>(IF(COUNTIF(JF,Horaires3567314[[#This Row],[Date]]),MAX(0,MIN(fin_dimJF,Horaires3567314[[#This Row],[Fin corrigée si nuit]])-MAX(deb_dimJF,Horaires3567314[[#This Row],[début]])),0)+IF(COUNTIF(JF,Horaires3567314[[#This Row],[Date]]+1),MAX(0,Horaires3567314[[#This Row],[Fin corrigée si nuit]]-(1+deb_dimJF)),0))*24</f>
        <v>0</v>
      </c>
      <c r="S23"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4" spans="1:19" x14ac:dyDescent="0.35">
      <c r="A24" s="9"/>
      <c r="B24" s="1"/>
      <c r="C24" s="2"/>
      <c r="D24" s="2"/>
      <c r="E24" s="3"/>
      <c r="F24" s="3"/>
      <c r="G24" s="3"/>
      <c r="H24" s="3"/>
      <c r="I24" s="57">
        <f>0.1*(Horaires3567314[[#This Row],[Heures de nuit]]+Horaires3567314[[#This Row],[heures jour dimanche]]+Horaires3567314[[#This Row],[heures jour fériés]])</f>
        <v>0</v>
      </c>
      <c r="J24" s="58">
        <f>(MOD(Horaires3567314[[#This Row],[Fin]]-Horaires3567314[[#This Row],[début]],1)-MOD(Horaires3567314[[#This Row],[PNP Fin]]-Horaires3567314[[#This Row],[PNP Début]],1))*24</f>
        <v>0</v>
      </c>
      <c r="K24" s="59">
        <f>IF(Horaires3567314[[#This Row],[PNP Début]]=0,0,IF(Horaires3567314[[#This Row],[PNP Début]]&lt;Horaires3567314[[#This Row],[début]],1,0)+Horaires3567314[[#This Row],[PNP Début]])</f>
        <v>0</v>
      </c>
      <c r="L24" s="60">
        <f>IF(Horaires3567314[[#This Row],[PNP Fin]]=0,0,IF(Horaires3567314[[#This Row],[PNP Fin]]&lt;Horaires3567314[[#This Row],[début]],1,0)+Horaires3567314[[#This Row],[PNP Fin]])</f>
        <v>0</v>
      </c>
      <c r="M24" s="60">
        <f>IF(Horaires3567314[[#This Row],[Fin]]&lt;Horaires3567314[[#This Row],[début]],1,0)+Horaires3567314[[#This Row],[Fin]]</f>
        <v>0</v>
      </c>
      <c r="N24" s="61">
        <f>MAX(0,MIN(Horaires3567314[[#This Row],[Fin corrigée si nuit]],fin_nuit)-MAX(Horaires3567314[[#This Row],[début]],deb_nuit))*24</f>
        <v>0</v>
      </c>
      <c r="O24" s="62">
        <f>(MAX(0,MIN(Horaires3567314[[#This Row],[Fin corrigée si nuit]],fin_nuit)-MAX(Horaires3567314[[#This Row],[début]],deb_nuit))-IF(Horaires3567314[[#This Row],[PNP Début]]=0,0,MIN(Horaires3567314[[#This Row],[PNP Fin corrigée]],fin_nuit)-MAX(Horaires3567314[[#This Row],[PNP Début corrigé]],deb_nuit)))*24</f>
        <v>0</v>
      </c>
      <c r="P24" s="62">
        <f>(IF(WEEKDAY(Horaires3567314[[#This Row],[Date]],2)=7,MAX(0,MIN(fin_dimJF,Horaires3567314[[#This Row],[Fin corrigée si nuit]])-MAX(deb_dimJF,Horaires3567314[[#This Row],[début]])),0)+IF(WEEKDAY(Horaires3567314[[#This Row],[Date]],2)=6,MAX(0,Horaires3567314[[#This Row],[Fin corrigée si nuit]]-(1+deb_dimJF)),0))*24</f>
        <v>0</v>
      </c>
      <c r="Q24"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4" s="62">
        <f>(IF(COUNTIF(JF,Horaires3567314[[#This Row],[Date]]),MAX(0,MIN(fin_dimJF,Horaires3567314[[#This Row],[Fin corrigée si nuit]])-MAX(deb_dimJF,Horaires3567314[[#This Row],[début]])),0)+IF(COUNTIF(JF,Horaires3567314[[#This Row],[Date]]+1),MAX(0,Horaires3567314[[#This Row],[Fin corrigée si nuit]]-(1+deb_dimJF)),0))*24</f>
        <v>0</v>
      </c>
      <c r="S24"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5" spans="1:19" x14ac:dyDescent="0.35">
      <c r="A25" s="9"/>
      <c r="B25" s="1"/>
      <c r="C25" s="2"/>
      <c r="D25" s="2"/>
      <c r="E25" s="3"/>
      <c r="F25" s="3"/>
      <c r="G25" s="3"/>
      <c r="H25" s="3"/>
      <c r="I25" s="57">
        <f>0.1*(Horaires3567314[[#This Row],[Heures de nuit]]+Horaires3567314[[#This Row],[heures jour dimanche]]+Horaires3567314[[#This Row],[heures jour fériés]])</f>
        <v>0</v>
      </c>
      <c r="J25" s="58">
        <f>(MOD(Horaires3567314[[#This Row],[Fin]]-Horaires3567314[[#This Row],[début]],1)-MOD(Horaires3567314[[#This Row],[PNP Fin]]-Horaires3567314[[#This Row],[PNP Début]],1))*24</f>
        <v>0</v>
      </c>
      <c r="K25" s="59">
        <f>IF(Horaires3567314[[#This Row],[PNP Début]]=0,0,IF(Horaires3567314[[#This Row],[PNP Début]]&lt;Horaires3567314[[#This Row],[début]],1,0)+Horaires3567314[[#This Row],[PNP Début]])</f>
        <v>0</v>
      </c>
      <c r="L25" s="60">
        <f>IF(Horaires3567314[[#This Row],[PNP Fin]]=0,0,IF(Horaires3567314[[#This Row],[PNP Fin]]&lt;Horaires3567314[[#This Row],[début]],1,0)+Horaires3567314[[#This Row],[PNP Fin]])</f>
        <v>0</v>
      </c>
      <c r="M25" s="60">
        <f>IF(Horaires3567314[[#This Row],[Fin]]&lt;Horaires3567314[[#This Row],[début]],1,0)+Horaires3567314[[#This Row],[Fin]]</f>
        <v>0</v>
      </c>
      <c r="N25" s="61">
        <f>MAX(0,MIN(Horaires3567314[[#This Row],[Fin corrigée si nuit]],fin_nuit)-MAX(Horaires3567314[[#This Row],[début]],deb_nuit))*24</f>
        <v>0</v>
      </c>
      <c r="O25" s="62">
        <f>(MAX(0,MIN(Horaires3567314[[#This Row],[Fin corrigée si nuit]],fin_nuit)-MAX(Horaires3567314[[#This Row],[début]],deb_nuit))-IF(Horaires3567314[[#This Row],[PNP Début]]=0,0,MIN(Horaires3567314[[#This Row],[PNP Fin corrigée]],fin_nuit)-MAX(Horaires3567314[[#This Row],[PNP Début corrigé]],deb_nuit)))*24</f>
        <v>0</v>
      </c>
      <c r="P25" s="62">
        <f>(IF(WEEKDAY(Horaires3567314[[#This Row],[Date]],2)=7,MAX(0,MIN(fin_dimJF,Horaires3567314[[#This Row],[Fin corrigée si nuit]])-MAX(deb_dimJF,Horaires3567314[[#This Row],[début]])),0)+IF(WEEKDAY(Horaires3567314[[#This Row],[Date]],2)=6,MAX(0,Horaires3567314[[#This Row],[Fin corrigée si nuit]]-(1+deb_dimJF)),0))*24</f>
        <v>0</v>
      </c>
      <c r="Q25"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5" s="62">
        <f>(IF(COUNTIF(JF,Horaires3567314[[#This Row],[Date]]),MAX(0,MIN(fin_dimJF,Horaires3567314[[#This Row],[Fin corrigée si nuit]])-MAX(deb_dimJF,Horaires3567314[[#This Row],[début]])),0)+IF(COUNTIF(JF,Horaires3567314[[#This Row],[Date]]+1),MAX(0,Horaires3567314[[#This Row],[Fin corrigée si nuit]]-(1+deb_dimJF)),0))*24</f>
        <v>0</v>
      </c>
      <c r="S25"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6" spans="1:19" ht="21" customHeight="1" x14ac:dyDescent="0.35">
      <c r="A26" s="9"/>
      <c r="B26" s="1"/>
      <c r="C26" s="2"/>
      <c r="D26" s="2"/>
      <c r="E26" s="3"/>
      <c r="F26" s="3"/>
      <c r="G26" s="3"/>
      <c r="H26" s="3"/>
      <c r="I26" s="57">
        <f>0.1*(Horaires3567314[[#This Row],[Heures de nuit]]+Horaires3567314[[#This Row],[heures jour dimanche]]+Horaires3567314[[#This Row],[heures jour fériés]])</f>
        <v>0</v>
      </c>
      <c r="J26" s="58">
        <f>(MOD(Horaires3567314[[#This Row],[Fin]]-Horaires3567314[[#This Row],[début]],1)-MOD(Horaires3567314[[#This Row],[PNP Fin]]-Horaires3567314[[#This Row],[PNP Début]],1))*24</f>
        <v>0</v>
      </c>
      <c r="K26" s="59">
        <f>IF(Horaires3567314[[#This Row],[PNP Début]]=0,0,IF(Horaires3567314[[#This Row],[PNP Début]]&lt;Horaires3567314[[#This Row],[début]],1,0)+Horaires3567314[[#This Row],[PNP Début]])</f>
        <v>0</v>
      </c>
      <c r="L26" s="60">
        <f>IF(Horaires3567314[[#This Row],[PNP Fin]]=0,0,IF(Horaires3567314[[#This Row],[PNP Fin]]&lt;Horaires3567314[[#This Row],[début]],1,0)+Horaires3567314[[#This Row],[PNP Fin]])</f>
        <v>0</v>
      </c>
      <c r="M26" s="60">
        <f>IF(Horaires3567314[[#This Row],[Fin]]&lt;Horaires3567314[[#This Row],[début]],1,0)+Horaires3567314[[#This Row],[Fin]]</f>
        <v>0</v>
      </c>
      <c r="N26" s="61">
        <f>MAX(0,MIN(Horaires3567314[[#This Row],[Fin corrigée si nuit]],fin_nuit)-MAX(Horaires3567314[[#This Row],[début]],deb_nuit))*24</f>
        <v>0</v>
      </c>
      <c r="O26" s="62">
        <f>(MAX(0,MIN(Horaires3567314[[#This Row],[Fin corrigée si nuit]],fin_nuit)-MAX(Horaires3567314[[#This Row],[début]],deb_nuit))-IF(Horaires3567314[[#This Row],[PNP Début]]=0,0,MIN(Horaires3567314[[#This Row],[PNP Fin corrigée]],fin_nuit)-MAX(Horaires3567314[[#This Row],[PNP Début corrigé]],deb_nuit)))*24</f>
        <v>0</v>
      </c>
      <c r="P26" s="62">
        <f>(IF(WEEKDAY(Horaires3567314[[#This Row],[Date]],2)=7,MAX(0,MIN(fin_dimJF,Horaires3567314[[#This Row],[Fin corrigée si nuit]])-MAX(deb_dimJF,Horaires3567314[[#This Row],[début]])),0)+IF(WEEKDAY(Horaires3567314[[#This Row],[Date]],2)=6,MAX(0,Horaires3567314[[#This Row],[Fin corrigée si nuit]]-(1+deb_dimJF)),0))*24</f>
        <v>0</v>
      </c>
      <c r="Q26"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6" s="62">
        <f>(IF(COUNTIF(JF,Horaires3567314[[#This Row],[Date]]),MAX(0,MIN(fin_dimJF,Horaires3567314[[#This Row],[Fin corrigée si nuit]])-MAX(deb_dimJF,Horaires3567314[[#This Row],[début]])),0)+IF(COUNTIF(JF,Horaires3567314[[#This Row],[Date]]+1),MAX(0,Horaires3567314[[#This Row],[Fin corrigée si nuit]]-(1+deb_dimJF)),0))*24</f>
        <v>0</v>
      </c>
      <c r="S26"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7" spans="1:19" x14ac:dyDescent="0.35">
      <c r="A27" s="9"/>
      <c r="B27" s="1"/>
      <c r="C27" s="2"/>
      <c r="D27" s="2"/>
      <c r="E27" s="3"/>
      <c r="F27" s="3"/>
      <c r="G27" s="3"/>
      <c r="H27" s="3"/>
      <c r="I27" s="57">
        <f>0.1*(Horaires3567314[[#This Row],[Heures de nuit]]+Horaires3567314[[#This Row],[heures jour dimanche]]+Horaires3567314[[#This Row],[heures jour fériés]])</f>
        <v>0</v>
      </c>
      <c r="J27" s="58">
        <f>(MOD(Horaires3567314[[#This Row],[Fin]]-Horaires3567314[[#This Row],[début]],1)-MOD(Horaires3567314[[#This Row],[PNP Fin]]-Horaires3567314[[#This Row],[PNP Début]],1))*24</f>
        <v>0</v>
      </c>
      <c r="K27" s="59">
        <f>IF(Horaires3567314[[#This Row],[PNP Début]]=0,0,IF(Horaires3567314[[#This Row],[PNP Début]]&lt;Horaires3567314[[#This Row],[début]],1,0)+Horaires3567314[[#This Row],[PNP Début]])</f>
        <v>0</v>
      </c>
      <c r="L27" s="60">
        <f>IF(Horaires3567314[[#This Row],[PNP Fin]]=0,0,IF(Horaires3567314[[#This Row],[PNP Fin]]&lt;Horaires3567314[[#This Row],[début]],1,0)+Horaires3567314[[#This Row],[PNP Fin]])</f>
        <v>0</v>
      </c>
      <c r="M27" s="60">
        <f>IF(Horaires3567314[[#This Row],[Fin]]&lt;Horaires3567314[[#This Row],[début]],1,0)+Horaires3567314[[#This Row],[Fin]]</f>
        <v>0</v>
      </c>
      <c r="N27" s="61">
        <f>MAX(0,MIN(Horaires3567314[[#This Row],[Fin corrigée si nuit]],fin_nuit)-MAX(Horaires3567314[[#This Row],[début]],deb_nuit))*24</f>
        <v>0</v>
      </c>
      <c r="O27" s="62">
        <f>(MAX(0,MIN(Horaires3567314[[#This Row],[Fin corrigée si nuit]],fin_nuit)-MAX(Horaires3567314[[#This Row],[début]],deb_nuit))-IF(Horaires3567314[[#This Row],[PNP Début]]=0,0,MIN(Horaires3567314[[#This Row],[PNP Fin corrigée]],fin_nuit)-MAX(Horaires3567314[[#This Row],[PNP Début corrigé]],deb_nuit)))*24</f>
        <v>0</v>
      </c>
      <c r="P27" s="62">
        <f>(IF(WEEKDAY(Horaires3567314[[#This Row],[Date]],2)=7,MAX(0,MIN(fin_dimJF,Horaires3567314[[#This Row],[Fin corrigée si nuit]])-MAX(deb_dimJF,Horaires3567314[[#This Row],[début]])),0)+IF(WEEKDAY(Horaires3567314[[#This Row],[Date]],2)=6,MAX(0,Horaires3567314[[#This Row],[Fin corrigée si nuit]]-(1+deb_dimJF)),0))*24</f>
        <v>0</v>
      </c>
      <c r="Q27"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7" s="62">
        <f>(IF(COUNTIF(JF,Horaires3567314[[#This Row],[Date]]),MAX(0,MIN(fin_dimJF,Horaires3567314[[#This Row],[Fin corrigée si nuit]])-MAX(deb_dimJF,Horaires3567314[[#This Row],[début]])),0)+IF(COUNTIF(JF,Horaires3567314[[#This Row],[Date]]+1),MAX(0,Horaires3567314[[#This Row],[Fin corrigée si nuit]]-(1+deb_dimJF)),0))*24</f>
        <v>0</v>
      </c>
      <c r="S27"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8" spans="1:19" x14ac:dyDescent="0.35">
      <c r="A28" s="9"/>
      <c r="B28" s="1"/>
      <c r="C28" s="2"/>
      <c r="D28" s="2"/>
      <c r="E28" s="3"/>
      <c r="F28" s="3"/>
      <c r="G28" s="3"/>
      <c r="H28" s="3"/>
      <c r="I28" s="57">
        <f>0.1*(Horaires3567314[[#This Row],[Heures de nuit]]+Horaires3567314[[#This Row],[heures jour dimanche]]+Horaires3567314[[#This Row],[heures jour fériés]])</f>
        <v>0</v>
      </c>
      <c r="J28" s="58">
        <f>(MOD(Horaires3567314[[#This Row],[Fin]]-Horaires3567314[[#This Row],[début]],1)-MOD(Horaires3567314[[#This Row],[PNP Fin]]-Horaires3567314[[#This Row],[PNP Début]],1))*24</f>
        <v>0</v>
      </c>
      <c r="K28" s="59">
        <f>IF(Horaires3567314[[#This Row],[PNP Début]]=0,0,IF(Horaires3567314[[#This Row],[PNP Début]]&lt;Horaires3567314[[#This Row],[début]],1,0)+Horaires3567314[[#This Row],[PNP Début]])</f>
        <v>0</v>
      </c>
      <c r="L28" s="60">
        <f>IF(Horaires3567314[[#This Row],[PNP Fin]]=0,0,IF(Horaires3567314[[#This Row],[PNP Fin]]&lt;Horaires3567314[[#This Row],[début]],1,0)+Horaires3567314[[#This Row],[PNP Fin]])</f>
        <v>0</v>
      </c>
      <c r="M28" s="60">
        <f>IF(Horaires3567314[[#This Row],[Fin]]&lt;Horaires3567314[[#This Row],[début]],1,0)+Horaires3567314[[#This Row],[Fin]]</f>
        <v>0</v>
      </c>
      <c r="N28" s="61">
        <f>MAX(0,MIN(Horaires3567314[[#This Row],[Fin corrigée si nuit]],fin_nuit)-MAX(Horaires3567314[[#This Row],[début]],deb_nuit))*24</f>
        <v>0</v>
      </c>
      <c r="O28" s="62">
        <f>(MAX(0,MIN(Horaires3567314[[#This Row],[Fin corrigée si nuit]],fin_nuit)-MAX(Horaires3567314[[#This Row],[début]],deb_nuit))-IF(Horaires3567314[[#This Row],[PNP Début]]=0,0,MIN(Horaires3567314[[#This Row],[PNP Fin corrigée]],fin_nuit)-MAX(Horaires3567314[[#This Row],[PNP Début corrigé]],deb_nuit)))*24</f>
        <v>0</v>
      </c>
      <c r="P28" s="62">
        <f>(IF(WEEKDAY(Horaires3567314[[#This Row],[Date]],2)=7,MAX(0,MIN(fin_dimJF,Horaires3567314[[#This Row],[Fin corrigée si nuit]])-MAX(deb_dimJF,Horaires3567314[[#This Row],[début]])),0)+IF(WEEKDAY(Horaires3567314[[#This Row],[Date]],2)=6,MAX(0,Horaires3567314[[#This Row],[Fin corrigée si nuit]]-(1+deb_dimJF)),0))*24</f>
        <v>0</v>
      </c>
      <c r="Q28"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8" s="62">
        <f>(IF(COUNTIF(JF,Horaires3567314[[#This Row],[Date]]),MAX(0,MIN(fin_dimJF,Horaires3567314[[#This Row],[Fin corrigée si nuit]])-MAX(deb_dimJF,Horaires3567314[[#This Row],[début]])),0)+IF(COUNTIF(JF,Horaires3567314[[#This Row],[Date]]+1),MAX(0,Horaires3567314[[#This Row],[Fin corrigée si nuit]]-(1+deb_dimJF)),0))*24</f>
        <v>0</v>
      </c>
      <c r="S28"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29" spans="1:19" x14ac:dyDescent="0.35">
      <c r="A29" s="9"/>
      <c r="B29" s="1"/>
      <c r="C29" s="2"/>
      <c r="D29" s="2"/>
      <c r="E29" s="3"/>
      <c r="F29" s="3"/>
      <c r="G29" s="3"/>
      <c r="H29" s="3"/>
      <c r="I29" s="57">
        <f>0.1*(Horaires3567314[[#This Row],[Heures de nuit]]+Horaires3567314[[#This Row],[heures jour dimanche]]+Horaires3567314[[#This Row],[heures jour fériés]])</f>
        <v>0</v>
      </c>
      <c r="J29" s="58">
        <f>(MOD(Horaires3567314[[#This Row],[Fin]]-Horaires3567314[[#This Row],[début]],1)-MOD(Horaires3567314[[#This Row],[PNP Fin]]-Horaires3567314[[#This Row],[PNP Début]],1))*24</f>
        <v>0</v>
      </c>
      <c r="K29" s="59">
        <f>IF(Horaires3567314[[#This Row],[PNP Début]]=0,0,IF(Horaires3567314[[#This Row],[PNP Début]]&lt;Horaires3567314[[#This Row],[début]],1,0)+Horaires3567314[[#This Row],[PNP Début]])</f>
        <v>0</v>
      </c>
      <c r="L29" s="60">
        <f>IF(Horaires3567314[[#This Row],[PNP Fin]]=0,0,IF(Horaires3567314[[#This Row],[PNP Fin]]&lt;Horaires3567314[[#This Row],[début]],1,0)+Horaires3567314[[#This Row],[PNP Fin]])</f>
        <v>0</v>
      </c>
      <c r="M29" s="60">
        <f>IF(Horaires3567314[[#This Row],[Fin]]&lt;Horaires3567314[[#This Row],[début]],1,0)+Horaires3567314[[#This Row],[Fin]]</f>
        <v>0</v>
      </c>
      <c r="N29" s="61">
        <f>MAX(0,MIN(Horaires3567314[[#This Row],[Fin corrigée si nuit]],fin_nuit)-MAX(Horaires3567314[[#This Row],[début]],deb_nuit))*24</f>
        <v>0</v>
      </c>
      <c r="O29" s="62">
        <f>(MAX(0,MIN(Horaires3567314[[#This Row],[Fin corrigée si nuit]],fin_nuit)-MAX(Horaires3567314[[#This Row],[début]],deb_nuit))-IF(Horaires3567314[[#This Row],[PNP Début]]=0,0,MIN(Horaires3567314[[#This Row],[PNP Fin corrigée]],fin_nuit)-MAX(Horaires3567314[[#This Row],[PNP Début corrigé]],deb_nuit)))*24</f>
        <v>0</v>
      </c>
      <c r="P29" s="62">
        <f>(IF(WEEKDAY(Horaires3567314[[#This Row],[Date]],2)=7,MAX(0,MIN(fin_dimJF,Horaires3567314[[#This Row],[Fin corrigée si nuit]])-MAX(deb_dimJF,Horaires3567314[[#This Row],[début]])),0)+IF(WEEKDAY(Horaires3567314[[#This Row],[Date]],2)=6,MAX(0,Horaires3567314[[#This Row],[Fin corrigée si nuit]]-(1+deb_dimJF)),0))*24</f>
        <v>0</v>
      </c>
      <c r="Q29"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29" s="62">
        <f>(IF(COUNTIF(JF,Horaires3567314[[#This Row],[Date]]),MAX(0,MIN(fin_dimJF,Horaires3567314[[#This Row],[Fin corrigée si nuit]])-MAX(deb_dimJF,Horaires3567314[[#This Row],[début]])),0)+IF(COUNTIF(JF,Horaires3567314[[#This Row],[Date]]+1),MAX(0,Horaires3567314[[#This Row],[Fin corrigée si nuit]]-(1+deb_dimJF)),0))*24</f>
        <v>0</v>
      </c>
      <c r="S29"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0" spans="1:19" x14ac:dyDescent="0.35">
      <c r="A30" s="9"/>
      <c r="B30" s="1"/>
      <c r="C30" s="2"/>
      <c r="D30" s="2"/>
      <c r="E30" s="3"/>
      <c r="F30" s="3"/>
      <c r="G30" s="3"/>
      <c r="H30" s="3"/>
      <c r="I30" s="57">
        <f>0.1*(Horaires3567314[[#This Row],[Heures de nuit]]+Horaires3567314[[#This Row],[heures jour dimanche]]+Horaires3567314[[#This Row],[heures jour fériés]])</f>
        <v>0</v>
      </c>
      <c r="J30" s="58">
        <f>(MOD(Horaires3567314[[#This Row],[Fin]]-Horaires3567314[[#This Row],[début]],1)-MOD(Horaires3567314[[#This Row],[PNP Fin]]-Horaires3567314[[#This Row],[PNP Début]],1))*24</f>
        <v>0</v>
      </c>
      <c r="K30" s="59">
        <f>IF(Horaires3567314[[#This Row],[PNP Début]]=0,0,IF(Horaires3567314[[#This Row],[PNP Début]]&lt;Horaires3567314[[#This Row],[début]],1,0)+Horaires3567314[[#This Row],[PNP Début]])</f>
        <v>0</v>
      </c>
      <c r="L30" s="60">
        <f>IF(Horaires3567314[[#This Row],[PNP Fin]]=0,0,IF(Horaires3567314[[#This Row],[PNP Fin]]&lt;Horaires3567314[[#This Row],[début]],1,0)+Horaires3567314[[#This Row],[PNP Fin]])</f>
        <v>0</v>
      </c>
      <c r="M30" s="60">
        <f>IF(Horaires3567314[[#This Row],[Fin]]&lt;Horaires3567314[[#This Row],[début]],1,0)+Horaires3567314[[#This Row],[Fin]]</f>
        <v>0</v>
      </c>
      <c r="N30" s="61">
        <f>MAX(0,MIN(Horaires3567314[[#This Row],[Fin corrigée si nuit]],fin_nuit)-MAX(Horaires3567314[[#This Row],[début]],deb_nuit))*24</f>
        <v>0</v>
      </c>
      <c r="O30" s="62">
        <f>(MAX(0,MIN(Horaires3567314[[#This Row],[Fin corrigée si nuit]],fin_nuit)-MAX(Horaires3567314[[#This Row],[début]],deb_nuit))-IF(Horaires3567314[[#This Row],[PNP Début]]=0,0,MIN(Horaires3567314[[#This Row],[PNP Fin corrigée]],fin_nuit)-MAX(Horaires3567314[[#This Row],[PNP Début corrigé]],deb_nuit)))*24</f>
        <v>0</v>
      </c>
      <c r="P30" s="62">
        <f>(IF(WEEKDAY(Horaires3567314[[#This Row],[Date]],2)=7,MAX(0,MIN(fin_dimJF,Horaires3567314[[#This Row],[Fin corrigée si nuit]])-MAX(deb_dimJF,Horaires3567314[[#This Row],[début]])),0)+IF(WEEKDAY(Horaires3567314[[#This Row],[Date]],2)=6,MAX(0,Horaires3567314[[#This Row],[Fin corrigée si nuit]]-(1+deb_dimJF)),0))*24</f>
        <v>0</v>
      </c>
      <c r="Q30"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0" s="62">
        <f>(IF(COUNTIF(JF,Horaires3567314[[#This Row],[Date]]),MAX(0,MIN(fin_dimJF,Horaires3567314[[#This Row],[Fin corrigée si nuit]])-MAX(deb_dimJF,Horaires3567314[[#This Row],[début]])),0)+IF(COUNTIF(JF,Horaires3567314[[#This Row],[Date]]+1),MAX(0,Horaires3567314[[#This Row],[Fin corrigée si nuit]]-(1+deb_dimJF)),0))*24</f>
        <v>0</v>
      </c>
      <c r="S30"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1" spans="1:19" x14ac:dyDescent="0.35">
      <c r="A31" s="9"/>
      <c r="B31" s="1"/>
      <c r="C31" s="2"/>
      <c r="D31" s="2"/>
      <c r="E31" s="3"/>
      <c r="F31" s="3"/>
      <c r="G31" s="3"/>
      <c r="H31" s="3"/>
      <c r="I31" s="57">
        <f>0.1*(Horaires3567314[[#This Row],[Heures de nuit]]+Horaires3567314[[#This Row],[heures jour dimanche]]+Horaires3567314[[#This Row],[heures jour fériés]])</f>
        <v>0</v>
      </c>
      <c r="J31" s="58">
        <f>(MOD(Horaires3567314[[#This Row],[Fin]]-Horaires3567314[[#This Row],[début]],1)-MOD(Horaires3567314[[#This Row],[PNP Fin]]-Horaires3567314[[#This Row],[PNP Début]],1))*24</f>
        <v>0</v>
      </c>
      <c r="K31" s="59">
        <f>IF(Horaires3567314[[#This Row],[PNP Début]]=0,0,IF(Horaires3567314[[#This Row],[PNP Début]]&lt;Horaires3567314[[#This Row],[début]],1,0)+Horaires3567314[[#This Row],[PNP Début]])</f>
        <v>0</v>
      </c>
      <c r="L31" s="60">
        <f>IF(Horaires3567314[[#This Row],[PNP Fin]]=0,0,IF(Horaires3567314[[#This Row],[PNP Fin]]&lt;Horaires3567314[[#This Row],[début]],1,0)+Horaires3567314[[#This Row],[PNP Fin]])</f>
        <v>0</v>
      </c>
      <c r="M31" s="60">
        <f>IF(Horaires3567314[[#This Row],[Fin]]&lt;Horaires3567314[[#This Row],[début]],1,0)+Horaires3567314[[#This Row],[Fin]]</f>
        <v>0</v>
      </c>
      <c r="N31" s="61">
        <f>MAX(0,MIN(Horaires3567314[[#This Row],[Fin corrigée si nuit]],fin_nuit)-MAX(Horaires3567314[[#This Row],[début]],deb_nuit))*24</f>
        <v>0</v>
      </c>
      <c r="O31" s="62">
        <f>(MAX(0,MIN(Horaires3567314[[#This Row],[Fin corrigée si nuit]],fin_nuit)-MAX(Horaires3567314[[#This Row],[début]],deb_nuit))-IF(Horaires3567314[[#This Row],[PNP Début]]=0,0,MIN(Horaires3567314[[#This Row],[PNP Fin corrigée]],fin_nuit)-MAX(Horaires3567314[[#This Row],[PNP Début corrigé]],deb_nuit)))*24</f>
        <v>0</v>
      </c>
      <c r="P31" s="62">
        <f>(IF(WEEKDAY(Horaires3567314[[#This Row],[Date]],2)=7,MAX(0,MIN(fin_dimJF,Horaires3567314[[#This Row],[Fin corrigée si nuit]])-MAX(deb_dimJF,Horaires3567314[[#This Row],[début]])),0)+IF(WEEKDAY(Horaires3567314[[#This Row],[Date]],2)=6,MAX(0,Horaires3567314[[#This Row],[Fin corrigée si nuit]]-(1+deb_dimJF)),0))*24</f>
        <v>0</v>
      </c>
      <c r="Q31"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1" s="62">
        <f>(IF(COUNTIF(JF,Horaires3567314[[#This Row],[Date]]),MAX(0,MIN(fin_dimJF,Horaires3567314[[#This Row],[Fin corrigée si nuit]])-MAX(deb_dimJF,Horaires3567314[[#This Row],[début]])),0)+IF(COUNTIF(JF,Horaires3567314[[#This Row],[Date]]+1),MAX(0,Horaires3567314[[#This Row],[Fin corrigée si nuit]]-(1+deb_dimJF)),0))*24</f>
        <v>0</v>
      </c>
      <c r="S31"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2" spans="1:19" ht="14.5" customHeight="1" x14ac:dyDescent="0.35">
      <c r="A32" s="9"/>
      <c r="B32" s="1"/>
      <c r="C32" s="2"/>
      <c r="D32" s="2"/>
      <c r="E32" s="3"/>
      <c r="F32" s="3"/>
      <c r="G32" s="3"/>
      <c r="H32" s="3"/>
      <c r="I32" s="57">
        <f>0.1*(Horaires3567314[[#This Row],[Heures de nuit]]+Horaires3567314[[#This Row],[heures jour dimanche]]+Horaires3567314[[#This Row],[heures jour fériés]])</f>
        <v>0</v>
      </c>
      <c r="J32" s="58">
        <f>(MOD(Horaires3567314[[#This Row],[Fin]]-Horaires3567314[[#This Row],[début]],1)-MOD(Horaires3567314[[#This Row],[PNP Fin]]-Horaires3567314[[#This Row],[PNP Début]],1))*24</f>
        <v>0</v>
      </c>
      <c r="K32" s="59">
        <f>IF(Horaires3567314[[#This Row],[PNP Début]]=0,0,IF(Horaires3567314[[#This Row],[PNP Début]]&lt;Horaires3567314[[#This Row],[début]],1,0)+Horaires3567314[[#This Row],[PNP Début]])</f>
        <v>0</v>
      </c>
      <c r="L32" s="60">
        <f>IF(Horaires3567314[[#This Row],[PNP Fin]]=0,0,IF(Horaires3567314[[#This Row],[PNP Fin]]&lt;Horaires3567314[[#This Row],[début]],1,0)+Horaires3567314[[#This Row],[PNP Fin]])</f>
        <v>0</v>
      </c>
      <c r="M32" s="60">
        <f>IF(Horaires3567314[[#This Row],[Fin]]&lt;Horaires3567314[[#This Row],[début]],1,0)+Horaires3567314[[#This Row],[Fin]]</f>
        <v>0</v>
      </c>
      <c r="N32" s="61">
        <f>MAX(0,MIN(Horaires3567314[[#This Row],[Fin corrigée si nuit]],fin_nuit)-MAX(Horaires3567314[[#This Row],[début]],deb_nuit))*24</f>
        <v>0</v>
      </c>
      <c r="O32" s="62">
        <f>(MAX(0,MIN(Horaires3567314[[#This Row],[Fin corrigée si nuit]],fin_nuit)-MAX(Horaires3567314[[#This Row],[début]],deb_nuit))-IF(Horaires3567314[[#This Row],[PNP Début]]=0,0,MIN(Horaires3567314[[#This Row],[PNP Fin corrigée]],fin_nuit)-MAX(Horaires3567314[[#This Row],[PNP Début corrigé]],deb_nuit)))*24</f>
        <v>0</v>
      </c>
      <c r="P32" s="62">
        <f>(IF(WEEKDAY(Horaires3567314[[#This Row],[Date]],2)=7,MAX(0,MIN(fin_dimJF,Horaires3567314[[#This Row],[Fin corrigée si nuit]])-MAX(deb_dimJF,Horaires3567314[[#This Row],[début]])),0)+IF(WEEKDAY(Horaires3567314[[#This Row],[Date]],2)=6,MAX(0,Horaires3567314[[#This Row],[Fin corrigée si nuit]]-(1+deb_dimJF)),0))*24</f>
        <v>0</v>
      </c>
      <c r="Q32"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2" s="62">
        <f>(IF(COUNTIF(JF,Horaires3567314[[#This Row],[Date]]),MAX(0,MIN(fin_dimJF,Horaires3567314[[#This Row],[Fin corrigée si nuit]])-MAX(deb_dimJF,Horaires3567314[[#This Row],[début]])),0)+IF(COUNTIF(JF,Horaires3567314[[#This Row],[Date]]+1),MAX(0,Horaires3567314[[#This Row],[Fin corrigée si nuit]]-(1+deb_dimJF)),0))*24</f>
        <v>0</v>
      </c>
      <c r="S32"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3" spans="1:19" x14ac:dyDescent="0.35">
      <c r="A33" s="9"/>
      <c r="B33" s="1"/>
      <c r="C33" s="2"/>
      <c r="D33" s="2"/>
      <c r="E33" s="3"/>
      <c r="F33" s="3"/>
      <c r="G33" s="3"/>
      <c r="H33" s="3"/>
      <c r="I33" s="57">
        <f>0.1*(Horaires3567314[[#This Row],[Heures de nuit]]+Horaires3567314[[#This Row],[heures jour dimanche]]+Horaires3567314[[#This Row],[heures jour fériés]])</f>
        <v>0</v>
      </c>
      <c r="J33" s="58">
        <f>(MOD(Horaires3567314[[#This Row],[Fin]]-Horaires3567314[[#This Row],[début]],1)-MOD(Horaires3567314[[#This Row],[PNP Fin]]-Horaires3567314[[#This Row],[PNP Début]],1))*24</f>
        <v>0</v>
      </c>
      <c r="K33" s="59">
        <f>IF(Horaires3567314[[#This Row],[PNP Début]]=0,0,IF(Horaires3567314[[#This Row],[PNP Début]]&lt;Horaires3567314[[#This Row],[début]],1,0)+Horaires3567314[[#This Row],[PNP Début]])</f>
        <v>0</v>
      </c>
      <c r="L33" s="60">
        <f>IF(Horaires3567314[[#This Row],[PNP Fin]]=0,0,IF(Horaires3567314[[#This Row],[PNP Fin]]&lt;Horaires3567314[[#This Row],[début]],1,0)+Horaires3567314[[#This Row],[PNP Fin]])</f>
        <v>0</v>
      </c>
      <c r="M33" s="60">
        <f>IF(Horaires3567314[[#This Row],[Fin]]&lt;Horaires3567314[[#This Row],[début]],1,0)+Horaires3567314[[#This Row],[Fin]]</f>
        <v>0</v>
      </c>
      <c r="N33" s="61">
        <f>MAX(0,MIN(Horaires3567314[[#This Row],[Fin corrigée si nuit]],fin_nuit)-MAX(Horaires3567314[[#This Row],[début]],deb_nuit))*24</f>
        <v>0</v>
      </c>
      <c r="O33" s="62">
        <f>(MAX(0,MIN(Horaires3567314[[#This Row],[Fin corrigée si nuit]],fin_nuit)-MAX(Horaires3567314[[#This Row],[début]],deb_nuit))-IF(Horaires3567314[[#This Row],[PNP Début]]=0,0,MIN(Horaires3567314[[#This Row],[PNP Fin corrigée]],fin_nuit)-MAX(Horaires3567314[[#This Row],[PNP Début corrigé]],deb_nuit)))*24</f>
        <v>0</v>
      </c>
      <c r="P33" s="62">
        <f>(IF(WEEKDAY(Horaires3567314[[#This Row],[Date]],2)=7,MAX(0,MIN(fin_dimJF,Horaires3567314[[#This Row],[Fin corrigée si nuit]])-MAX(deb_dimJF,Horaires3567314[[#This Row],[début]])),0)+IF(WEEKDAY(Horaires3567314[[#This Row],[Date]],2)=6,MAX(0,Horaires3567314[[#This Row],[Fin corrigée si nuit]]-(1+deb_dimJF)),0))*24</f>
        <v>0</v>
      </c>
      <c r="Q33"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3" s="62">
        <f>(IF(COUNTIF(JF,Horaires3567314[[#This Row],[Date]]),MAX(0,MIN(fin_dimJF,Horaires3567314[[#This Row],[Fin corrigée si nuit]])-MAX(deb_dimJF,Horaires3567314[[#This Row],[début]])),0)+IF(COUNTIF(JF,Horaires3567314[[#This Row],[Date]]+1),MAX(0,Horaires3567314[[#This Row],[Fin corrigée si nuit]]-(1+deb_dimJF)),0))*24</f>
        <v>0</v>
      </c>
      <c r="S33"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4" spans="1:19" x14ac:dyDescent="0.35">
      <c r="A34" s="9"/>
      <c r="B34" s="1"/>
      <c r="C34" s="2"/>
      <c r="D34" s="2"/>
      <c r="E34" s="3"/>
      <c r="F34" s="3"/>
      <c r="G34" s="3"/>
      <c r="H34" s="3"/>
      <c r="I34" s="57">
        <f>0.1*(Horaires3567314[[#This Row],[Heures de nuit]]+Horaires3567314[[#This Row],[heures jour dimanche]]+Horaires3567314[[#This Row],[heures jour fériés]])</f>
        <v>0</v>
      </c>
      <c r="J34" s="58">
        <f>(MOD(Horaires3567314[[#This Row],[Fin]]-Horaires3567314[[#This Row],[début]],1)-MOD(Horaires3567314[[#This Row],[PNP Fin]]-Horaires3567314[[#This Row],[PNP Début]],1))*24</f>
        <v>0</v>
      </c>
      <c r="K34" s="59">
        <f>IF(Horaires3567314[[#This Row],[PNP Début]]=0,0,IF(Horaires3567314[[#This Row],[PNP Début]]&lt;Horaires3567314[[#This Row],[début]],1,0)+Horaires3567314[[#This Row],[PNP Début]])</f>
        <v>0</v>
      </c>
      <c r="L34" s="60">
        <f>IF(Horaires3567314[[#This Row],[PNP Fin]]=0,0,IF(Horaires3567314[[#This Row],[PNP Fin]]&lt;Horaires3567314[[#This Row],[début]],1,0)+Horaires3567314[[#This Row],[PNP Fin]])</f>
        <v>0</v>
      </c>
      <c r="M34" s="60">
        <f>IF(Horaires3567314[[#This Row],[Fin]]&lt;Horaires3567314[[#This Row],[début]],1,0)+Horaires3567314[[#This Row],[Fin]]</f>
        <v>0</v>
      </c>
      <c r="N34" s="61">
        <f>MAX(0,MIN(Horaires3567314[[#This Row],[Fin corrigée si nuit]],fin_nuit)-MAX(Horaires3567314[[#This Row],[début]],deb_nuit))*24</f>
        <v>0</v>
      </c>
      <c r="O34" s="62">
        <f>(MAX(0,MIN(Horaires3567314[[#This Row],[Fin corrigée si nuit]],fin_nuit)-MAX(Horaires3567314[[#This Row],[début]],deb_nuit))-IF(Horaires3567314[[#This Row],[PNP Début]]=0,0,MIN(Horaires3567314[[#This Row],[PNP Fin corrigée]],fin_nuit)-MAX(Horaires3567314[[#This Row],[PNP Début corrigé]],deb_nuit)))*24</f>
        <v>0</v>
      </c>
      <c r="P34" s="62">
        <f>(IF(WEEKDAY(Horaires3567314[[#This Row],[Date]],2)=7,MAX(0,MIN(fin_dimJF,Horaires3567314[[#This Row],[Fin corrigée si nuit]])-MAX(deb_dimJF,Horaires3567314[[#This Row],[début]])),0)+IF(WEEKDAY(Horaires3567314[[#This Row],[Date]],2)=6,MAX(0,Horaires3567314[[#This Row],[Fin corrigée si nuit]]-(1+deb_dimJF)),0))*24</f>
        <v>0</v>
      </c>
      <c r="Q34"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4" s="62">
        <f>(IF(COUNTIF(JF,Horaires3567314[[#This Row],[Date]]),MAX(0,MIN(fin_dimJF,Horaires3567314[[#This Row],[Fin corrigée si nuit]])-MAX(deb_dimJF,Horaires3567314[[#This Row],[début]])),0)+IF(COUNTIF(JF,Horaires3567314[[#This Row],[Date]]+1),MAX(0,Horaires3567314[[#This Row],[Fin corrigée si nuit]]-(1+deb_dimJF)),0))*24</f>
        <v>0</v>
      </c>
      <c r="S34"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5" spans="1:19" x14ac:dyDescent="0.35">
      <c r="A35" s="9"/>
      <c r="B35" s="1"/>
      <c r="C35" s="2"/>
      <c r="D35" s="2"/>
      <c r="E35" s="3"/>
      <c r="F35" s="3"/>
      <c r="G35" s="3"/>
      <c r="H35" s="3"/>
      <c r="I35" s="57">
        <f>0.1*(Horaires3567314[[#This Row],[Heures de nuit]]+Horaires3567314[[#This Row],[heures jour dimanche]]+Horaires3567314[[#This Row],[heures jour fériés]])</f>
        <v>0</v>
      </c>
      <c r="J35" s="58">
        <f>(MOD(Horaires3567314[[#This Row],[Fin]]-Horaires3567314[[#This Row],[début]],1)-MOD(Horaires3567314[[#This Row],[PNP Fin]]-Horaires3567314[[#This Row],[PNP Début]],1))*24</f>
        <v>0</v>
      </c>
      <c r="K35" s="59">
        <f>IF(Horaires3567314[[#This Row],[PNP Début]]=0,0,IF(Horaires3567314[[#This Row],[PNP Début]]&lt;Horaires3567314[[#This Row],[début]],1,0)+Horaires3567314[[#This Row],[PNP Début]])</f>
        <v>0</v>
      </c>
      <c r="L35" s="60">
        <f>IF(Horaires3567314[[#This Row],[PNP Fin]]=0,0,IF(Horaires3567314[[#This Row],[PNP Fin]]&lt;Horaires3567314[[#This Row],[début]],1,0)+Horaires3567314[[#This Row],[PNP Fin]])</f>
        <v>0</v>
      </c>
      <c r="M35" s="60">
        <f>IF(Horaires3567314[[#This Row],[Fin]]&lt;Horaires3567314[[#This Row],[début]],1,0)+Horaires3567314[[#This Row],[Fin]]</f>
        <v>0</v>
      </c>
      <c r="N35" s="61">
        <f>MAX(0,MIN(Horaires3567314[[#This Row],[Fin corrigée si nuit]],fin_nuit)-MAX(Horaires3567314[[#This Row],[début]],deb_nuit))*24</f>
        <v>0</v>
      </c>
      <c r="O35" s="62">
        <f>(MAX(0,MIN(Horaires3567314[[#This Row],[Fin corrigée si nuit]],fin_nuit)-MAX(Horaires3567314[[#This Row],[début]],deb_nuit))-IF(Horaires3567314[[#This Row],[PNP Début]]=0,0,MIN(Horaires3567314[[#This Row],[PNP Fin corrigée]],fin_nuit)-MAX(Horaires3567314[[#This Row],[PNP Début corrigé]],deb_nuit)))*24</f>
        <v>0</v>
      </c>
      <c r="P35" s="62">
        <f>(IF(WEEKDAY(Horaires3567314[[#This Row],[Date]],2)=7,MAX(0,MIN(fin_dimJF,Horaires3567314[[#This Row],[Fin corrigée si nuit]])-MAX(deb_dimJF,Horaires3567314[[#This Row],[début]])),0)+IF(WEEKDAY(Horaires3567314[[#This Row],[Date]],2)=6,MAX(0,Horaires3567314[[#This Row],[Fin corrigée si nuit]]-(1+deb_dimJF)),0))*24</f>
        <v>0</v>
      </c>
      <c r="Q35"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5" s="62">
        <f>(IF(COUNTIF(JF,Horaires3567314[[#This Row],[Date]]),MAX(0,MIN(fin_dimJF,Horaires3567314[[#This Row],[Fin corrigée si nuit]])-MAX(deb_dimJF,Horaires3567314[[#This Row],[début]])),0)+IF(COUNTIF(JF,Horaires3567314[[#This Row],[Date]]+1),MAX(0,Horaires3567314[[#This Row],[Fin corrigée si nuit]]-(1+deb_dimJF)),0))*24</f>
        <v>0</v>
      </c>
      <c r="S35"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6" spans="1:19" x14ac:dyDescent="0.35">
      <c r="A36" s="9"/>
      <c r="B36" s="1"/>
      <c r="C36" s="2"/>
      <c r="D36" s="2"/>
      <c r="E36" s="3"/>
      <c r="F36" s="3"/>
      <c r="G36" s="3"/>
      <c r="H36" s="3"/>
      <c r="I36" s="57">
        <f>0.1*(Horaires3567314[[#This Row],[Heures de nuit]]+Horaires3567314[[#This Row],[heures jour dimanche]]+Horaires3567314[[#This Row],[heures jour fériés]])</f>
        <v>0</v>
      </c>
      <c r="J36" s="58">
        <f>(MOD(Horaires3567314[[#This Row],[Fin]]-Horaires3567314[[#This Row],[début]],1)-MOD(Horaires3567314[[#This Row],[PNP Fin]]-Horaires3567314[[#This Row],[PNP Début]],1))*24</f>
        <v>0</v>
      </c>
      <c r="K36" s="59">
        <f>IF(Horaires3567314[[#This Row],[PNP Début]]=0,0,IF(Horaires3567314[[#This Row],[PNP Début]]&lt;Horaires3567314[[#This Row],[début]],1,0)+Horaires3567314[[#This Row],[PNP Début]])</f>
        <v>0</v>
      </c>
      <c r="L36" s="60">
        <f>IF(Horaires3567314[[#This Row],[PNP Fin]]=0,0,IF(Horaires3567314[[#This Row],[PNP Fin]]&lt;Horaires3567314[[#This Row],[début]],1,0)+Horaires3567314[[#This Row],[PNP Fin]])</f>
        <v>0</v>
      </c>
      <c r="M36" s="60">
        <f>IF(Horaires3567314[[#This Row],[Fin]]&lt;Horaires3567314[[#This Row],[début]],1,0)+Horaires3567314[[#This Row],[Fin]]</f>
        <v>0</v>
      </c>
      <c r="N36" s="61">
        <f>MAX(0,MIN(Horaires3567314[[#This Row],[Fin corrigée si nuit]],fin_nuit)-MAX(Horaires3567314[[#This Row],[début]],deb_nuit))*24</f>
        <v>0</v>
      </c>
      <c r="O36" s="62">
        <f>(MAX(0,MIN(Horaires3567314[[#This Row],[Fin corrigée si nuit]],fin_nuit)-MAX(Horaires3567314[[#This Row],[début]],deb_nuit))-IF(Horaires3567314[[#This Row],[PNP Début]]=0,0,MIN(Horaires3567314[[#This Row],[PNP Fin corrigée]],fin_nuit)-MAX(Horaires3567314[[#This Row],[PNP Début corrigé]],deb_nuit)))*24</f>
        <v>0</v>
      </c>
      <c r="P36" s="62">
        <f>(IF(WEEKDAY(Horaires3567314[[#This Row],[Date]],2)=7,MAX(0,MIN(fin_dimJF,Horaires3567314[[#This Row],[Fin corrigée si nuit]])-MAX(deb_dimJF,Horaires3567314[[#This Row],[début]])),0)+IF(WEEKDAY(Horaires3567314[[#This Row],[Date]],2)=6,MAX(0,Horaires3567314[[#This Row],[Fin corrigée si nuit]]-(1+deb_dimJF)),0))*24</f>
        <v>0</v>
      </c>
      <c r="Q36"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6" s="62">
        <f>(IF(COUNTIF(JF,Horaires3567314[[#This Row],[Date]]),MAX(0,MIN(fin_dimJF,Horaires3567314[[#This Row],[Fin corrigée si nuit]])-MAX(deb_dimJF,Horaires3567314[[#This Row],[début]])),0)+IF(COUNTIF(JF,Horaires3567314[[#This Row],[Date]]+1),MAX(0,Horaires3567314[[#This Row],[Fin corrigée si nuit]]-(1+deb_dimJF)),0))*24</f>
        <v>0</v>
      </c>
      <c r="S36"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7" spans="1:19" x14ac:dyDescent="0.35">
      <c r="A37" s="9"/>
      <c r="B37" s="1"/>
      <c r="C37" s="2"/>
      <c r="D37" s="2"/>
      <c r="E37" s="3"/>
      <c r="F37" s="3"/>
      <c r="G37" s="3"/>
      <c r="H37" s="3"/>
      <c r="I37" s="57">
        <f>0.1*(Horaires3567314[[#This Row],[Heures de nuit]]+Horaires3567314[[#This Row],[heures jour dimanche]]+Horaires3567314[[#This Row],[heures jour fériés]])</f>
        <v>0</v>
      </c>
      <c r="J37" s="58">
        <f>(MOD(Horaires3567314[[#This Row],[Fin]]-Horaires3567314[[#This Row],[début]],1)-MOD(Horaires3567314[[#This Row],[PNP Fin]]-Horaires3567314[[#This Row],[PNP Début]],1))*24</f>
        <v>0</v>
      </c>
      <c r="K37" s="59">
        <f>IF(Horaires3567314[[#This Row],[PNP Début]]=0,0,IF(Horaires3567314[[#This Row],[PNP Début]]&lt;Horaires3567314[[#This Row],[début]],1,0)+Horaires3567314[[#This Row],[PNP Début]])</f>
        <v>0</v>
      </c>
      <c r="L37" s="60">
        <f>IF(Horaires3567314[[#This Row],[PNP Fin]]=0,0,IF(Horaires3567314[[#This Row],[PNP Fin]]&lt;Horaires3567314[[#This Row],[début]],1,0)+Horaires3567314[[#This Row],[PNP Fin]])</f>
        <v>0</v>
      </c>
      <c r="M37" s="60">
        <f>IF(Horaires3567314[[#This Row],[Fin]]&lt;Horaires3567314[[#This Row],[début]],1,0)+Horaires3567314[[#This Row],[Fin]]</f>
        <v>0</v>
      </c>
      <c r="N37" s="61">
        <f>MAX(0,MIN(Horaires3567314[[#This Row],[Fin corrigée si nuit]],fin_nuit)-MAX(Horaires3567314[[#This Row],[début]],deb_nuit))*24</f>
        <v>0</v>
      </c>
      <c r="O37" s="62">
        <f>(MAX(0,MIN(Horaires3567314[[#This Row],[Fin corrigée si nuit]],fin_nuit)-MAX(Horaires3567314[[#This Row],[début]],deb_nuit))-IF(Horaires3567314[[#This Row],[PNP Début]]=0,0,MIN(Horaires3567314[[#This Row],[PNP Fin corrigée]],fin_nuit)-MAX(Horaires3567314[[#This Row],[PNP Début corrigé]],deb_nuit)))*24</f>
        <v>0</v>
      </c>
      <c r="P37" s="62">
        <f>(IF(WEEKDAY(Horaires3567314[[#This Row],[Date]],2)=7,MAX(0,MIN(fin_dimJF,Horaires3567314[[#This Row],[Fin corrigée si nuit]])-MAX(deb_dimJF,Horaires3567314[[#This Row],[début]])),0)+IF(WEEKDAY(Horaires3567314[[#This Row],[Date]],2)=6,MAX(0,Horaires3567314[[#This Row],[Fin corrigée si nuit]]-(1+deb_dimJF)),0))*24</f>
        <v>0</v>
      </c>
      <c r="Q37"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7" s="62">
        <f>(IF(COUNTIF(JF,Horaires3567314[[#This Row],[Date]]),MAX(0,MIN(fin_dimJF,Horaires3567314[[#This Row],[Fin corrigée si nuit]])-MAX(deb_dimJF,Horaires3567314[[#This Row],[début]])),0)+IF(COUNTIF(JF,Horaires3567314[[#This Row],[Date]]+1),MAX(0,Horaires3567314[[#This Row],[Fin corrigée si nuit]]-(1+deb_dimJF)),0))*24</f>
        <v>0</v>
      </c>
      <c r="S37"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8" spans="1:19" x14ac:dyDescent="0.35">
      <c r="A38" s="9"/>
      <c r="B38" s="1"/>
      <c r="C38" s="2"/>
      <c r="D38" s="2"/>
      <c r="E38" s="3"/>
      <c r="F38" s="3"/>
      <c r="G38" s="3"/>
      <c r="H38" s="3"/>
      <c r="I38" s="57">
        <f>0.1*(Horaires3567314[[#This Row],[Heures de nuit]]+Horaires3567314[[#This Row],[heures jour dimanche]]+Horaires3567314[[#This Row],[heures jour fériés]])</f>
        <v>0</v>
      </c>
      <c r="J38" s="58">
        <f>(MOD(Horaires3567314[[#This Row],[Fin]]-Horaires3567314[[#This Row],[début]],1)-MOD(Horaires3567314[[#This Row],[PNP Fin]]-Horaires3567314[[#This Row],[PNP Début]],1))*24</f>
        <v>0</v>
      </c>
      <c r="K38" s="59">
        <f>IF(Horaires3567314[[#This Row],[PNP Début]]=0,0,IF(Horaires3567314[[#This Row],[PNP Début]]&lt;Horaires3567314[[#This Row],[début]],1,0)+Horaires3567314[[#This Row],[PNP Début]])</f>
        <v>0</v>
      </c>
      <c r="L38" s="60">
        <f>IF(Horaires3567314[[#This Row],[PNP Fin]]=0,0,IF(Horaires3567314[[#This Row],[PNP Fin]]&lt;Horaires3567314[[#This Row],[début]],1,0)+Horaires3567314[[#This Row],[PNP Fin]])</f>
        <v>0</v>
      </c>
      <c r="M38" s="60">
        <f>IF(Horaires3567314[[#This Row],[Fin]]&lt;Horaires3567314[[#This Row],[début]],1,0)+Horaires3567314[[#This Row],[Fin]]</f>
        <v>0</v>
      </c>
      <c r="N38" s="61">
        <f>MAX(0,MIN(Horaires3567314[[#This Row],[Fin corrigée si nuit]],fin_nuit)-MAX(Horaires3567314[[#This Row],[début]],deb_nuit))*24</f>
        <v>0</v>
      </c>
      <c r="O38" s="62">
        <f>(MAX(0,MIN(Horaires3567314[[#This Row],[Fin corrigée si nuit]],fin_nuit)-MAX(Horaires3567314[[#This Row],[début]],deb_nuit))-IF(Horaires3567314[[#This Row],[PNP Début]]=0,0,MIN(Horaires3567314[[#This Row],[PNP Fin corrigée]],fin_nuit)-MAX(Horaires3567314[[#This Row],[PNP Début corrigé]],deb_nuit)))*24</f>
        <v>0</v>
      </c>
      <c r="P38" s="62">
        <f>(IF(WEEKDAY(Horaires3567314[[#This Row],[Date]],2)=7,MAX(0,MIN(fin_dimJF,Horaires3567314[[#This Row],[Fin corrigée si nuit]])-MAX(deb_dimJF,Horaires3567314[[#This Row],[début]])),0)+IF(WEEKDAY(Horaires3567314[[#This Row],[Date]],2)=6,MAX(0,Horaires3567314[[#This Row],[Fin corrigée si nuit]]-(1+deb_dimJF)),0))*24</f>
        <v>0</v>
      </c>
      <c r="Q38"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8" s="62">
        <f>(IF(COUNTIF(JF,Horaires3567314[[#This Row],[Date]]),MAX(0,MIN(fin_dimJF,Horaires3567314[[#This Row],[Fin corrigée si nuit]])-MAX(deb_dimJF,Horaires3567314[[#This Row],[début]])),0)+IF(COUNTIF(JF,Horaires3567314[[#This Row],[Date]]+1),MAX(0,Horaires3567314[[#This Row],[Fin corrigée si nuit]]-(1+deb_dimJF)),0))*24</f>
        <v>0</v>
      </c>
      <c r="S38"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39" spans="1:19" x14ac:dyDescent="0.35">
      <c r="A39" s="9"/>
      <c r="B39" s="1"/>
      <c r="C39" s="2"/>
      <c r="D39" s="2"/>
      <c r="E39" s="3"/>
      <c r="F39" s="3"/>
      <c r="G39" s="3"/>
      <c r="H39" s="3"/>
      <c r="I39" s="57">
        <f>0.1*(Horaires3567314[[#This Row],[Heures de nuit]]+Horaires3567314[[#This Row],[heures jour dimanche]]+Horaires3567314[[#This Row],[heures jour fériés]])</f>
        <v>0</v>
      </c>
      <c r="J39" s="58">
        <f>(MOD(Horaires3567314[[#This Row],[Fin]]-Horaires3567314[[#This Row],[début]],1)-MOD(Horaires3567314[[#This Row],[PNP Fin]]-Horaires3567314[[#This Row],[PNP Début]],1))*24</f>
        <v>0</v>
      </c>
      <c r="K39" s="59">
        <f>IF(Horaires3567314[[#This Row],[PNP Début]]=0,0,IF(Horaires3567314[[#This Row],[PNP Début]]&lt;Horaires3567314[[#This Row],[début]],1,0)+Horaires3567314[[#This Row],[PNP Début]])</f>
        <v>0</v>
      </c>
      <c r="L39" s="60">
        <f>IF(Horaires3567314[[#This Row],[PNP Fin]]=0,0,IF(Horaires3567314[[#This Row],[PNP Fin]]&lt;Horaires3567314[[#This Row],[début]],1,0)+Horaires3567314[[#This Row],[PNP Fin]])</f>
        <v>0</v>
      </c>
      <c r="M39" s="60">
        <f>IF(Horaires3567314[[#This Row],[Fin]]&lt;Horaires3567314[[#This Row],[début]],1,0)+Horaires3567314[[#This Row],[Fin]]</f>
        <v>0</v>
      </c>
      <c r="N39" s="61">
        <f>MAX(0,MIN(Horaires3567314[[#This Row],[Fin corrigée si nuit]],fin_nuit)-MAX(Horaires3567314[[#This Row],[début]],deb_nuit))*24</f>
        <v>0</v>
      </c>
      <c r="O39" s="62">
        <f>(MAX(0,MIN(Horaires3567314[[#This Row],[Fin corrigée si nuit]],fin_nuit)-MAX(Horaires3567314[[#This Row],[début]],deb_nuit))-IF(Horaires3567314[[#This Row],[PNP Début]]=0,0,MIN(Horaires3567314[[#This Row],[PNP Fin corrigée]],fin_nuit)-MAX(Horaires3567314[[#This Row],[PNP Début corrigé]],deb_nuit)))*24</f>
        <v>0</v>
      </c>
      <c r="P39" s="62">
        <f>(IF(WEEKDAY(Horaires3567314[[#This Row],[Date]],2)=7,MAX(0,MIN(fin_dimJF,Horaires3567314[[#This Row],[Fin corrigée si nuit]])-MAX(deb_dimJF,Horaires3567314[[#This Row],[début]])),0)+IF(WEEKDAY(Horaires3567314[[#This Row],[Date]],2)=6,MAX(0,Horaires3567314[[#This Row],[Fin corrigée si nuit]]-(1+deb_dimJF)),0))*24</f>
        <v>0</v>
      </c>
      <c r="Q39"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39" s="62">
        <f>(IF(COUNTIF(JF,Horaires3567314[[#This Row],[Date]]),MAX(0,MIN(fin_dimJF,Horaires3567314[[#This Row],[Fin corrigée si nuit]])-MAX(deb_dimJF,Horaires3567314[[#This Row],[début]])),0)+IF(COUNTIF(JF,Horaires3567314[[#This Row],[Date]]+1),MAX(0,Horaires3567314[[#This Row],[Fin corrigée si nuit]]-(1+deb_dimJF)),0))*24</f>
        <v>0</v>
      </c>
      <c r="S39"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0" spans="1:19" x14ac:dyDescent="0.35">
      <c r="A40" s="9"/>
      <c r="B40" s="1"/>
      <c r="C40" s="2"/>
      <c r="D40" s="2"/>
      <c r="E40" s="3"/>
      <c r="F40" s="3"/>
      <c r="G40" s="3"/>
      <c r="H40" s="3"/>
      <c r="I40" s="57">
        <f>0.1*(Horaires3567314[[#This Row],[Heures de nuit]]+Horaires3567314[[#This Row],[heures jour dimanche]]+Horaires3567314[[#This Row],[heures jour fériés]])</f>
        <v>0</v>
      </c>
      <c r="J40" s="58">
        <f>(MOD(Horaires3567314[[#This Row],[Fin]]-Horaires3567314[[#This Row],[début]],1)-MOD(Horaires3567314[[#This Row],[PNP Fin]]-Horaires3567314[[#This Row],[PNP Début]],1))*24</f>
        <v>0</v>
      </c>
      <c r="K40" s="59">
        <f>IF(Horaires3567314[[#This Row],[PNP Début]]=0,0,IF(Horaires3567314[[#This Row],[PNP Début]]&lt;Horaires3567314[[#This Row],[début]],1,0)+Horaires3567314[[#This Row],[PNP Début]])</f>
        <v>0</v>
      </c>
      <c r="L40" s="60">
        <f>IF(Horaires3567314[[#This Row],[PNP Fin]]=0,0,IF(Horaires3567314[[#This Row],[PNP Fin]]&lt;Horaires3567314[[#This Row],[début]],1,0)+Horaires3567314[[#This Row],[PNP Fin]])</f>
        <v>0</v>
      </c>
      <c r="M40" s="60">
        <f>IF(Horaires3567314[[#This Row],[Fin]]&lt;Horaires3567314[[#This Row],[début]],1,0)+Horaires3567314[[#This Row],[Fin]]</f>
        <v>0</v>
      </c>
      <c r="N40" s="61">
        <f>MAX(0,MIN(Horaires3567314[[#This Row],[Fin corrigée si nuit]],fin_nuit)-MAX(Horaires3567314[[#This Row],[début]],deb_nuit))*24</f>
        <v>0</v>
      </c>
      <c r="O40" s="62">
        <f>(MAX(0,MIN(Horaires3567314[[#This Row],[Fin corrigée si nuit]],fin_nuit)-MAX(Horaires3567314[[#This Row],[début]],deb_nuit))-IF(Horaires3567314[[#This Row],[PNP Début]]=0,0,MIN(Horaires3567314[[#This Row],[PNP Fin corrigée]],fin_nuit)-MAX(Horaires3567314[[#This Row],[PNP Début corrigé]],deb_nuit)))*24</f>
        <v>0</v>
      </c>
      <c r="P40" s="62">
        <f>(IF(WEEKDAY(Horaires3567314[[#This Row],[Date]],2)=7,MAX(0,MIN(fin_dimJF,Horaires3567314[[#This Row],[Fin corrigée si nuit]])-MAX(deb_dimJF,Horaires3567314[[#This Row],[début]])),0)+IF(WEEKDAY(Horaires3567314[[#This Row],[Date]],2)=6,MAX(0,Horaires3567314[[#This Row],[Fin corrigée si nuit]]-(1+deb_dimJF)),0))*24</f>
        <v>0</v>
      </c>
      <c r="Q40"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0" s="62">
        <f>(IF(COUNTIF(JF,Horaires3567314[[#This Row],[Date]]),MAX(0,MIN(fin_dimJF,Horaires3567314[[#This Row],[Fin corrigée si nuit]])-MAX(deb_dimJF,Horaires3567314[[#This Row],[début]])),0)+IF(COUNTIF(JF,Horaires3567314[[#This Row],[Date]]+1),MAX(0,Horaires3567314[[#This Row],[Fin corrigée si nuit]]-(1+deb_dimJF)),0))*24</f>
        <v>0</v>
      </c>
      <c r="S40"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1" spans="1:19" x14ac:dyDescent="0.35">
      <c r="A41" s="9"/>
      <c r="B41" s="1"/>
      <c r="C41" s="2"/>
      <c r="D41" s="2"/>
      <c r="E41" s="3"/>
      <c r="F41" s="3"/>
      <c r="G41" s="3"/>
      <c r="H41" s="3"/>
      <c r="I41" s="57">
        <f>0.1*(Horaires3567314[[#This Row],[Heures de nuit]]+Horaires3567314[[#This Row],[heures jour dimanche]]+Horaires3567314[[#This Row],[heures jour fériés]])</f>
        <v>0</v>
      </c>
      <c r="J41" s="58">
        <f>(MOD(Horaires3567314[[#This Row],[Fin]]-Horaires3567314[[#This Row],[début]],1)-MOD(Horaires3567314[[#This Row],[PNP Fin]]-Horaires3567314[[#This Row],[PNP Début]],1))*24</f>
        <v>0</v>
      </c>
      <c r="K41" s="59">
        <f>IF(Horaires3567314[[#This Row],[PNP Début]]=0,0,IF(Horaires3567314[[#This Row],[PNP Début]]&lt;Horaires3567314[[#This Row],[début]],1,0)+Horaires3567314[[#This Row],[PNP Début]])</f>
        <v>0</v>
      </c>
      <c r="L41" s="60">
        <f>IF(Horaires3567314[[#This Row],[PNP Fin]]=0,0,IF(Horaires3567314[[#This Row],[PNP Fin]]&lt;Horaires3567314[[#This Row],[début]],1,0)+Horaires3567314[[#This Row],[PNP Fin]])</f>
        <v>0</v>
      </c>
      <c r="M41" s="60">
        <f>IF(Horaires3567314[[#This Row],[Fin]]&lt;Horaires3567314[[#This Row],[début]],1,0)+Horaires3567314[[#This Row],[Fin]]</f>
        <v>0</v>
      </c>
      <c r="N41" s="61">
        <f>MAX(0,MIN(Horaires3567314[[#This Row],[Fin corrigée si nuit]],fin_nuit)-MAX(Horaires3567314[[#This Row],[début]],deb_nuit))*24</f>
        <v>0</v>
      </c>
      <c r="O41" s="62">
        <f>(MAX(0,MIN(Horaires3567314[[#This Row],[Fin corrigée si nuit]],fin_nuit)-MAX(Horaires3567314[[#This Row],[début]],deb_nuit))-IF(Horaires3567314[[#This Row],[PNP Début]]=0,0,MIN(Horaires3567314[[#This Row],[PNP Fin corrigée]],fin_nuit)-MAX(Horaires3567314[[#This Row],[PNP Début corrigé]],deb_nuit)))*24</f>
        <v>0</v>
      </c>
      <c r="P41" s="62">
        <f>(IF(WEEKDAY(Horaires3567314[[#This Row],[Date]],2)=7,MAX(0,MIN(fin_dimJF,Horaires3567314[[#This Row],[Fin corrigée si nuit]])-MAX(deb_dimJF,Horaires3567314[[#This Row],[début]])),0)+IF(WEEKDAY(Horaires3567314[[#This Row],[Date]],2)=6,MAX(0,Horaires3567314[[#This Row],[Fin corrigée si nuit]]-(1+deb_dimJF)),0))*24</f>
        <v>0</v>
      </c>
      <c r="Q41"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1" s="62">
        <f>(IF(COUNTIF(JF,Horaires3567314[[#This Row],[Date]]),MAX(0,MIN(fin_dimJF,Horaires3567314[[#This Row],[Fin corrigée si nuit]])-MAX(deb_dimJF,Horaires3567314[[#This Row],[début]])),0)+IF(COUNTIF(JF,Horaires3567314[[#This Row],[Date]]+1),MAX(0,Horaires3567314[[#This Row],[Fin corrigée si nuit]]-(1+deb_dimJF)),0))*24</f>
        <v>0</v>
      </c>
      <c r="S41"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2" spans="1:19" x14ac:dyDescent="0.35">
      <c r="A42" s="9"/>
      <c r="B42" s="1"/>
      <c r="C42" s="2"/>
      <c r="D42" s="2"/>
      <c r="E42" s="3"/>
      <c r="F42" s="3"/>
      <c r="G42" s="3"/>
      <c r="H42" s="3"/>
      <c r="I42" s="57">
        <f>0.1*(Horaires3567314[[#This Row],[Heures de nuit]]+Horaires3567314[[#This Row],[heures jour dimanche]]+Horaires3567314[[#This Row],[heures jour fériés]])</f>
        <v>0</v>
      </c>
      <c r="J42" s="58">
        <f>(MOD(Horaires3567314[[#This Row],[Fin]]-Horaires3567314[[#This Row],[début]],1)-MOD(Horaires3567314[[#This Row],[PNP Fin]]-Horaires3567314[[#This Row],[PNP Début]],1))*24</f>
        <v>0</v>
      </c>
      <c r="K42" s="59">
        <f>IF(Horaires3567314[[#This Row],[PNP Début]]=0,0,IF(Horaires3567314[[#This Row],[PNP Début]]&lt;Horaires3567314[[#This Row],[début]],1,0)+Horaires3567314[[#This Row],[PNP Début]])</f>
        <v>0</v>
      </c>
      <c r="L42" s="60">
        <f>IF(Horaires3567314[[#This Row],[PNP Fin]]=0,0,IF(Horaires3567314[[#This Row],[PNP Fin]]&lt;Horaires3567314[[#This Row],[début]],1,0)+Horaires3567314[[#This Row],[PNP Fin]])</f>
        <v>0</v>
      </c>
      <c r="M42" s="60">
        <f>IF(Horaires3567314[[#This Row],[Fin]]&lt;Horaires3567314[[#This Row],[début]],1,0)+Horaires3567314[[#This Row],[Fin]]</f>
        <v>0</v>
      </c>
      <c r="N42" s="61">
        <f>MAX(0,MIN(Horaires3567314[[#This Row],[Fin corrigée si nuit]],fin_nuit)-MAX(Horaires3567314[[#This Row],[début]],deb_nuit))*24</f>
        <v>0</v>
      </c>
      <c r="O42" s="62">
        <f>(MAX(0,MIN(Horaires3567314[[#This Row],[Fin corrigée si nuit]],fin_nuit)-MAX(Horaires3567314[[#This Row],[début]],deb_nuit))-IF(Horaires3567314[[#This Row],[PNP Début]]=0,0,MIN(Horaires3567314[[#This Row],[PNP Fin corrigée]],fin_nuit)-MAX(Horaires3567314[[#This Row],[PNP Début corrigé]],deb_nuit)))*24</f>
        <v>0</v>
      </c>
      <c r="P42" s="62">
        <f>(IF(WEEKDAY(Horaires3567314[[#This Row],[Date]],2)=7,MAX(0,MIN(fin_dimJF,Horaires3567314[[#This Row],[Fin corrigée si nuit]])-MAX(deb_dimJF,Horaires3567314[[#This Row],[début]])),0)+IF(WEEKDAY(Horaires3567314[[#This Row],[Date]],2)=6,MAX(0,Horaires3567314[[#This Row],[Fin corrigée si nuit]]-(1+deb_dimJF)),0))*24</f>
        <v>0</v>
      </c>
      <c r="Q42"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2" s="62">
        <f>(IF(COUNTIF(JF,Horaires3567314[[#This Row],[Date]]),MAX(0,MIN(fin_dimJF,Horaires3567314[[#This Row],[Fin corrigée si nuit]])-MAX(deb_dimJF,Horaires3567314[[#This Row],[début]])),0)+IF(COUNTIF(JF,Horaires3567314[[#This Row],[Date]]+1),MAX(0,Horaires3567314[[#This Row],[Fin corrigée si nuit]]-(1+deb_dimJF)),0))*24</f>
        <v>0</v>
      </c>
      <c r="S42"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3" spans="1:19" x14ac:dyDescent="0.35">
      <c r="A43" s="9"/>
      <c r="B43" s="1"/>
      <c r="C43" s="2"/>
      <c r="D43" s="2"/>
      <c r="E43" s="3"/>
      <c r="F43" s="3"/>
      <c r="G43" s="3"/>
      <c r="H43" s="3"/>
      <c r="I43" s="57">
        <f>0.1*(Horaires3567314[[#This Row],[Heures de nuit]]+Horaires3567314[[#This Row],[heures jour dimanche]]+Horaires3567314[[#This Row],[heures jour fériés]])</f>
        <v>0</v>
      </c>
      <c r="J43" s="58">
        <f>(MOD(Horaires3567314[[#This Row],[Fin]]-Horaires3567314[[#This Row],[début]],1)-MOD(Horaires3567314[[#This Row],[PNP Fin]]-Horaires3567314[[#This Row],[PNP Début]],1))*24</f>
        <v>0</v>
      </c>
      <c r="K43" s="59">
        <f>IF(Horaires3567314[[#This Row],[PNP Début]]=0,0,IF(Horaires3567314[[#This Row],[PNP Début]]&lt;Horaires3567314[[#This Row],[début]],1,0)+Horaires3567314[[#This Row],[PNP Début]])</f>
        <v>0</v>
      </c>
      <c r="L43" s="60">
        <f>IF(Horaires3567314[[#This Row],[PNP Fin]]=0,0,IF(Horaires3567314[[#This Row],[PNP Fin]]&lt;Horaires3567314[[#This Row],[début]],1,0)+Horaires3567314[[#This Row],[PNP Fin]])</f>
        <v>0</v>
      </c>
      <c r="M43" s="60">
        <f>IF(Horaires3567314[[#This Row],[Fin]]&lt;Horaires3567314[[#This Row],[début]],1,0)+Horaires3567314[[#This Row],[Fin]]</f>
        <v>0</v>
      </c>
      <c r="N43" s="61">
        <f>MAX(0,MIN(Horaires3567314[[#This Row],[Fin corrigée si nuit]],fin_nuit)-MAX(Horaires3567314[[#This Row],[début]],deb_nuit))*24</f>
        <v>0</v>
      </c>
      <c r="O43" s="62">
        <f>(MAX(0,MIN(Horaires3567314[[#This Row],[Fin corrigée si nuit]],fin_nuit)-MAX(Horaires3567314[[#This Row],[début]],deb_nuit))-IF(Horaires3567314[[#This Row],[PNP Début]]=0,0,MIN(Horaires3567314[[#This Row],[PNP Fin corrigée]],fin_nuit)-MAX(Horaires3567314[[#This Row],[PNP Début corrigé]],deb_nuit)))*24</f>
        <v>0</v>
      </c>
      <c r="P43" s="62">
        <f>(IF(WEEKDAY(Horaires3567314[[#This Row],[Date]],2)=7,MAX(0,MIN(fin_dimJF,Horaires3567314[[#This Row],[Fin corrigée si nuit]])-MAX(deb_dimJF,Horaires3567314[[#This Row],[début]])),0)+IF(WEEKDAY(Horaires3567314[[#This Row],[Date]],2)=6,MAX(0,Horaires3567314[[#This Row],[Fin corrigée si nuit]]-(1+deb_dimJF)),0))*24</f>
        <v>0</v>
      </c>
      <c r="Q43"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3" s="62">
        <f>(IF(COUNTIF(JF,Horaires3567314[[#This Row],[Date]]),MAX(0,MIN(fin_dimJF,Horaires3567314[[#This Row],[Fin corrigée si nuit]])-MAX(deb_dimJF,Horaires3567314[[#This Row],[début]])),0)+IF(COUNTIF(JF,Horaires3567314[[#This Row],[Date]]+1),MAX(0,Horaires3567314[[#This Row],[Fin corrigée si nuit]]-(1+deb_dimJF)),0))*24</f>
        <v>0</v>
      </c>
      <c r="S43"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4" spans="1:19" x14ac:dyDescent="0.35">
      <c r="A44" s="9"/>
      <c r="B44" s="1"/>
      <c r="C44" s="2"/>
      <c r="D44" s="2"/>
      <c r="E44" s="3"/>
      <c r="F44" s="3"/>
      <c r="G44" s="3"/>
      <c r="H44" s="3"/>
      <c r="I44" s="57">
        <f>0.1*(Horaires3567314[[#This Row],[Heures de nuit]]+Horaires3567314[[#This Row],[heures jour dimanche]]+Horaires3567314[[#This Row],[heures jour fériés]])</f>
        <v>0</v>
      </c>
      <c r="J44" s="58">
        <f>(MOD(Horaires3567314[[#This Row],[Fin]]-Horaires3567314[[#This Row],[début]],1)-MOD(Horaires3567314[[#This Row],[PNP Fin]]-Horaires3567314[[#This Row],[PNP Début]],1))*24</f>
        <v>0</v>
      </c>
      <c r="K44" s="59">
        <f>IF(Horaires3567314[[#This Row],[PNP Début]]=0,0,IF(Horaires3567314[[#This Row],[PNP Début]]&lt;Horaires3567314[[#This Row],[début]],1,0)+Horaires3567314[[#This Row],[PNP Début]])</f>
        <v>0</v>
      </c>
      <c r="L44" s="60">
        <f>IF(Horaires3567314[[#This Row],[PNP Fin]]=0,0,IF(Horaires3567314[[#This Row],[PNP Fin]]&lt;Horaires3567314[[#This Row],[début]],1,0)+Horaires3567314[[#This Row],[PNP Fin]])</f>
        <v>0</v>
      </c>
      <c r="M44" s="60">
        <f>IF(Horaires3567314[[#This Row],[Fin]]&lt;Horaires3567314[[#This Row],[début]],1,0)+Horaires3567314[[#This Row],[Fin]]</f>
        <v>0</v>
      </c>
      <c r="N44" s="61">
        <f>MAX(0,MIN(Horaires3567314[[#This Row],[Fin corrigée si nuit]],fin_nuit)-MAX(Horaires3567314[[#This Row],[début]],deb_nuit))*24</f>
        <v>0</v>
      </c>
      <c r="O44" s="62">
        <f>(MAX(0,MIN(Horaires3567314[[#This Row],[Fin corrigée si nuit]],fin_nuit)-MAX(Horaires3567314[[#This Row],[début]],deb_nuit))-IF(Horaires3567314[[#This Row],[PNP Début]]=0,0,MIN(Horaires3567314[[#This Row],[PNP Fin corrigée]],fin_nuit)-MAX(Horaires3567314[[#This Row],[PNP Début corrigé]],deb_nuit)))*24</f>
        <v>0</v>
      </c>
      <c r="P44" s="62">
        <f>(IF(WEEKDAY(Horaires3567314[[#This Row],[Date]],2)=7,MAX(0,MIN(fin_dimJF,Horaires3567314[[#This Row],[Fin corrigée si nuit]])-MAX(deb_dimJF,Horaires3567314[[#This Row],[début]])),0)+IF(WEEKDAY(Horaires3567314[[#This Row],[Date]],2)=6,MAX(0,Horaires3567314[[#This Row],[Fin corrigée si nuit]]-(1+deb_dimJF)),0))*24</f>
        <v>0</v>
      </c>
      <c r="Q44"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4" s="62">
        <f>(IF(COUNTIF(JF,Horaires3567314[[#This Row],[Date]]),MAX(0,MIN(fin_dimJF,Horaires3567314[[#This Row],[Fin corrigée si nuit]])-MAX(deb_dimJF,Horaires3567314[[#This Row],[début]])),0)+IF(COUNTIF(JF,Horaires3567314[[#This Row],[Date]]+1),MAX(0,Horaires3567314[[#This Row],[Fin corrigée si nuit]]-(1+deb_dimJF)),0))*24</f>
        <v>0</v>
      </c>
      <c r="S44"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5" spans="1:19" x14ac:dyDescent="0.35">
      <c r="A45" s="9"/>
      <c r="B45" s="1"/>
      <c r="C45" s="2"/>
      <c r="D45" s="2"/>
      <c r="E45" s="3"/>
      <c r="F45" s="3"/>
      <c r="G45" s="3"/>
      <c r="H45" s="3"/>
      <c r="I45" s="57">
        <f>0.1*(Horaires3567314[[#This Row],[Heures de nuit]]+Horaires3567314[[#This Row],[heures jour dimanche]]+Horaires3567314[[#This Row],[heures jour fériés]])</f>
        <v>0</v>
      </c>
      <c r="J45" s="58">
        <f>(MOD(Horaires3567314[[#This Row],[Fin]]-Horaires3567314[[#This Row],[début]],1)-MOD(Horaires3567314[[#This Row],[PNP Fin]]-Horaires3567314[[#This Row],[PNP Début]],1))*24</f>
        <v>0</v>
      </c>
      <c r="K45" s="59">
        <f>IF(Horaires3567314[[#This Row],[PNP Début]]=0,0,IF(Horaires3567314[[#This Row],[PNP Début]]&lt;Horaires3567314[[#This Row],[début]],1,0)+Horaires3567314[[#This Row],[PNP Début]])</f>
        <v>0</v>
      </c>
      <c r="L45" s="60">
        <f>IF(Horaires3567314[[#This Row],[PNP Fin]]=0,0,IF(Horaires3567314[[#This Row],[PNP Fin]]&lt;Horaires3567314[[#This Row],[début]],1,0)+Horaires3567314[[#This Row],[PNP Fin]])</f>
        <v>0</v>
      </c>
      <c r="M45" s="60">
        <f>IF(Horaires3567314[[#This Row],[Fin]]&lt;Horaires3567314[[#This Row],[début]],1,0)+Horaires3567314[[#This Row],[Fin]]</f>
        <v>0</v>
      </c>
      <c r="N45" s="61">
        <f>MAX(0,MIN(Horaires3567314[[#This Row],[Fin corrigée si nuit]],fin_nuit)-MAX(Horaires3567314[[#This Row],[début]],deb_nuit))*24</f>
        <v>0</v>
      </c>
      <c r="O45" s="62">
        <f>(MAX(0,MIN(Horaires3567314[[#This Row],[Fin corrigée si nuit]],fin_nuit)-MAX(Horaires3567314[[#This Row],[début]],deb_nuit))-IF(Horaires3567314[[#This Row],[PNP Début]]=0,0,MIN(Horaires3567314[[#This Row],[PNP Fin corrigée]],fin_nuit)-MAX(Horaires3567314[[#This Row],[PNP Début corrigé]],deb_nuit)))*24</f>
        <v>0</v>
      </c>
      <c r="P45" s="62">
        <f>(IF(WEEKDAY(Horaires3567314[[#This Row],[Date]],2)=7,MAX(0,MIN(fin_dimJF,Horaires3567314[[#This Row],[Fin corrigée si nuit]])-MAX(deb_dimJF,Horaires3567314[[#This Row],[début]])),0)+IF(WEEKDAY(Horaires3567314[[#This Row],[Date]],2)=6,MAX(0,Horaires3567314[[#This Row],[Fin corrigée si nuit]]-(1+deb_dimJF)),0))*24</f>
        <v>0</v>
      </c>
      <c r="Q45"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5" s="62">
        <f>(IF(COUNTIF(JF,Horaires3567314[[#This Row],[Date]]),MAX(0,MIN(fin_dimJF,Horaires3567314[[#This Row],[Fin corrigée si nuit]])-MAX(deb_dimJF,Horaires3567314[[#This Row],[début]])),0)+IF(COUNTIF(JF,Horaires3567314[[#This Row],[Date]]+1),MAX(0,Horaires3567314[[#This Row],[Fin corrigée si nuit]]-(1+deb_dimJF)),0))*24</f>
        <v>0</v>
      </c>
      <c r="S45"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6" spans="1:19" x14ac:dyDescent="0.35">
      <c r="A46" s="9"/>
      <c r="B46" s="1"/>
      <c r="C46" s="2"/>
      <c r="D46" s="2"/>
      <c r="E46" s="3"/>
      <c r="F46" s="3"/>
      <c r="G46" s="3"/>
      <c r="H46" s="3"/>
      <c r="I46" s="57">
        <f>0.1*(Horaires3567314[[#This Row],[Heures de nuit]]+Horaires3567314[[#This Row],[heures jour dimanche]]+Horaires3567314[[#This Row],[heures jour fériés]])</f>
        <v>0</v>
      </c>
      <c r="J46" s="58">
        <f>(MOD(Horaires3567314[[#This Row],[Fin]]-Horaires3567314[[#This Row],[début]],1)-MOD(Horaires3567314[[#This Row],[PNP Fin]]-Horaires3567314[[#This Row],[PNP Début]],1))*24</f>
        <v>0</v>
      </c>
      <c r="K46" s="59">
        <f>IF(Horaires3567314[[#This Row],[PNP Début]]=0,0,IF(Horaires3567314[[#This Row],[PNP Début]]&lt;Horaires3567314[[#This Row],[début]],1,0)+Horaires3567314[[#This Row],[PNP Début]])</f>
        <v>0</v>
      </c>
      <c r="L46" s="60">
        <f>IF(Horaires3567314[[#This Row],[PNP Fin]]=0,0,IF(Horaires3567314[[#This Row],[PNP Fin]]&lt;Horaires3567314[[#This Row],[début]],1,0)+Horaires3567314[[#This Row],[PNP Fin]])</f>
        <v>0</v>
      </c>
      <c r="M46" s="60">
        <f>IF(Horaires3567314[[#This Row],[Fin]]&lt;Horaires3567314[[#This Row],[début]],1,0)+Horaires3567314[[#This Row],[Fin]]</f>
        <v>0</v>
      </c>
      <c r="N46" s="61">
        <f>MAX(0,MIN(Horaires3567314[[#This Row],[Fin corrigée si nuit]],fin_nuit)-MAX(Horaires3567314[[#This Row],[début]],deb_nuit))*24</f>
        <v>0</v>
      </c>
      <c r="O46" s="62">
        <f>(MAX(0,MIN(Horaires3567314[[#This Row],[Fin corrigée si nuit]],fin_nuit)-MAX(Horaires3567314[[#This Row],[début]],deb_nuit))-IF(Horaires3567314[[#This Row],[PNP Début]]=0,0,MIN(Horaires3567314[[#This Row],[PNP Fin corrigée]],fin_nuit)-MAX(Horaires3567314[[#This Row],[PNP Début corrigé]],deb_nuit)))*24</f>
        <v>0</v>
      </c>
      <c r="P46" s="62">
        <f>(IF(WEEKDAY(Horaires3567314[[#This Row],[Date]],2)=7,MAX(0,MIN(fin_dimJF,Horaires3567314[[#This Row],[Fin corrigée si nuit]])-MAX(deb_dimJF,Horaires3567314[[#This Row],[début]])),0)+IF(WEEKDAY(Horaires3567314[[#This Row],[Date]],2)=6,MAX(0,Horaires3567314[[#This Row],[Fin corrigée si nuit]]-(1+deb_dimJF)),0))*24</f>
        <v>0</v>
      </c>
      <c r="Q46"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6" s="62">
        <f>(IF(COUNTIF(JF,Horaires3567314[[#This Row],[Date]]),MAX(0,MIN(fin_dimJF,Horaires3567314[[#This Row],[Fin corrigée si nuit]])-MAX(deb_dimJF,Horaires3567314[[#This Row],[début]])),0)+IF(COUNTIF(JF,Horaires3567314[[#This Row],[Date]]+1),MAX(0,Horaires3567314[[#This Row],[Fin corrigée si nuit]]-(1+deb_dimJF)),0))*24</f>
        <v>0</v>
      </c>
      <c r="S46"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7" spans="1:19" x14ac:dyDescent="0.35">
      <c r="A47" s="9"/>
      <c r="B47" s="1"/>
      <c r="C47" s="2"/>
      <c r="D47" s="2"/>
      <c r="E47" s="3"/>
      <c r="F47" s="3"/>
      <c r="G47" s="3"/>
      <c r="H47" s="3"/>
      <c r="I47" s="57">
        <f>0.1*(Horaires3567314[[#This Row],[Heures de nuit]]+Horaires3567314[[#This Row],[heures jour dimanche]]+Horaires3567314[[#This Row],[heures jour fériés]])</f>
        <v>0</v>
      </c>
      <c r="J47" s="58">
        <f>(MOD(Horaires3567314[[#This Row],[Fin]]-Horaires3567314[[#This Row],[début]],1)-MOD(Horaires3567314[[#This Row],[PNP Fin]]-Horaires3567314[[#This Row],[PNP Début]],1))*24</f>
        <v>0</v>
      </c>
      <c r="K47" s="59">
        <f>IF(Horaires3567314[[#This Row],[PNP Début]]=0,0,IF(Horaires3567314[[#This Row],[PNP Début]]&lt;Horaires3567314[[#This Row],[début]],1,0)+Horaires3567314[[#This Row],[PNP Début]])</f>
        <v>0</v>
      </c>
      <c r="L47" s="60">
        <f>IF(Horaires3567314[[#This Row],[PNP Fin]]=0,0,IF(Horaires3567314[[#This Row],[PNP Fin]]&lt;Horaires3567314[[#This Row],[début]],1,0)+Horaires3567314[[#This Row],[PNP Fin]])</f>
        <v>0</v>
      </c>
      <c r="M47" s="60">
        <f>IF(Horaires3567314[[#This Row],[Fin]]&lt;Horaires3567314[[#This Row],[début]],1,0)+Horaires3567314[[#This Row],[Fin]]</f>
        <v>0</v>
      </c>
      <c r="N47" s="61">
        <f>MAX(0,MIN(Horaires3567314[[#This Row],[Fin corrigée si nuit]],fin_nuit)-MAX(Horaires3567314[[#This Row],[début]],deb_nuit))*24</f>
        <v>0</v>
      </c>
      <c r="O47" s="62">
        <f>(MAX(0,MIN(Horaires3567314[[#This Row],[Fin corrigée si nuit]],fin_nuit)-MAX(Horaires3567314[[#This Row],[début]],deb_nuit))-IF(Horaires3567314[[#This Row],[PNP Début]]=0,0,MIN(Horaires3567314[[#This Row],[PNP Fin corrigée]],fin_nuit)-MAX(Horaires3567314[[#This Row],[PNP Début corrigé]],deb_nuit)))*24</f>
        <v>0</v>
      </c>
      <c r="P47" s="62">
        <f>(IF(WEEKDAY(Horaires3567314[[#This Row],[Date]],2)=7,MAX(0,MIN(fin_dimJF,Horaires3567314[[#This Row],[Fin corrigée si nuit]])-MAX(deb_dimJF,Horaires3567314[[#This Row],[début]])),0)+IF(WEEKDAY(Horaires3567314[[#This Row],[Date]],2)=6,MAX(0,Horaires3567314[[#This Row],[Fin corrigée si nuit]]-(1+deb_dimJF)),0))*24</f>
        <v>0</v>
      </c>
      <c r="Q47"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7" s="62">
        <f>(IF(COUNTIF(JF,Horaires3567314[[#This Row],[Date]]),MAX(0,MIN(fin_dimJF,Horaires3567314[[#This Row],[Fin corrigée si nuit]])-MAX(deb_dimJF,Horaires3567314[[#This Row],[début]])),0)+IF(COUNTIF(JF,Horaires3567314[[#This Row],[Date]]+1),MAX(0,Horaires3567314[[#This Row],[Fin corrigée si nuit]]-(1+deb_dimJF)),0))*24</f>
        <v>0</v>
      </c>
      <c r="S47"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8" spans="1:19" x14ac:dyDescent="0.35">
      <c r="A48" s="9"/>
      <c r="B48" s="1"/>
      <c r="C48" s="2"/>
      <c r="D48" s="2"/>
      <c r="E48" s="3"/>
      <c r="F48" s="3"/>
      <c r="G48" s="3"/>
      <c r="H48" s="3"/>
      <c r="I48" s="57">
        <f>0.1*(Horaires3567314[[#This Row],[Heures de nuit]]+Horaires3567314[[#This Row],[heures jour dimanche]]+Horaires3567314[[#This Row],[heures jour fériés]])</f>
        <v>0</v>
      </c>
      <c r="J48" s="58">
        <f>(MOD(Horaires3567314[[#This Row],[Fin]]-Horaires3567314[[#This Row],[début]],1)-MOD(Horaires3567314[[#This Row],[PNP Fin]]-Horaires3567314[[#This Row],[PNP Début]],1))*24</f>
        <v>0</v>
      </c>
      <c r="K48" s="59">
        <f>IF(Horaires3567314[[#This Row],[PNP Début]]=0,0,IF(Horaires3567314[[#This Row],[PNP Début]]&lt;Horaires3567314[[#This Row],[début]],1,0)+Horaires3567314[[#This Row],[PNP Début]])</f>
        <v>0</v>
      </c>
      <c r="L48" s="60">
        <f>IF(Horaires3567314[[#This Row],[PNP Fin]]=0,0,IF(Horaires3567314[[#This Row],[PNP Fin]]&lt;Horaires3567314[[#This Row],[début]],1,0)+Horaires3567314[[#This Row],[PNP Fin]])</f>
        <v>0</v>
      </c>
      <c r="M48" s="60">
        <f>IF(Horaires3567314[[#This Row],[Fin]]&lt;Horaires3567314[[#This Row],[début]],1,0)+Horaires3567314[[#This Row],[Fin]]</f>
        <v>0</v>
      </c>
      <c r="N48" s="61">
        <f>MAX(0,MIN(Horaires3567314[[#This Row],[Fin corrigée si nuit]],fin_nuit)-MAX(Horaires3567314[[#This Row],[début]],deb_nuit))*24</f>
        <v>0</v>
      </c>
      <c r="O48" s="62">
        <f>(MAX(0,MIN(Horaires3567314[[#This Row],[Fin corrigée si nuit]],fin_nuit)-MAX(Horaires3567314[[#This Row],[début]],deb_nuit))-IF(Horaires3567314[[#This Row],[PNP Début]]=0,0,MIN(Horaires3567314[[#This Row],[PNP Fin corrigée]],fin_nuit)-MAX(Horaires3567314[[#This Row],[PNP Début corrigé]],deb_nuit)))*24</f>
        <v>0</v>
      </c>
      <c r="P48" s="62">
        <f>(IF(WEEKDAY(Horaires3567314[[#This Row],[Date]],2)=7,MAX(0,MIN(fin_dimJF,Horaires3567314[[#This Row],[Fin corrigée si nuit]])-MAX(deb_dimJF,Horaires3567314[[#This Row],[début]])),0)+IF(WEEKDAY(Horaires3567314[[#This Row],[Date]],2)=6,MAX(0,Horaires3567314[[#This Row],[Fin corrigée si nuit]]-(1+deb_dimJF)),0))*24</f>
        <v>0</v>
      </c>
      <c r="Q48"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8" s="62">
        <f>(IF(COUNTIF(JF,Horaires3567314[[#This Row],[Date]]),MAX(0,MIN(fin_dimJF,Horaires3567314[[#This Row],[Fin corrigée si nuit]])-MAX(deb_dimJF,Horaires3567314[[#This Row],[début]])),0)+IF(COUNTIF(JF,Horaires3567314[[#This Row],[Date]]+1),MAX(0,Horaires3567314[[#This Row],[Fin corrigée si nuit]]-(1+deb_dimJF)),0))*24</f>
        <v>0</v>
      </c>
      <c r="S48"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49" spans="1:19" ht="15" thickBot="1" x14ac:dyDescent="0.4">
      <c r="A49" s="9"/>
      <c r="B49" s="1"/>
      <c r="C49" s="2"/>
      <c r="D49" s="2"/>
      <c r="E49" s="3"/>
      <c r="F49" s="3"/>
      <c r="G49" s="3"/>
      <c r="H49" s="3"/>
      <c r="I49" s="57">
        <f>0.1*(Horaires3567314[[#This Row],[Heures de nuit]]+Horaires3567314[[#This Row],[heures jour dimanche]]+Horaires3567314[[#This Row],[heures jour fériés]])</f>
        <v>0</v>
      </c>
      <c r="J49" s="58">
        <f>(MOD(Horaires3567314[[#This Row],[Fin]]-Horaires3567314[[#This Row],[début]],1)-MOD(Horaires3567314[[#This Row],[PNP Fin]]-Horaires3567314[[#This Row],[PNP Début]],1))*24</f>
        <v>0</v>
      </c>
      <c r="K49" s="59">
        <f>IF(Horaires3567314[[#This Row],[PNP Début]]=0,0,IF(Horaires3567314[[#This Row],[PNP Début]]&lt;Horaires3567314[[#This Row],[début]],1,0)+Horaires3567314[[#This Row],[PNP Début]])</f>
        <v>0</v>
      </c>
      <c r="L49" s="60">
        <f>IF(Horaires3567314[[#This Row],[PNP Fin]]=0,0,IF(Horaires3567314[[#This Row],[PNP Fin]]&lt;Horaires3567314[[#This Row],[début]],1,0)+Horaires3567314[[#This Row],[PNP Fin]])</f>
        <v>0</v>
      </c>
      <c r="M49" s="60">
        <f>IF(Horaires3567314[[#This Row],[Fin]]&lt;Horaires3567314[[#This Row],[début]],1,0)+Horaires3567314[[#This Row],[Fin]]</f>
        <v>0</v>
      </c>
      <c r="N49" s="61">
        <f>MAX(0,MIN(Horaires3567314[[#This Row],[Fin corrigée si nuit]],fin_nuit)-MAX(Horaires3567314[[#This Row],[début]],deb_nuit))*24</f>
        <v>0</v>
      </c>
      <c r="O49" s="62">
        <f>(MAX(0,MIN(Horaires3567314[[#This Row],[Fin corrigée si nuit]],fin_nuit)-MAX(Horaires3567314[[#This Row],[début]],deb_nuit))-IF(Horaires3567314[[#This Row],[PNP Début]]=0,0,MIN(Horaires3567314[[#This Row],[PNP Fin corrigée]],fin_nuit)-MAX(Horaires3567314[[#This Row],[PNP Début corrigé]],deb_nuit)))*24</f>
        <v>0</v>
      </c>
      <c r="P49" s="62">
        <f>(IF(WEEKDAY(Horaires3567314[[#This Row],[Date]],2)=7,MAX(0,MIN(fin_dimJF,Horaires3567314[[#This Row],[Fin corrigée si nuit]])-MAX(deb_dimJF,Horaires3567314[[#This Row],[début]])),0)+IF(WEEKDAY(Horaires3567314[[#This Row],[Date]],2)=6,MAX(0,Horaires3567314[[#This Row],[Fin corrigée si nuit]]-(1+deb_dimJF)),0))*24</f>
        <v>0</v>
      </c>
      <c r="Q49" s="62">
        <f>(IF(WEEKDAY(Horaires3567314[[#This Row],[Date]],2)=7,MAX(0,MIN(fin_dimJF,Horaires3567314[[#This Row],[Fin corrigée si nuit]])-MAX(deb_dimJF,Horaires3567314[[#This Row],[début]])),0)+IF(WEEKDAY(Horaires3567314[[#This Row],[Date]],2)=6,MAX(0,Horaires3567314[[#This Row],[Fin corrigée si nuit]]-(1+deb_dimJF)),0))*24-
(IF(WEEKDAY(Horaires3567314[[#This Row],[Date]],2)=7,MAX(0,MIN(fin_dimJF,Horaires3567314[[#This Row],[PNP Fin corrigée]])-MAX(deb_dimJF,Horaires3567314[[#This Row],[PNP Début corrigé]])),0)+IF(WEEKDAY(Horaires3567314[[#This Row],[Date]],2)=6,MAX(0,Horaires3567314[[#This Row],[PNP Fin corrigée]]-(1+deb_dimJF)),0))*24</f>
        <v>0</v>
      </c>
      <c r="R49" s="62">
        <f>(IF(COUNTIF(JF,Horaires3567314[[#This Row],[Date]]),MAX(0,MIN(fin_dimJF,Horaires3567314[[#This Row],[Fin corrigée si nuit]])-MAX(deb_dimJF,Horaires3567314[[#This Row],[début]])),0)+IF(COUNTIF(JF,Horaires3567314[[#This Row],[Date]]+1),MAX(0,Horaires3567314[[#This Row],[Fin corrigée si nuit]]-(1+deb_dimJF)),0))*24</f>
        <v>0</v>
      </c>
      <c r="S49" s="62">
        <f>(IF(COUNTIF(JF,Horaires3567314[[#This Row],[Date]]),MAX(0,MIN(fin_dimJF,Horaires3567314[[#This Row],[Fin corrigée si nuit]])-MAX(deb_dimJF,Horaires3567314[[#This Row],[début]])),0)+IF(COUNTIF(JF,Horaires3567314[[#This Row],[Date]]+1),MAX(0,Horaires3567314[[#This Row],[Fin corrigée si nuit]]-(1+deb_dimJF)),0))*24-
(IF(COUNTIF(JF,Horaires3567314[[#This Row],[Date]]),MAX(0,MIN(fin_dimJF,Horaires3567314[[#This Row],[PNP Fin corrigée]])-MAX(deb_dimJF,Horaires3567314[[#This Row],[PNP Début corrigé]])),0)+IF(COUNTIF(JF,Horaires3567314[[#This Row],[Date]]+1),MAX(0,Horaires3567314[[#This Row],[PNP Fin corrigée]]-(1+deb_dimJF)),0))*24</f>
        <v>0</v>
      </c>
    </row>
    <row r="50" spans="1:19" ht="16" thickBot="1" x14ac:dyDescent="0.4">
      <c r="A50" s="63"/>
      <c r="B50" s="25"/>
      <c r="C50" s="25"/>
      <c r="D50" s="25"/>
      <c r="E50" s="106" t="s">
        <v>32</v>
      </c>
      <c r="F50" s="107"/>
      <c r="G50" s="107"/>
      <c r="H50" s="108"/>
      <c r="I50" s="64">
        <f>SUM(Horaires3567314[Majoration])</f>
        <v>0</v>
      </c>
      <c r="J50" s="65">
        <f>SUM(Horaires3567314[Heures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K12:N49"/>
  </dataValidations>
  <printOptions horizontalCentered="1"/>
  <pageMargins left="0" right="0" top="0" bottom="0" header="0" footer="0"/>
  <pageSetup paperSize="9" orientation="portrait"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S60"/>
  <sheetViews>
    <sheetView topLeftCell="A7" workbookViewId="0">
      <selection activeCell="I5" sqref="I5:J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0.1*(Horaires35673413[[#This Row],[Heures de nuit]]+Horaires35673413[[#This Row],[heures jour dimanche]]+Horaires35673413[[#This Row],[heures jour fériés]])</f>
        <v>0</v>
      </c>
      <c r="J13" s="39">
        <f>(MOD(Horaires35673413[[#This Row],[Fin]]-Horaires35673413[[#This Row],[début]],1)-MOD(Horaires35673413[[#This Row],[PNP Fin]]-Horaires35673413[[#This Row],[PNP Début]],1))*24</f>
        <v>0</v>
      </c>
      <c r="K13" s="40">
        <f>IF(Horaires35673413[[#This Row],[PNP Début]]=0,0,IF(Horaires35673413[[#This Row],[PNP Début]]&lt;Horaires35673413[[#This Row],[début]],1,0)+Horaires35673413[[#This Row],[PNP Début]])</f>
        <v>0</v>
      </c>
      <c r="L13" s="40">
        <f>IF(Horaires35673413[[#This Row],[PNP Fin]]=0,0,IF(Horaires35673413[[#This Row],[PNP Fin]]&lt;Horaires35673413[[#This Row],[début]],1,0)+Horaires35673413[[#This Row],[PNP Fin]])</f>
        <v>0</v>
      </c>
      <c r="M13" s="40">
        <f>IF(Horaires35673413[[#This Row],[Fin]]&lt;Horaires35673413[[#This Row],[début]],1,0)+Horaires35673413[[#This Row],[Fin]]</f>
        <v>0</v>
      </c>
      <c r="N13" s="41">
        <f>MAX(0,MIN(Horaires35673413[[#This Row],[Fin corrigée si nuit]],fin_nuit)-MAX(Horaires35673413[[#This Row],[début]],deb_nuit))*24</f>
        <v>0</v>
      </c>
      <c r="O13" s="41">
        <f>(MAX(0,MIN(Horaires35673413[[#This Row],[Fin corrigée si nuit]],fin_nuit)-MAX(Horaires35673413[[#This Row],[début]],deb_nuit))-IF(Horaires35673413[[#This Row],[PNP Début]]=0,0,MIN(Horaires35673413[[#This Row],[PNP Fin corrigée]],fin_nuit)-MAX(Horaires35673413[[#This Row],[PNP Début corrigé]],deb_nuit)))*24</f>
        <v>0</v>
      </c>
      <c r="P13" s="41">
        <f>(IF(WEEKDAY(Horaires35673413[[#This Row],[Date]],2)=7,MAX(0,MIN(fin_dimJF,Horaires35673413[[#This Row],[Fin corrigée si nuit]])-MAX(deb_dimJF,Horaires35673413[[#This Row],[début]])),0)+IF(WEEKDAY(Horaires35673413[[#This Row],[Date]],2)=6,MAX(0,Horaires35673413[[#This Row],[Fin corrigée si nuit]]-(1+deb_dimJF)),0))*24</f>
        <v>0</v>
      </c>
      <c r="Q13" s="4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13" s="42">
        <f>(IF(COUNTIF(JF,Horaires35673413[[#This Row],[Date]]),MAX(0,MIN(fin_dimJF,Horaires35673413[[#This Row],[Fin corrigée si nuit]])-MAX(deb_dimJF,Horaires35673413[[#This Row],[début]])),0)+IF(COUNTIF(JF,Horaires35673413[[#This Row],[Date]]+1),MAX(0,Horaires35673413[[#This Row],[Fin corrigée si nuit]]-(1+deb_dimJF)),0))*24</f>
        <v>0</v>
      </c>
      <c r="S13" s="4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14" spans="1:19" x14ac:dyDescent="0.35">
      <c r="A14" s="9"/>
      <c r="B14" s="1"/>
      <c r="C14" s="2"/>
      <c r="D14" s="2"/>
      <c r="E14" s="3"/>
      <c r="F14" s="3"/>
      <c r="G14" s="3"/>
      <c r="H14" s="3"/>
      <c r="I14" s="38">
        <f>0.1*(Horaires35673413[[#This Row],[Heures de nuit]]+Horaires35673413[[#This Row],[heures jour dimanche]]+Horaires35673413[[#This Row],[heures jour fériés]])</f>
        <v>0</v>
      </c>
      <c r="J14" s="39">
        <f>(MOD(Horaires35673413[[#This Row],[Fin]]-Horaires35673413[[#This Row],[début]],1)-MOD(Horaires35673413[[#This Row],[PNP Fin]]-Horaires35673413[[#This Row],[PNP Début]],1))*24</f>
        <v>0</v>
      </c>
      <c r="K14" s="40">
        <f>IF(Horaires35673413[[#This Row],[PNP Début]]=0,0,IF(Horaires35673413[[#This Row],[PNP Début]]&lt;Horaires35673413[[#This Row],[début]],1,0)+Horaires35673413[[#This Row],[PNP Début]])</f>
        <v>0</v>
      </c>
      <c r="L14" s="40">
        <f>IF(Horaires35673413[[#This Row],[PNP Fin]]=0,0,IF(Horaires35673413[[#This Row],[PNP Fin]]&lt;Horaires35673413[[#This Row],[début]],1,0)+Horaires35673413[[#This Row],[PNP Fin]])</f>
        <v>0</v>
      </c>
      <c r="M14" s="40">
        <f>IF(Horaires35673413[[#This Row],[Fin]]&lt;Horaires35673413[[#This Row],[début]],1,0)+Horaires35673413[[#This Row],[Fin]]</f>
        <v>0</v>
      </c>
      <c r="N14" s="41">
        <f>MAX(0,MIN(Horaires35673413[[#This Row],[Fin corrigée si nuit]],fin_nuit)-MAX(Horaires35673413[[#This Row],[début]],deb_nuit))*24</f>
        <v>0</v>
      </c>
      <c r="O14" s="41">
        <f>(MAX(0,MIN(Horaires35673413[[#This Row],[Fin corrigée si nuit]],fin_nuit)-MAX(Horaires35673413[[#This Row],[début]],deb_nuit))-IF(Horaires35673413[[#This Row],[PNP Début]]=0,0,MIN(Horaires35673413[[#This Row],[PNP Fin corrigée]],fin_nuit)-MAX(Horaires35673413[[#This Row],[PNP Début corrigé]],deb_nuit)))*24</f>
        <v>0</v>
      </c>
      <c r="P14" s="41">
        <f>(IF(WEEKDAY(Horaires35673413[[#This Row],[Date]],2)=7,MAX(0,MIN(fin_dimJF,Horaires35673413[[#This Row],[Fin corrigée si nuit]])-MAX(deb_dimJF,Horaires35673413[[#This Row],[début]])),0)+IF(WEEKDAY(Horaires35673413[[#This Row],[Date]],2)=6,MAX(0,Horaires35673413[[#This Row],[Fin corrigée si nuit]]-(1+deb_dimJF)),0))*24</f>
        <v>0</v>
      </c>
      <c r="Q14" s="4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14" s="42">
        <f>(IF(COUNTIF(JF,Horaires35673413[[#This Row],[Date]]),MAX(0,MIN(fin_dimJF,Horaires35673413[[#This Row],[Fin corrigée si nuit]])-MAX(deb_dimJF,Horaires35673413[[#This Row],[début]])),0)+IF(COUNTIF(JF,Horaires35673413[[#This Row],[Date]]+1),MAX(0,Horaires35673413[[#This Row],[Fin corrigée si nuit]]-(1+deb_dimJF)),0))*24</f>
        <v>0</v>
      </c>
      <c r="S14" s="4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15" spans="1:19" x14ac:dyDescent="0.35">
      <c r="A15" s="9"/>
      <c r="B15" s="1"/>
      <c r="C15" s="2"/>
      <c r="D15" s="2"/>
      <c r="E15" s="3"/>
      <c r="F15" s="3"/>
      <c r="G15" s="3"/>
      <c r="H15" s="3"/>
      <c r="I15" s="38">
        <f>0.1*(Horaires35673413[[#This Row],[Heures de nuit]]+Horaires35673413[[#This Row],[heures jour dimanche]]+Horaires35673413[[#This Row],[heures jour fériés]])</f>
        <v>0</v>
      </c>
      <c r="J15" s="39">
        <f>(MOD(Horaires35673413[[#This Row],[Fin]]-Horaires35673413[[#This Row],[début]],1)-MOD(Horaires35673413[[#This Row],[PNP Fin]]-Horaires35673413[[#This Row],[PNP Début]],1))*24</f>
        <v>0</v>
      </c>
      <c r="K15" s="40">
        <f>IF(Horaires35673413[[#This Row],[PNP Début]]=0,0,IF(Horaires35673413[[#This Row],[PNP Début]]&lt;Horaires35673413[[#This Row],[début]],1,0)+Horaires35673413[[#This Row],[PNP Début]])</f>
        <v>0</v>
      </c>
      <c r="L15" s="40">
        <f>IF(Horaires35673413[[#This Row],[PNP Fin]]=0,0,IF(Horaires35673413[[#This Row],[PNP Fin]]&lt;Horaires35673413[[#This Row],[début]],1,0)+Horaires35673413[[#This Row],[PNP Fin]])</f>
        <v>0</v>
      </c>
      <c r="M15" s="40">
        <f>IF(Horaires35673413[[#This Row],[Fin]]&lt;Horaires35673413[[#This Row],[début]],1,0)+Horaires35673413[[#This Row],[Fin]]</f>
        <v>0</v>
      </c>
      <c r="N15" s="41">
        <f>MAX(0,MIN(Horaires35673413[[#This Row],[Fin corrigée si nuit]],fin_nuit)-MAX(Horaires35673413[[#This Row],[début]],deb_nuit))*24</f>
        <v>0</v>
      </c>
      <c r="O15" s="41">
        <f>(MAX(0,MIN(Horaires35673413[[#This Row],[Fin corrigée si nuit]],fin_nuit)-MAX(Horaires35673413[[#This Row],[début]],deb_nuit))-IF(Horaires35673413[[#This Row],[PNP Début]]=0,0,MIN(Horaires35673413[[#This Row],[PNP Fin corrigée]],fin_nuit)-MAX(Horaires35673413[[#This Row],[PNP Début corrigé]],deb_nuit)))*24</f>
        <v>0</v>
      </c>
      <c r="P15" s="41">
        <f>(IF(WEEKDAY(Horaires35673413[[#This Row],[Date]],2)=7,MAX(0,MIN(fin_dimJF,Horaires35673413[[#This Row],[Fin corrigée si nuit]])-MAX(deb_dimJF,Horaires35673413[[#This Row],[début]])),0)+IF(WEEKDAY(Horaires35673413[[#This Row],[Date]],2)=6,MAX(0,Horaires35673413[[#This Row],[Fin corrigée si nuit]]-(1+deb_dimJF)),0))*24</f>
        <v>0</v>
      </c>
      <c r="Q15" s="4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15" s="42">
        <f>(IF(COUNTIF(JF,Horaires35673413[[#This Row],[Date]]),MAX(0,MIN(fin_dimJF,Horaires35673413[[#This Row],[Fin corrigée si nuit]])-MAX(deb_dimJF,Horaires35673413[[#This Row],[début]])),0)+IF(COUNTIF(JF,Horaires35673413[[#This Row],[Date]]+1),MAX(0,Horaires35673413[[#This Row],[Fin corrigée si nuit]]-(1+deb_dimJF)),0))*24</f>
        <v>0</v>
      </c>
      <c r="S15" s="4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16" spans="1:19" x14ac:dyDescent="0.35">
      <c r="A16" s="9"/>
      <c r="B16" s="10"/>
      <c r="C16" s="2"/>
      <c r="D16" s="2"/>
      <c r="E16" s="3"/>
      <c r="F16" s="3"/>
      <c r="G16" s="11"/>
      <c r="H16" s="11"/>
      <c r="I16" s="38">
        <f>0.1*(Horaires35673413[[#This Row],[Heures de nuit]]+Horaires35673413[[#This Row],[heures jour dimanche]]+Horaires35673413[[#This Row],[heures jour fériés]])</f>
        <v>0</v>
      </c>
      <c r="J16" s="43">
        <f>(MOD(Horaires35673413[[#This Row],[Fin]]-Horaires35673413[[#This Row],[début]],1)-MOD(Horaires35673413[[#This Row],[PNP Fin]]-Horaires35673413[[#This Row],[PNP Début]],1))*24</f>
        <v>0</v>
      </c>
      <c r="K16" s="40">
        <f>IF(Horaires35673413[[#This Row],[PNP Début]]=0,0,IF(Horaires35673413[[#This Row],[PNP Début]]&lt;Horaires35673413[[#This Row],[début]],1,0)+Horaires35673413[[#This Row],[PNP Début]])</f>
        <v>0</v>
      </c>
      <c r="L16" s="40">
        <f>IF(Horaires35673413[[#This Row],[PNP Fin]]=0,0,IF(Horaires35673413[[#This Row],[PNP Fin]]&lt;Horaires35673413[[#This Row],[début]],1,0)+Horaires35673413[[#This Row],[PNP Fin]])</f>
        <v>0</v>
      </c>
      <c r="M16" s="44">
        <f>IF(Horaires35673413[[#This Row],[Fin]]&lt;Horaires35673413[[#This Row],[début]],1,0)+Horaires35673413[[#This Row],[Fin]]</f>
        <v>0</v>
      </c>
      <c r="N16" s="41">
        <f>MAX(0,MIN(Horaires35673413[[#This Row],[Fin corrigée si nuit]],fin_nuit)-MAX(Horaires35673413[[#This Row],[début]],deb_nuit))*24</f>
        <v>0</v>
      </c>
      <c r="O16" s="45">
        <f>(MAX(0,MIN(Horaires35673413[[#This Row],[Fin corrigée si nuit]],fin_nuit)-MAX(Horaires35673413[[#This Row],[début]],deb_nuit))-IF(Horaires35673413[[#This Row],[PNP Début]]=0,0,MIN(Horaires35673413[[#This Row],[PNP Fin corrigée]],fin_nuit)-MAX(Horaires35673413[[#This Row],[PNP Début corrigé]],deb_nuit)))*24</f>
        <v>0</v>
      </c>
      <c r="P16" s="45">
        <f>(IF(WEEKDAY(Horaires35673413[[#This Row],[Date]],2)=7,MAX(0,MIN(fin_dimJF,Horaires35673413[[#This Row],[Fin corrigée si nuit]])-MAX(deb_dimJF,Horaires35673413[[#This Row],[début]])),0)+IF(WEEKDAY(Horaires35673413[[#This Row],[Date]],2)=6,MAX(0,Horaires35673413[[#This Row],[Fin corrigée si nuit]]-(1+deb_dimJF)),0))*24</f>
        <v>0</v>
      </c>
      <c r="Q16" s="4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16" s="46">
        <f>(IF(COUNTIF(JF,Horaires35673413[[#This Row],[Date]]),MAX(0,MIN(fin_dimJF,Horaires35673413[[#This Row],[Fin corrigée si nuit]])-MAX(deb_dimJF,Horaires35673413[[#This Row],[début]])),0)+IF(COUNTIF(JF,Horaires35673413[[#This Row],[Date]]+1),MAX(0,Horaires35673413[[#This Row],[Fin corrigée si nuit]]-(1+deb_dimJF)),0))*24</f>
        <v>0</v>
      </c>
      <c r="S16" s="46">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17" spans="1:19" x14ac:dyDescent="0.35">
      <c r="A17" s="9"/>
      <c r="B17" s="1"/>
      <c r="C17" s="2"/>
      <c r="D17" s="2"/>
      <c r="E17" s="3"/>
      <c r="F17" s="3"/>
      <c r="G17" s="17"/>
      <c r="H17" s="17"/>
      <c r="I17" s="47">
        <f>0.1*(Horaires35673413[[#This Row],[Heures de nuit]]+Horaires35673413[[#This Row],[heures jour dimanche]]+Horaires35673413[[#This Row],[heures jour fériés]])</f>
        <v>0</v>
      </c>
      <c r="J17" s="48">
        <f>(MOD(Horaires35673413[[#This Row],[Fin]]-Horaires35673413[[#This Row],[début]],1)-MOD(Horaires35673413[[#This Row],[PNP Fin]]-Horaires35673413[[#This Row],[PNP Début]],1))*24</f>
        <v>0</v>
      </c>
      <c r="K17" s="49">
        <f>IF(Horaires35673413[[#This Row],[PNP Début]]=0,0,IF(Horaires35673413[[#This Row],[PNP Début]]&lt;Horaires35673413[[#This Row],[début]],1,0)+Horaires35673413[[#This Row],[PNP Début]])</f>
        <v>0</v>
      </c>
      <c r="L17" s="50">
        <f>IF(Horaires35673413[[#This Row],[PNP Fin]]=0,0,IF(Horaires35673413[[#This Row],[PNP Fin]]&lt;Horaires35673413[[#This Row],[début]],1,0)+Horaires35673413[[#This Row],[PNP Fin]])</f>
        <v>0</v>
      </c>
      <c r="M17" s="50">
        <f>IF(Horaires35673413[[#This Row],[Fin]]&lt;Horaires35673413[[#This Row],[début]],1,0)+Horaires35673413[[#This Row],[Fin]]</f>
        <v>0</v>
      </c>
      <c r="N17" s="41">
        <f>MAX(0,MIN(Horaires35673413[[#This Row],[Fin corrigée si nuit]],fin_nuit)-MAX(Horaires35673413[[#This Row],[début]],deb_nuit))*24</f>
        <v>0</v>
      </c>
      <c r="O17" s="51">
        <f>(MAX(0,MIN(Horaires35673413[[#This Row],[Fin corrigée si nuit]],fin_nuit)-MAX(Horaires35673413[[#This Row],[début]],deb_nuit))-IF(Horaires35673413[[#This Row],[PNP Début]]=0,0,MIN(Horaires35673413[[#This Row],[PNP Fin corrigée]],fin_nuit)-MAX(Horaires35673413[[#This Row],[PNP Début corrigé]],deb_nuit)))*24</f>
        <v>0</v>
      </c>
      <c r="P17" s="51">
        <f>(IF(WEEKDAY(Horaires35673413[[#This Row],[Date]],2)=7,MAX(0,MIN(fin_dimJF,Horaires35673413[[#This Row],[Fin corrigée si nuit]])-MAX(deb_dimJF,Horaires35673413[[#This Row],[début]])),0)+IF(WEEKDAY(Horaires35673413[[#This Row],[Date]],2)=6,MAX(0,Horaires35673413[[#This Row],[Fin corrigée si nuit]]-(1+deb_dimJF)),0))*24</f>
        <v>0</v>
      </c>
      <c r="Q17" s="5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17" s="51">
        <f>(IF(COUNTIF(JF,Horaires35673413[[#This Row],[Date]]),MAX(0,MIN(fin_dimJF,Horaires35673413[[#This Row],[Fin corrigée si nuit]])-MAX(deb_dimJF,Horaires35673413[[#This Row],[début]])),0)+IF(COUNTIF(JF,Horaires35673413[[#This Row],[Date]]+1),MAX(0,Horaires35673413[[#This Row],[Fin corrigée si nuit]]-(1+deb_dimJF)),0))*24</f>
        <v>0</v>
      </c>
      <c r="S17" s="51">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18" spans="1:19" x14ac:dyDescent="0.35">
      <c r="A18" s="9"/>
      <c r="B18" s="69"/>
      <c r="C18" s="16"/>
      <c r="D18" s="16"/>
      <c r="E18" s="17"/>
      <c r="F18" s="17"/>
      <c r="G18" s="17"/>
      <c r="H18" s="17"/>
      <c r="I18" s="47">
        <f>0.1*(Horaires35673413[[#This Row],[Heures de nuit]]+Horaires35673413[[#This Row],[heures jour dimanche]]+Horaires35673413[[#This Row],[heures jour fériés]])</f>
        <v>0</v>
      </c>
      <c r="J18" s="48">
        <f>(MOD(Horaires35673413[[#This Row],[Fin]]-Horaires35673413[[#This Row],[début]],1)-MOD(Horaires35673413[[#This Row],[PNP Fin]]-Horaires35673413[[#This Row],[PNP Début]],1))*24</f>
        <v>0</v>
      </c>
      <c r="K18" s="49">
        <f>IF(Horaires35673413[[#This Row],[PNP Début]]=0,0,IF(Horaires35673413[[#This Row],[PNP Début]]&lt;Horaires35673413[[#This Row],[début]],1,0)+Horaires35673413[[#This Row],[PNP Début]])</f>
        <v>0</v>
      </c>
      <c r="L18" s="50">
        <f>IF(Horaires35673413[[#This Row],[PNP Fin]]=0,0,IF(Horaires35673413[[#This Row],[PNP Fin]]&lt;Horaires35673413[[#This Row],[début]],1,0)+Horaires35673413[[#This Row],[PNP Fin]])</f>
        <v>0</v>
      </c>
      <c r="M18" s="50">
        <f>IF(Horaires35673413[[#This Row],[Fin]]&lt;Horaires35673413[[#This Row],[début]],1,0)+Horaires35673413[[#This Row],[Fin]]</f>
        <v>0</v>
      </c>
      <c r="N18" s="41">
        <f>MAX(0,MIN(Horaires35673413[[#This Row],[Fin corrigée si nuit]],fin_nuit)-MAX(Horaires35673413[[#This Row],[début]],deb_nuit))*24</f>
        <v>0</v>
      </c>
      <c r="O18" s="51">
        <f>(MAX(0,MIN(Horaires35673413[[#This Row],[Fin corrigée si nuit]],fin_nuit)-MAX(Horaires35673413[[#This Row],[début]],deb_nuit))-IF(Horaires35673413[[#This Row],[PNP Début]]=0,0,MIN(Horaires35673413[[#This Row],[PNP Fin corrigée]],fin_nuit)-MAX(Horaires35673413[[#This Row],[PNP Début corrigé]],deb_nuit)))*24</f>
        <v>0</v>
      </c>
      <c r="P18" s="51">
        <f>(IF(WEEKDAY(Horaires35673413[[#This Row],[Date]],2)=7,MAX(0,MIN(fin_dimJF,Horaires35673413[[#This Row],[Fin corrigée si nuit]])-MAX(deb_dimJF,Horaires35673413[[#This Row],[début]])),0)+IF(WEEKDAY(Horaires35673413[[#This Row],[Date]],2)=6,MAX(0,Horaires35673413[[#This Row],[Fin corrigée si nuit]]-(1+deb_dimJF)),0))*24</f>
        <v>0</v>
      </c>
      <c r="Q18" s="5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18" s="51">
        <f>(IF(COUNTIF(JF,Horaires35673413[[#This Row],[Date]]),MAX(0,MIN(fin_dimJF,Horaires35673413[[#This Row],[Fin corrigée si nuit]])-MAX(deb_dimJF,Horaires35673413[[#This Row],[début]])),0)+IF(COUNTIF(JF,Horaires35673413[[#This Row],[Date]]+1),MAX(0,Horaires35673413[[#This Row],[Fin corrigée si nuit]]-(1+deb_dimJF)),0))*24</f>
        <v>0</v>
      </c>
      <c r="S18" s="51">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19" spans="1:19" x14ac:dyDescent="0.35">
      <c r="A19" s="9"/>
      <c r="B19" s="1"/>
      <c r="C19" s="16"/>
      <c r="D19" s="16"/>
      <c r="E19" s="3"/>
      <c r="F19" s="3"/>
      <c r="G19" s="17"/>
      <c r="H19" s="17"/>
      <c r="I19" s="47">
        <f>0.1*(Horaires35673413[[#This Row],[Heures de nuit]]+Horaires35673413[[#This Row],[heures jour dimanche]]+Horaires35673413[[#This Row],[heures jour fériés]])</f>
        <v>0</v>
      </c>
      <c r="J19" s="48">
        <f>(MOD(Horaires35673413[[#This Row],[Fin]]-Horaires35673413[[#This Row],[début]],1)-MOD(Horaires35673413[[#This Row],[PNP Fin]]-Horaires35673413[[#This Row],[PNP Début]],1))*24</f>
        <v>0</v>
      </c>
      <c r="K19" s="49">
        <f>IF(Horaires35673413[[#This Row],[PNP Début]]=0,0,IF(Horaires35673413[[#This Row],[PNP Début]]&lt;Horaires35673413[[#This Row],[début]],1,0)+Horaires35673413[[#This Row],[PNP Début]])</f>
        <v>0</v>
      </c>
      <c r="L19" s="50">
        <f>IF(Horaires35673413[[#This Row],[PNP Fin]]=0,0,IF(Horaires35673413[[#This Row],[PNP Fin]]&lt;Horaires35673413[[#This Row],[début]],1,0)+Horaires35673413[[#This Row],[PNP Fin]])</f>
        <v>0</v>
      </c>
      <c r="M19" s="50">
        <f>IF(Horaires35673413[[#This Row],[Fin]]&lt;Horaires35673413[[#This Row],[début]],1,0)+Horaires35673413[[#This Row],[Fin]]</f>
        <v>0</v>
      </c>
      <c r="N19" s="41">
        <f>MAX(0,MIN(Horaires35673413[[#This Row],[Fin corrigée si nuit]],fin_nuit)-MAX(Horaires35673413[[#This Row],[début]],deb_nuit))*24</f>
        <v>0</v>
      </c>
      <c r="O19" s="51">
        <f>(MAX(0,MIN(Horaires35673413[[#This Row],[Fin corrigée si nuit]],fin_nuit)-MAX(Horaires35673413[[#This Row],[début]],deb_nuit))-IF(Horaires35673413[[#This Row],[PNP Début]]=0,0,MIN(Horaires35673413[[#This Row],[PNP Fin corrigée]],fin_nuit)-MAX(Horaires35673413[[#This Row],[PNP Début corrigé]],deb_nuit)))*24</f>
        <v>0</v>
      </c>
      <c r="P19" s="51">
        <f>(IF(WEEKDAY(Horaires35673413[[#This Row],[Date]],2)=7,MAX(0,MIN(fin_dimJF,Horaires35673413[[#This Row],[Fin corrigée si nuit]])-MAX(deb_dimJF,Horaires35673413[[#This Row],[début]])),0)+IF(WEEKDAY(Horaires35673413[[#This Row],[Date]],2)=6,MAX(0,Horaires35673413[[#This Row],[Fin corrigée si nuit]]-(1+deb_dimJF)),0))*24</f>
        <v>0</v>
      </c>
      <c r="Q19" s="5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19" s="51">
        <f>(IF(COUNTIF(JF,Horaires35673413[[#This Row],[Date]]),MAX(0,MIN(fin_dimJF,Horaires35673413[[#This Row],[Fin corrigée si nuit]])-MAX(deb_dimJF,Horaires35673413[[#This Row],[début]])),0)+IF(COUNTIF(JF,Horaires35673413[[#This Row],[Date]]+1),MAX(0,Horaires35673413[[#This Row],[Fin corrigée si nuit]]-(1+deb_dimJF)),0))*24</f>
        <v>0</v>
      </c>
      <c r="S19" s="51">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0" spans="1:19" x14ac:dyDescent="0.35">
      <c r="A20" s="9"/>
      <c r="B20" s="1"/>
      <c r="C20" s="16"/>
      <c r="D20" s="16"/>
      <c r="E20" s="17"/>
      <c r="F20" s="17"/>
      <c r="G20" s="17"/>
      <c r="H20" s="17"/>
      <c r="I20" s="47">
        <f>0.1*(Horaires35673413[[#This Row],[Heures de nuit]]+Horaires35673413[[#This Row],[heures jour dimanche]]+Horaires35673413[[#This Row],[heures jour fériés]])</f>
        <v>0</v>
      </c>
      <c r="J20" s="48">
        <f>(MOD(Horaires35673413[[#This Row],[Fin]]-Horaires35673413[[#This Row],[début]],1)-MOD(Horaires35673413[[#This Row],[PNP Fin]]-Horaires35673413[[#This Row],[PNP Début]],1))*24</f>
        <v>0</v>
      </c>
      <c r="K20" s="49">
        <f>IF(Horaires35673413[[#This Row],[PNP Début]]=0,0,IF(Horaires35673413[[#This Row],[PNP Début]]&lt;Horaires35673413[[#This Row],[début]],1,0)+Horaires35673413[[#This Row],[PNP Début]])</f>
        <v>0</v>
      </c>
      <c r="L20" s="50">
        <f>IF(Horaires35673413[[#This Row],[PNP Fin]]=0,0,IF(Horaires35673413[[#This Row],[PNP Fin]]&lt;Horaires35673413[[#This Row],[début]],1,0)+Horaires35673413[[#This Row],[PNP Fin]])</f>
        <v>0</v>
      </c>
      <c r="M20" s="50">
        <f>IF(Horaires35673413[[#This Row],[Fin]]&lt;Horaires35673413[[#This Row],[début]],1,0)+Horaires35673413[[#This Row],[Fin]]</f>
        <v>0</v>
      </c>
      <c r="N20" s="41">
        <f>MAX(0,MIN(Horaires35673413[[#This Row],[Fin corrigée si nuit]],fin_nuit)-MAX(Horaires35673413[[#This Row],[début]],deb_nuit))*24</f>
        <v>0</v>
      </c>
      <c r="O20" s="51">
        <f>(MAX(0,MIN(Horaires35673413[[#This Row],[Fin corrigée si nuit]],fin_nuit)-MAX(Horaires35673413[[#This Row],[début]],deb_nuit))-IF(Horaires35673413[[#This Row],[PNP Début]]=0,0,MIN(Horaires35673413[[#This Row],[PNP Fin corrigée]],fin_nuit)-MAX(Horaires35673413[[#This Row],[PNP Début corrigé]],deb_nuit)))*24</f>
        <v>0</v>
      </c>
      <c r="P20" s="51">
        <f>(IF(WEEKDAY(Horaires35673413[[#This Row],[Date]],2)=7,MAX(0,MIN(fin_dimJF,Horaires35673413[[#This Row],[Fin corrigée si nuit]])-MAX(deb_dimJF,Horaires35673413[[#This Row],[début]])),0)+IF(WEEKDAY(Horaires35673413[[#This Row],[Date]],2)=6,MAX(0,Horaires35673413[[#This Row],[Fin corrigée si nuit]]-(1+deb_dimJF)),0))*24</f>
        <v>0</v>
      </c>
      <c r="Q20" s="51">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0" s="51">
        <f>(IF(COUNTIF(JF,Horaires35673413[[#This Row],[Date]]),MAX(0,MIN(fin_dimJF,Horaires35673413[[#This Row],[Fin corrigée si nuit]])-MAX(deb_dimJF,Horaires35673413[[#This Row],[début]])),0)+IF(COUNTIF(JF,Horaires35673413[[#This Row],[Date]]+1),MAX(0,Horaires35673413[[#This Row],[Fin corrigée si nuit]]-(1+deb_dimJF)),0))*24</f>
        <v>0</v>
      </c>
      <c r="S20" s="51">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1" spans="1:19" x14ac:dyDescent="0.35">
      <c r="A21" s="9"/>
      <c r="B21" s="10"/>
      <c r="C21" s="18"/>
      <c r="D21" s="18"/>
      <c r="E21" s="3"/>
      <c r="F21" s="3"/>
      <c r="G21" s="19"/>
      <c r="H21" s="19"/>
      <c r="I21" s="52">
        <f>0.1*(Horaires35673413[[#This Row],[Heures de nuit]]+Horaires35673413[[#This Row],[heures jour dimanche]]+Horaires35673413[[#This Row],[heures jour fériés]])</f>
        <v>0</v>
      </c>
      <c r="J21" s="53">
        <f>(MOD(Horaires35673413[[#This Row],[Fin]]-Horaires35673413[[#This Row],[début]],1)-MOD(Horaires35673413[[#This Row],[PNP Fin]]-Horaires35673413[[#This Row],[PNP Début]],1))*24</f>
        <v>0</v>
      </c>
      <c r="K21" s="54">
        <f>IF(Horaires35673413[[#This Row],[PNP Début]]=0,0,IF(Horaires35673413[[#This Row],[PNP Début]]&lt;Horaires35673413[[#This Row],[début]],1,0)+Horaires35673413[[#This Row],[PNP Début]])</f>
        <v>0</v>
      </c>
      <c r="L21" s="55">
        <f>IF(Horaires35673413[[#This Row],[PNP Fin]]=0,0,IF(Horaires35673413[[#This Row],[PNP Fin]]&lt;Horaires35673413[[#This Row],[début]],1,0)+Horaires35673413[[#This Row],[PNP Fin]])</f>
        <v>0</v>
      </c>
      <c r="M21" s="55">
        <f>IF(Horaires35673413[[#This Row],[Fin]]&lt;Horaires35673413[[#This Row],[début]],1,0)+Horaires35673413[[#This Row],[Fin]]</f>
        <v>0</v>
      </c>
      <c r="N21" s="41">
        <f>MAX(0,MIN(Horaires35673413[[#This Row],[Fin corrigée si nuit]],fin_nuit)-MAX(Horaires35673413[[#This Row],[début]],deb_nuit))*24</f>
        <v>0</v>
      </c>
      <c r="O21" s="56">
        <f>(MAX(0,MIN(Horaires35673413[[#This Row],[Fin corrigée si nuit]],fin_nuit)-MAX(Horaires35673413[[#This Row],[début]],deb_nuit))-IF(Horaires35673413[[#This Row],[PNP Début]]=0,0,MIN(Horaires35673413[[#This Row],[PNP Fin corrigée]],fin_nuit)-MAX(Horaires35673413[[#This Row],[PNP Début corrigé]],deb_nuit)))*24</f>
        <v>0</v>
      </c>
      <c r="P21" s="56">
        <f>(IF(WEEKDAY(Horaires35673413[[#This Row],[Date]],2)=7,MAX(0,MIN(fin_dimJF,Horaires35673413[[#This Row],[Fin corrigée si nuit]])-MAX(deb_dimJF,Horaires35673413[[#This Row],[début]])),0)+IF(WEEKDAY(Horaires35673413[[#This Row],[Date]],2)=6,MAX(0,Horaires35673413[[#This Row],[Fin corrigée si nuit]]-(1+deb_dimJF)),0))*24</f>
        <v>0</v>
      </c>
      <c r="Q21" s="56">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1" s="56">
        <f>(IF(COUNTIF(JF,Horaires35673413[[#This Row],[Date]]),MAX(0,MIN(fin_dimJF,Horaires35673413[[#This Row],[Fin corrigée si nuit]])-MAX(deb_dimJF,Horaires35673413[[#This Row],[début]])),0)+IF(COUNTIF(JF,Horaires35673413[[#This Row],[Date]]+1),MAX(0,Horaires35673413[[#This Row],[Fin corrigée si nuit]]-(1+deb_dimJF)),0))*24</f>
        <v>0</v>
      </c>
      <c r="S21" s="56">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2" spans="1:19" x14ac:dyDescent="0.35">
      <c r="A22" s="9"/>
      <c r="B22" s="1"/>
      <c r="C22" s="18"/>
      <c r="D22" s="18"/>
      <c r="E22" s="3"/>
      <c r="F22" s="3"/>
      <c r="G22" s="3"/>
      <c r="H22" s="3"/>
      <c r="I22" s="57">
        <f>0.1*(Horaires35673413[[#This Row],[Heures de nuit]]+Horaires35673413[[#This Row],[heures jour dimanche]]+Horaires35673413[[#This Row],[heures jour fériés]])</f>
        <v>0</v>
      </c>
      <c r="J22" s="58">
        <f>(MOD(Horaires35673413[[#This Row],[Fin]]-Horaires35673413[[#This Row],[début]],1)-MOD(Horaires35673413[[#This Row],[PNP Fin]]-Horaires35673413[[#This Row],[PNP Début]],1))*24</f>
        <v>0</v>
      </c>
      <c r="K22" s="59">
        <f>IF(Horaires35673413[[#This Row],[PNP Début]]=0,0,IF(Horaires35673413[[#This Row],[PNP Début]]&lt;Horaires35673413[[#This Row],[début]],1,0)+Horaires35673413[[#This Row],[PNP Début]])</f>
        <v>0</v>
      </c>
      <c r="L22" s="60">
        <f>IF(Horaires35673413[[#This Row],[PNP Fin]]=0,0,IF(Horaires35673413[[#This Row],[PNP Fin]]&lt;Horaires35673413[[#This Row],[début]],1,0)+Horaires35673413[[#This Row],[PNP Fin]])</f>
        <v>0</v>
      </c>
      <c r="M22" s="60">
        <f>IF(Horaires35673413[[#This Row],[Fin]]&lt;Horaires35673413[[#This Row],[début]],1,0)+Horaires35673413[[#This Row],[Fin]]</f>
        <v>0</v>
      </c>
      <c r="N22" s="61">
        <f>MAX(0,MIN(Horaires35673413[[#This Row],[Fin corrigée si nuit]],fin_nuit)-MAX(Horaires35673413[[#This Row],[début]],deb_nuit))*24</f>
        <v>0</v>
      </c>
      <c r="O22" s="62">
        <f>(MAX(0,MIN(Horaires35673413[[#This Row],[Fin corrigée si nuit]],fin_nuit)-MAX(Horaires35673413[[#This Row],[début]],deb_nuit))-IF(Horaires35673413[[#This Row],[PNP Début]]=0,0,MIN(Horaires35673413[[#This Row],[PNP Fin corrigée]],fin_nuit)-MAX(Horaires35673413[[#This Row],[PNP Début corrigé]],deb_nuit)))*24</f>
        <v>0</v>
      </c>
      <c r="P22" s="62">
        <f>(IF(WEEKDAY(Horaires35673413[[#This Row],[Date]],2)=7,MAX(0,MIN(fin_dimJF,Horaires35673413[[#This Row],[Fin corrigée si nuit]])-MAX(deb_dimJF,Horaires35673413[[#This Row],[début]])),0)+IF(WEEKDAY(Horaires35673413[[#This Row],[Date]],2)=6,MAX(0,Horaires35673413[[#This Row],[Fin corrigée si nuit]]-(1+deb_dimJF)),0))*24</f>
        <v>0</v>
      </c>
      <c r="Q22"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2" s="62">
        <f>(IF(COUNTIF(JF,Horaires35673413[[#This Row],[Date]]),MAX(0,MIN(fin_dimJF,Horaires35673413[[#This Row],[Fin corrigée si nuit]])-MAX(deb_dimJF,Horaires35673413[[#This Row],[début]])),0)+IF(COUNTIF(JF,Horaires35673413[[#This Row],[Date]]+1),MAX(0,Horaires35673413[[#This Row],[Fin corrigée si nuit]]-(1+deb_dimJF)),0))*24</f>
        <v>0</v>
      </c>
      <c r="S22"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3" spans="1:19" x14ac:dyDescent="0.35">
      <c r="A23" s="9"/>
      <c r="B23" s="1"/>
      <c r="C23" s="18"/>
      <c r="D23" s="18"/>
      <c r="E23" s="3"/>
      <c r="F23" s="3"/>
      <c r="G23" s="3"/>
      <c r="H23" s="3"/>
      <c r="I23" s="57">
        <f>0.1*(Horaires35673413[[#This Row],[Heures de nuit]]+Horaires35673413[[#This Row],[heures jour dimanche]]+Horaires35673413[[#This Row],[heures jour fériés]])</f>
        <v>0</v>
      </c>
      <c r="J23" s="58">
        <f>(MOD(Horaires35673413[[#This Row],[Fin]]-Horaires35673413[[#This Row],[début]],1)-MOD(Horaires35673413[[#This Row],[PNP Fin]]-Horaires35673413[[#This Row],[PNP Début]],1))*24</f>
        <v>0</v>
      </c>
      <c r="K23" s="59">
        <f>IF(Horaires35673413[[#This Row],[PNP Début]]=0,0,IF(Horaires35673413[[#This Row],[PNP Début]]&lt;Horaires35673413[[#This Row],[début]],1,0)+Horaires35673413[[#This Row],[PNP Début]])</f>
        <v>0</v>
      </c>
      <c r="L23" s="60">
        <f>IF(Horaires35673413[[#This Row],[PNP Fin]]=0,0,IF(Horaires35673413[[#This Row],[PNP Fin]]&lt;Horaires35673413[[#This Row],[début]],1,0)+Horaires35673413[[#This Row],[PNP Fin]])</f>
        <v>0</v>
      </c>
      <c r="M23" s="60">
        <f>IF(Horaires35673413[[#This Row],[Fin]]&lt;Horaires35673413[[#This Row],[début]],1,0)+Horaires35673413[[#This Row],[Fin]]</f>
        <v>0</v>
      </c>
      <c r="N23" s="61">
        <f>MAX(0,MIN(Horaires35673413[[#This Row],[Fin corrigée si nuit]],fin_nuit)-MAX(Horaires35673413[[#This Row],[début]],deb_nuit))*24</f>
        <v>0</v>
      </c>
      <c r="O23" s="62">
        <f>(MAX(0,MIN(Horaires35673413[[#This Row],[Fin corrigée si nuit]],fin_nuit)-MAX(Horaires35673413[[#This Row],[début]],deb_nuit))-IF(Horaires35673413[[#This Row],[PNP Début]]=0,0,MIN(Horaires35673413[[#This Row],[PNP Fin corrigée]],fin_nuit)-MAX(Horaires35673413[[#This Row],[PNP Début corrigé]],deb_nuit)))*24</f>
        <v>0</v>
      </c>
      <c r="P23" s="62">
        <f>(IF(WEEKDAY(Horaires35673413[[#This Row],[Date]],2)=7,MAX(0,MIN(fin_dimJF,Horaires35673413[[#This Row],[Fin corrigée si nuit]])-MAX(deb_dimJF,Horaires35673413[[#This Row],[début]])),0)+IF(WEEKDAY(Horaires35673413[[#This Row],[Date]],2)=6,MAX(0,Horaires35673413[[#This Row],[Fin corrigée si nuit]]-(1+deb_dimJF)),0))*24</f>
        <v>0</v>
      </c>
      <c r="Q23"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3" s="62">
        <f>(IF(COUNTIF(JF,Horaires35673413[[#This Row],[Date]]),MAX(0,MIN(fin_dimJF,Horaires35673413[[#This Row],[Fin corrigée si nuit]])-MAX(deb_dimJF,Horaires35673413[[#This Row],[début]])),0)+IF(COUNTIF(JF,Horaires35673413[[#This Row],[Date]]+1),MAX(0,Horaires35673413[[#This Row],[Fin corrigée si nuit]]-(1+deb_dimJF)),0))*24</f>
        <v>0</v>
      </c>
      <c r="S23"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4" spans="1:19" x14ac:dyDescent="0.35">
      <c r="A24" s="9"/>
      <c r="B24" s="1"/>
      <c r="C24" s="2"/>
      <c r="D24" s="2"/>
      <c r="E24" s="3"/>
      <c r="F24" s="3"/>
      <c r="G24" s="3"/>
      <c r="H24" s="3"/>
      <c r="I24" s="57">
        <f>0.1*(Horaires35673413[[#This Row],[Heures de nuit]]+Horaires35673413[[#This Row],[heures jour dimanche]]+Horaires35673413[[#This Row],[heures jour fériés]])</f>
        <v>0</v>
      </c>
      <c r="J24" s="58">
        <f>(MOD(Horaires35673413[[#This Row],[Fin]]-Horaires35673413[[#This Row],[début]],1)-MOD(Horaires35673413[[#This Row],[PNP Fin]]-Horaires35673413[[#This Row],[PNP Début]],1))*24</f>
        <v>0</v>
      </c>
      <c r="K24" s="59">
        <f>IF(Horaires35673413[[#This Row],[PNP Début]]=0,0,IF(Horaires35673413[[#This Row],[PNP Début]]&lt;Horaires35673413[[#This Row],[début]],1,0)+Horaires35673413[[#This Row],[PNP Début]])</f>
        <v>0</v>
      </c>
      <c r="L24" s="60">
        <f>IF(Horaires35673413[[#This Row],[PNP Fin]]=0,0,IF(Horaires35673413[[#This Row],[PNP Fin]]&lt;Horaires35673413[[#This Row],[début]],1,0)+Horaires35673413[[#This Row],[PNP Fin]])</f>
        <v>0</v>
      </c>
      <c r="M24" s="60">
        <f>IF(Horaires35673413[[#This Row],[Fin]]&lt;Horaires35673413[[#This Row],[début]],1,0)+Horaires35673413[[#This Row],[Fin]]</f>
        <v>0</v>
      </c>
      <c r="N24" s="61">
        <f>MAX(0,MIN(Horaires35673413[[#This Row],[Fin corrigée si nuit]],fin_nuit)-MAX(Horaires35673413[[#This Row],[début]],deb_nuit))*24</f>
        <v>0</v>
      </c>
      <c r="O24" s="62">
        <f>(MAX(0,MIN(Horaires35673413[[#This Row],[Fin corrigée si nuit]],fin_nuit)-MAX(Horaires35673413[[#This Row],[début]],deb_nuit))-IF(Horaires35673413[[#This Row],[PNP Début]]=0,0,MIN(Horaires35673413[[#This Row],[PNP Fin corrigée]],fin_nuit)-MAX(Horaires35673413[[#This Row],[PNP Début corrigé]],deb_nuit)))*24</f>
        <v>0</v>
      </c>
      <c r="P24" s="62">
        <f>(IF(WEEKDAY(Horaires35673413[[#This Row],[Date]],2)=7,MAX(0,MIN(fin_dimJF,Horaires35673413[[#This Row],[Fin corrigée si nuit]])-MAX(deb_dimJF,Horaires35673413[[#This Row],[début]])),0)+IF(WEEKDAY(Horaires35673413[[#This Row],[Date]],2)=6,MAX(0,Horaires35673413[[#This Row],[Fin corrigée si nuit]]-(1+deb_dimJF)),0))*24</f>
        <v>0</v>
      </c>
      <c r="Q24"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4" s="62">
        <f>(IF(COUNTIF(JF,Horaires35673413[[#This Row],[Date]]),MAX(0,MIN(fin_dimJF,Horaires35673413[[#This Row],[Fin corrigée si nuit]])-MAX(deb_dimJF,Horaires35673413[[#This Row],[début]])),0)+IF(COUNTIF(JF,Horaires35673413[[#This Row],[Date]]+1),MAX(0,Horaires35673413[[#This Row],[Fin corrigée si nuit]]-(1+deb_dimJF)),0))*24</f>
        <v>0</v>
      </c>
      <c r="S24"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5" spans="1:19" x14ac:dyDescent="0.35">
      <c r="A25" s="9"/>
      <c r="B25" s="1"/>
      <c r="C25" s="2"/>
      <c r="D25" s="2"/>
      <c r="E25" s="3"/>
      <c r="F25" s="3"/>
      <c r="G25" s="3"/>
      <c r="H25" s="3"/>
      <c r="I25" s="57">
        <f>0.1*(Horaires35673413[[#This Row],[Heures de nuit]]+Horaires35673413[[#This Row],[heures jour dimanche]]+Horaires35673413[[#This Row],[heures jour fériés]])</f>
        <v>0</v>
      </c>
      <c r="J25" s="58">
        <f>(MOD(Horaires35673413[[#This Row],[Fin]]-Horaires35673413[[#This Row],[début]],1)-MOD(Horaires35673413[[#This Row],[PNP Fin]]-Horaires35673413[[#This Row],[PNP Début]],1))*24</f>
        <v>0</v>
      </c>
      <c r="K25" s="59">
        <f>IF(Horaires35673413[[#This Row],[PNP Début]]=0,0,IF(Horaires35673413[[#This Row],[PNP Début]]&lt;Horaires35673413[[#This Row],[début]],1,0)+Horaires35673413[[#This Row],[PNP Début]])</f>
        <v>0</v>
      </c>
      <c r="L25" s="60">
        <f>IF(Horaires35673413[[#This Row],[PNP Fin]]=0,0,IF(Horaires35673413[[#This Row],[PNP Fin]]&lt;Horaires35673413[[#This Row],[début]],1,0)+Horaires35673413[[#This Row],[PNP Fin]])</f>
        <v>0</v>
      </c>
      <c r="M25" s="60">
        <f>IF(Horaires35673413[[#This Row],[Fin]]&lt;Horaires35673413[[#This Row],[début]],1,0)+Horaires35673413[[#This Row],[Fin]]</f>
        <v>0</v>
      </c>
      <c r="N25" s="61">
        <f>MAX(0,MIN(Horaires35673413[[#This Row],[Fin corrigée si nuit]],fin_nuit)-MAX(Horaires35673413[[#This Row],[début]],deb_nuit))*24</f>
        <v>0</v>
      </c>
      <c r="O25" s="62">
        <f>(MAX(0,MIN(Horaires35673413[[#This Row],[Fin corrigée si nuit]],fin_nuit)-MAX(Horaires35673413[[#This Row],[début]],deb_nuit))-IF(Horaires35673413[[#This Row],[PNP Début]]=0,0,MIN(Horaires35673413[[#This Row],[PNP Fin corrigée]],fin_nuit)-MAX(Horaires35673413[[#This Row],[PNP Début corrigé]],deb_nuit)))*24</f>
        <v>0</v>
      </c>
      <c r="P25" s="62">
        <f>(IF(WEEKDAY(Horaires35673413[[#This Row],[Date]],2)=7,MAX(0,MIN(fin_dimJF,Horaires35673413[[#This Row],[Fin corrigée si nuit]])-MAX(deb_dimJF,Horaires35673413[[#This Row],[début]])),0)+IF(WEEKDAY(Horaires35673413[[#This Row],[Date]],2)=6,MAX(0,Horaires35673413[[#This Row],[Fin corrigée si nuit]]-(1+deb_dimJF)),0))*24</f>
        <v>0</v>
      </c>
      <c r="Q25"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5" s="62">
        <f>(IF(COUNTIF(JF,Horaires35673413[[#This Row],[Date]]),MAX(0,MIN(fin_dimJF,Horaires35673413[[#This Row],[Fin corrigée si nuit]])-MAX(deb_dimJF,Horaires35673413[[#This Row],[début]])),0)+IF(COUNTIF(JF,Horaires35673413[[#This Row],[Date]]+1),MAX(0,Horaires35673413[[#This Row],[Fin corrigée si nuit]]-(1+deb_dimJF)),0))*24</f>
        <v>0</v>
      </c>
      <c r="S25"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6" spans="1:19" ht="21" customHeight="1" x14ac:dyDescent="0.35">
      <c r="A26" s="9"/>
      <c r="B26" s="1"/>
      <c r="C26" s="2"/>
      <c r="D26" s="2"/>
      <c r="E26" s="3"/>
      <c r="F26" s="3"/>
      <c r="G26" s="3"/>
      <c r="H26" s="3"/>
      <c r="I26" s="57">
        <f>0.1*(Horaires35673413[[#This Row],[Heures de nuit]]+Horaires35673413[[#This Row],[heures jour dimanche]]+Horaires35673413[[#This Row],[heures jour fériés]])</f>
        <v>0</v>
      </c>
      <c r="J26" s="58">
        <f>(MOD(Horaires35673413[[#This Row],[Fin]]-Horaires35673413[[#This Row],[début]],1)-MOD(Horaires35673413[[#This Row],[PNP Fin]]-Horaires35673413[[#This Row],[PNP Début]],1))*24</f>
        <v>0</v>
      </c>
      <c r="K26" s="59">
        <f>IF(Horaires35673413[[#This Row],[PNP Début]]=0,0,IF(Horaires35673413[[#This Row],[PNP Début]]&lt;Horaires35673413[[#This Row],[début]],1,0)+Horaires35673413[[#This Row],[PNP Début]])</f>
        <v>0</v>
      </c>
      <c r="L26" s="60">
        <f>IF(Horaires35673413[[#This Row],[PNP Fin]]=0,0,IF(Horaires35673413[[#This Row],[PNP Fin]]&lt;Horaires35673413[[#This Row],[début]],1,0)+Horaires35673413[[#This Row],[PNP Fin]])</f>
        <v>0</v>
      </c>
      <c r="M26" s="60">
        <f>IF(Horaires35673413[[#This Row],[Fin]]&lt;Horaires35673413[[#This Row],[début]],1,0)+Horaires35673413[[#This Row],[Fin]]</f>
        <v>0</v>
      </c>
      <c r="N26" s="61">
        <f>MAX(0,MIN(Horaires35673413[[#This Row],[Fin corrigée si nuit]],fin_nuit)-MAX(Horaires35673413[[#This Row],[début]],deb_nuit))*24</f>
        <v>0</v>
      </c>
      <c r="O26" s="62">
        <f>(MAX(0,MIN(Horaires35673413[[#This Row],[Fin corrigée si nuit]],fin_nuit)-MAX(Horaires35673413[[#This Row],[début]],deb_nuit))-IF(Horaires35673413[[#This Row],[PNP Début]]=0,0,MIN(Horaires35673413[[#This Row],[PNP Fin corrigée]],fin_nuit)-MAX(Horaires35673413[[#This Row],[PNP Début corrigé]],deb_nuit)))*24</f>
        <v>0</v>
      </c>
      <c r="P26" s="62">
        <f>(IF(WEEKDAY(Horaires35673413[[#This Row],[Date]],2)=7,MAX(0,MIN(fin_dimJF,Horaires35673413[[#This Row],[Fin corrigée si nuit]])-MAX(deb_dimJF,Horaires35673413[[#This Row],[début]])),0)+IF(WEEKDAY(Horaires35673413[[#This Row],[Date]],2)=6,MAX(0,Horaires35673413[[#This Row],[Fin corrigée si nuit]]-(1+deb_dimJF)),0))*24</f>
        <v>0</v>
      </c>
      <c r="Q26"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6" s="62">
        <f>(IF(COUNTIF(JF,Horaires35673413[[#This Row],[Date]]),MAX(0,MIN(fin_dimJF,Horaires35673413[[#This Row],[Fin corrigée si nuit]])-MAX(deb_dimJF,Horaires35673413[[#This Row],[début]])),0)+IF(COUNTIF(JF,Horaires35673413[[#This Row],[Date]]+1),MAX(0,Horaires35673413[[#This Row],[Fin corrigée si nuit]]-(1+deb_dimJF)),0))*24</f>
        <v>0</v>
      </c>
      <c r="S26"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7" spans="1:19" x14ac:dyDescent="0.35">
      <c r="A27" s="9"/>
      <c r="B27" s="1"/>
      <c r="C27" s="2"/>
      <c r="D27" s="2"/>
      <c r="E27" s="3"/>
      <c r="F27" s="3"/>
      <c r="G27" s="3"/>
      <c r="H27" s="3"/>
      <c r="I27" s="57">
        <f>0.1*(Horaires35673413[[#This Row],[Heures de nuit]]+Horaires35673413[[#This Row],[heures jour dimanche]]+Horaires35673413[[#This Row],[heures jour fériés]])</f>
        <v>0</v>
      </c>
      <c r="J27" s="58">
        <f>(MOD(Horaires35673413[[#This Row],[Fin]]-Horaires35673413[[#This Row],[début]],1)-MOD(Horaires35673413[[#This Row],[PNP Fin]]-Horaires35673413[[#This Row],[PNP Début]],1))*24</f>
        <v>0</v>
      </c>
      <c r="K27" s="59">
        <f>IF(Horaires35673413[[#This Row],[PNP Début]]=0,0,IF(Horaires35673413[[#This Row],[PNP Début]]&lt;Horaires35673413[[#This Row],[début]],1,0)+Horaires35673413[[#This Row],[PNP Début]])</f>
        <v>0</v>
      </c>
      <c r="L27" s="60">
        <f>IF(Horaires35673413[[#This Row],[PNP Fin]]=0,0,IF(Horaires35673413[[#This Row],[PNP Fin]]&lt;Horaires35673413[[#This Row],[début]],1,0)+Horaires35673413[[#This Row],[PNP Fin]])</f>
        <v>0</v>
      </c>
      <c r="M27" s="60">
        <f>IF(Horaires35673413[[#This Row],[Fin]]&lt;Horaires35673413[[#This Row],[début]],1,0)+Horaires35673413[[#This Row],[Fin]]</f>
        <v>0</v>
      </c>
      <c r="N27" s="61">
        <f>MAX(0,MIN(Horaires35673413[[#This Row],[Fin corrigée si nuit]],fin_nuit)-MAX(Horaires35673413[[#This Row],[début]],deb_nuit))*24</f>
        <v>0</v>
      </c>
      <c r="O27" s="62">
        <f>(MAX(0,MIN(Horaires35673413[[#This Row],[Fin corrigée si nuit]],fin_nuit)-MAX(Horaires35673413[[#This Row],[début]],deb_nuit))-IF(Horaires35673413[[#This Row],[PNP Début]]=0,0,MIN(Horaires35673413[[#This Row],[PNP Fin corrigée]],fin_nuit)-MAX(Horaires35673413[[#This Row],[PNP Début corrigé]],deb_nuit)))*24</f>
        <v>0</v>
      </c>
      <c r="P27" s="62">
        <f>(IF(WEEKDAY(Horaires35673413[[#This Row],[Date]],2)=7,MAX(0,MIN(fin_dimJF,Horaires35673413[[#This Row],[Fin corrigée si nuit]])-MAX(deb_dimJF,Horaires35673413[[#This Row],[début]])),0)+IF(WEEKDAY(Horaires35673413[[#This Row],[Date]],2)=6,MAX(0,Horaires35673413[[#This Row],[Fin corrigée si nuit]]-(1+deb_dimJF)),0))*24</f>
        <v>0</v>
      </c>
      <c r="Q27"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7" s="62">
        <f>(IF(COUNTIF(JF,Horaires35673413[[#This Row],[Date]]),MAX(0,MIN(fin_dimJF,Horaires35673413[[#This Row],[Fin corrigée si nuit]])-MAX(deb_dimJF,Horaires35673413[[#This Row],[début]])),0)+IF(COUNTIF(JF,Horaires35673413[[#This Row],[Date]]+1),MAX(0,Horaires35673413[[#This Row],[Fin corrigée si nuit]]-(1+deb_dimJF)),0))*24</f>
        <v>0</v>
      </c>
      <c r="S27"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8" spans="1:19" x14ac:dyDescent="0.35">
      <c r="A28" s="9"/>
      <c r="B28" s="1"/>
      <c r="C28" s="2"/>
      <c r="D28" s="2"/>
      <c r="E28" s="3"/>
      <c r="F28" s="3"/>
      <c r="G28" s="3"/>
      <c r="H28" s="3"/>
      <c r="I28" s="57">
        <f>0.1*(Horaires35673413[[#This Row],[Heures de nuit]]+Horaires35673413[[#This Row],[heures jour dimanche]]+Horaires35673413[[#This Row],[heures jour fériés]])</f>
        <v>0</v>
      </c>
      <c r="J28" s="58">
        <f>(MOD(Horaires35673413[[#This Row],[Fin]]-Horaires35673413[[#This Row],[début]],1)-MOD(Horaires35673413[[#This Row],[PNP Fin]]-Horaires35673413[[#This Row],[PNP Début]],1))*24</f>
        <v>0</v>
      </c>
      <c r="K28" s="59">
        <f>IF(Horaires35673413[[#This Row],[PNP Début]]=0,0,IF(Horaires35673413[[#This Row],[PNP Début]]&lt;Horaires35673413[[#This Row],[début]],1,0)+Horaires35673413[[#This Row],[PNP Début]])</f>
        <v>0</v>
      </c>
      <c r="L28" s="60">
        <f>IF(Horaires35673413[[#This Row],[PNP Fin]]=0,0,IF(Horaires35673413[[#This Row],[PNP Fin]]&lt;Horaires35673413[[#This Row],[début]],1,0)+Horaires35673413[[#This Row],[PNP Fin]])</f>
        <v>0</v>
      </c>
      <c r="M28" s="60">
        <f>IF(Horaires35673413[[#This Row],[Fin]]&lt;Horaires35673413[[#This Row],[début]],1,0)+Horaires35673413[[#This Row],[Fin]]</f>
        <v>0</v>
      </c>
      <c r="N28" s="61">
        <f>MAX(0,MIN(Horaires35673413[[#This Row],[Fin corrigée si nuit]],fin_nuit)-MAX(Horaires35673413[[#This Row],[début]],deb_nuit))*24</f>
        <v>0</v>
      </c>
      <c r="O28" s="62">
        <f>(MAX(0,MIN(Horaires35673413[[#This Row],[Fin corrigée si nuit]],fin_nuit)-MAX(Horaires35673413[[#This Row],[début]],deb_nuit))-IF(Horaires35673413[[#This Row],[PNP Début]]=0,0,MIN(Horaires35673413[[#This Row],[PNP Fin corrigée]],fin_nuit)-MAX(Horaires35673413[[#This Row],[PNP Début corrigé]],deb_nuit)))*24</f>
        <v>0</v>
      </c>
      <c r="P28" s="62">
        <f>(IF(WEEKDAY(Horaires35673413[[#This Row],[Date]],2)=7,MAX(0,MIN(fin_dimJF,Horaires35673413[[#This Row],[Fin corrigée si nuit]])-MAX(deb_dimJF,Horaires35673413[[#This Row],[début]])),0)+IF(WEEKDAY(Horaires35673413[[#This Row],[Date]],2)=6,MAX(0,Horaires35673413[[#This Row],[Fin corrigée si nuit]]-(1+deb_dimJF)),0))*24</f>
        <v>0</v>
      </c>
      <c r="Q28"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8" s="62">
        <f>(IF(COUNTIF(JF,Horaires35673413[[#This Row],[Date]]),MAX(0,MIN(fin_dimJF,Horaires35673413[[#This Row],[Fin corrigée si nuit]])-MAX(deb_dimJF,Horaires35673413[[#This Row],[début]])),0)+IF(COUNTIF(JF,Horaires35673413[[#This Row],[Date]]+1),MAX(0,Horaires35673413[[#This Row],[Fin corrigée si nuit]]-(1+deb_dimJF)),0))*24</f>
        <v>0</v>
      </c>
      <c r="S28"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29" spans="1:19" x14ac:dyDescent="0.35">
      <c r="A29" s="9"/>
      <c r="B29" s="1"/>
      <c r="C29" s="2"/>
      <c r="D29" s="2"/>
      <c r="E29" s="3"/>
      <c r="F29" s="3"/>
      <c r="G29" s="3"/>
      <c r="H29" s="3"/>
      <c r="I29" s="57">
        <f>0.1*(Horaires35673413[[#This Row],[Heures de nuit]]+Horaires35673413[[#This Row],[heures jour dimanche]]+Horaires35673413[[#This Row],[heures jour fériés]])</f>
        <v>0</v>
      </c>
      <c r="J29" s="58">
        <f>(MOD(Horaires35673413[[#This Row],[Fin]]-Horaires35673413[[#This Row],[début]],1)-MOD(Horaires35673413[[#This Row],[PNP Fin]]-Horaires35673413[[#This Row],[PNP Début]],1))*24</f>
        <v>0</v>
      </c>
      <c r="K29" s="59">
        <f>IF(Horaires35673413[[#This Row],[PNP Début]]=0,0,IF(Horaires35673413[[#This Row],[PNP Début]]&lt;Horaires35673413[[#This Row],[début]],1,0)+Horaires35673413[[#This Row],[PNP Début]])</f>
        <v>0</v>
      </c>
      <c r="L29" s="60">
        <f>IF(Horaires35673413[[#This Row],[PNP Fin]]=0,0,IF(Horaires35673413[[#This Row],[PNP Fin]]&lt;Horaires35673413[[#This Row],[début]],1,0)+Horaires35673413[[#This Row],[PNP Fin]])</f>
        <v>0</v>
      </c>
      <c r="M29" s="60">
        <f>IF(Horaires35673413[[#This Row],[Fin]]&lt;Horaires35673413[[#This Row],[début]],1,0)+Horaires35673413[[#This Row],[Fin]]</f>
        <v>0</v>
      </c>
      <c r="N29" s="61">
        <f>MAX(0,MIN(Horaires35673413[[#This Row],[Fin corrigée si nuit]],fin_nuit)-MAX(Horaires35673413[[#This Row],[début]],deb_nuit))*24</f>
        <v>0</v>
      </c>
      <c r="O29" s="62">
        <f>(MAX(0,MIN(Horaires35673413[[#This Row],[Fin corrigée si nuit]],fin_nuit)-MAX(Horaires35673413[[#This Row],[début]],deb_nuit))-IF(Horaires35673413[[#This Row],[PNP Début]]=0,0,MIN(Horaires35673413[[#This Row],[PNP Fin corrigée]],fin_nuit)-MAX(Horaires35673413[[#This Row],[PNP Début corrigé]],deb_nuit)))*24</f>
        <v>0</v>
      </c>
      <c r="P29" s="62">
        <f>(IF(WEEKDAY(Horaires35673413[[#This Row],[Date]],2)=7,MAX(0,MIN(fin_dimJF,Horaires35673413[[#This Row],[Fin corrigée si nuit]])-MAX(deb_dimJF,Horaires35673413[[#This Row],[début]])),0)+IF(WEEKDAY(Horaires35673413[[#This Row],[Date]],2)=6,MAX(0,Horaires35673413[[#This Row],[Fin corrigée si nuit]]-(1+deb_dimJF)),0))*24</f>
        <v>0</v>
      </c>
      <c r="Q29"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29" s="62">
        <f>(IF(COUNTIF(JF,Horaires35673413[[#This Row],[Date]]),MAX(0,MIN(fin_dimJF,Horaires35673413[[#This Row],[Fin corrigée si nuit]])-MAX(deb_dimJF,Horaires35673413[[#This Row],[début]])),0)+IF(COUNTIF(JF,Horaires35673413[[#This Row],[Date]]+1),MAX(0,Horaires35673413[[#This Row],[Fin corrigée si nuit]]-(1+deb_dimJF)),0))*24</f>
        <v>0</v>
      </c>
      <c r="S29"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0" spans="1:19" x14ac:dyDescent="0.35">
      <c r="A30" s="9"/>
      <c r="B30" s="1"/>
      <c r="C30" s="2"/>
      <c r="D30" s="2"/>
      <c r="E30" s="3"/>
      <c r="F30" s="3"/>
      <c r="G30" s="3"/>
      <c r="H30" s="3"/>
      <c r="I30" s="57">
        <f>0.1*(Horaires35673413[[#This Row],[Heures de nuit]]+Horaires35673413[[#This Row],[heures jour dimanche]]+Horaires35673413[[#This Row],[heures jour fériés]])</f>
        <v>0</v>
      </c>
      <c r="J30" s="58">
        <f>(MOD(Horaires35673413[[#This Row],[Fin]]-Horaires35673413[[#This Row],[début]],1)-MOD(Horaires35673413[[#This Row],[PNP Fin]]-Horaires35673413[[#This Row],[PNP Début]],1))*24</f>
        <v>0</v>
      </c>
      <c r="K30" s="59">
        <f>IF(Horaires35673413[[#This Row],[PNP Début]]=0,0,IF(Horaires35673413[[#This Row],[PNP Début]]&lt;Horaires35673413[[#This Row],[début]],1,0)+Horaires35673413[[#This Row],[PNP Début]])</f>
        <v>0</v>
      </c>
      <c r="L30" s="60">
        <f>IF(Horaires35673413[[#This Row],[PNP Fin]]=0,0,IF(Horaires35673413[[#This Row],[PNP Fin]]&lt;Horaires35673413[[#This Row],[début]],1,0)+Horaires35673413[[#This Row],[PNP Fin]])</f>
        <v>0</v>
      </c>
      <c r="M30" s="60">
        <f>IF(Horaires35673413[[#This Row],[Fin]]&lt;Horaires35673413[[#This Row],[début]],1,0)+Horaires35673413[[#This Row],[Fin]]</f>
        <v>0</v>
      </c>
      <c r="N30" s="61">
        <f>MAX(0,MIN(Horaires35673413[[#This Row],[Fin corrigée si nuit]],fin_nuit)-MAX(Horaires35673413[[#This Row],[début]],deb_nuit))*24</f>
        <v>0</v>
      </c>
      <c r="O30" s="62">
        <f>(MAX(0,MIN(Horaires35673413[[#This Row],[Fin corrigée si nuit]],fin_nuit)-MAX(Horaires35673413[[#This Row],[début]],deb_nuit))-IF(Horaires35673413[[#This Row],[PNP Début]]=0,0,MIN(Horaires35673413[[#This Row],[PNP Fin corrigée]],fin_nuit)-MAX(Horaires35673413[[#This Row],[PNP Début corrigé]],deb_nuit)))*24</f>
        <v>0</v>
      </c>
      <c r="P30" s="62">
        <f>(IF(WEEKDAY(Horaires35673413[[#This Row],[Date]],2)=7,MAX(0,MIN(fin_dimJF,Horaires35673413[[#This Row],[Fin corrigée si nuit]])-MAX(deb_dimJF,Horaires35673413[[#This Row],[début]])),0)+IF(WEEKDAY(Horaires35673413[[#This Row],[Date]],2)=6,MAX(0,Horaires35673413[[#This Row],[Fin corrigée si nuit]]-(1+deb_dimJF)),0))*24</f>
        <v>0</v>
      </c>
      <c r="Q30"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0" s="62">
        <f>(IF(COUNTIF(JF,Horaires35673413[[#This Row],[Date]]),MAX(0,MIN(fin_dimJF,Horaires35673413[[#This Row],[Fin corrigée si nuit]])-MAX(deb_dimJF,Horaires35673413[[#This Row],[début]])),0)+IF(COUNTIF(JF,Horaires35673413[[#This Row],[Date]]+1),MAX(0,Horaires35673413[[#This Row],[Fin corrigée si nuit]]-(1+deb_dimJF)),0))*24</f>
        <v>0</v>
      </c>
      <c r="S30"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1" spans="1:19" x14ac:dyDescent="0.35">
      <c r="A31" s="9"/>
      <c r="B31" s="1"/>
      <c r="C31" s="2"/>
      <c r="D31" s="2"/>
      <c r="E31" s="3"/>
      <c r="F31" s="3"/>
      <c r="G31" s="3"/>
      <c r="H31" s="3"/>
      <c r="I31" s="57">
        <f>0.1*(Horaires35673413[[#This Row],[Heures de nuit]]+Horaires35673413[[#This Row],[heures jour dimanche]]+Horaires35673413[[#This Row],[heures jour fériés]])</f>
        <v>0</v>
      </c>
      <c r="J31" s="58">
        <f>(MOD(Horaires35673413[[#This Row],[Fin]]-Horaires35673413[[#This Row],[début]],1)-MOD(Horaires35673413[[#This Row],[PNP Fin]]-Horaires35673413[[#This Row],[PNP Début]],1))*24</f>
        <v>0</v>
      </c>
      <c r="K31" s="59">
        <f>IF(Horaires35673413[[#This Row],[PNP Début]]=0,0,IF(Horaires35673413[[#This Row],[PNP Début]]&lt;Horaires35673413[[#This Row],[début]],1,0)+Horaires35673413[[#This Row],[PNP Début]])</f>
        <v>0</v>
      </c>
      <c r="L31" s="60">
        <f>IF(Horaires35673413[[#This Row],[PNP Fin]]=0,0,IF(Horaires35673413[[#This Row],[PNP Fin]]&lt;Horaires35673413[[#This Row],[début]],1,0)+Horaires35673413[[#This Row],[PNP Fin]])</f>
        <v>0</v>
      </c>
      <c r="M31" s="60">
        <f>IF(Horaires35673413[[#This Row],[Fin]]&lt;Horaires35673413[[#This Row],[début]],1,0)+Horaires35673413[[#This Row],[Fin]]</f>
        <v>0</v>
      </c>
      <c r="N31" s="61">
        <f>MAX(0,MIN(Horaires35673413[[#This Row],[Fin corrigée si nuit]],fin_nuit)-MAX(Horaires35673413[[#This Row],[début]],deb_nuit))*24</f>
        <v>0</v>
      </c>
      <c r="O31" s="62">
        <f>(MAX(0,MIN(Horaires35673413[[#This Row],[Fin corrigée si nuit]],fin_nuit)-MAX(Horaires35673413[[#This Row],[début]],deb_nuit))-IF(Horaires35673413[[#This Row],[PNP Début]]=0,0,MIN(Horaires35673413[[#This Row],[PNP Fin corrigée]],fin_nuit)-MAX(Horaires35673413[[#This Row],[PNP Début corrigé]],deb_nuit)))*24</f>
        <v>0</v>
      </c>
      <c r="P31" s="62">
        <f>(IF(WEEKDAY(Horaires35673413[[#This Row],[Date]],2)=7,MAX(0,MIN(fin_dimJF,Horaires35673413[[#This Row],[Fin corrigée si nuit]])-MAX(deb_dimJF,Horaires35673413[[#This Row],[début]])),0)+IF(WEEKDAY(Horaires35673413[[#This Row],[Date]],2)=6,MAX(0,Horaires35673413[[#This Row],[Fin corrigée si nuit]]-(1+deb_dimJF)),0))*24</f>
        <v>0</v>
      </c>
      <c r="Q31"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1" s="62">
        <f>(IF(COUNTIF(JF,Horaires35673413[[#This Row],[Date]]),MAX(0,MIN(fin_dimJF,Horaires35673413[[#This Row],[Fin corrigée si nuit]])-MAX(deb_dimJF,Horaires35673413[[#This Row],[début]])),0)+IF(COUNTIF(JF,Horaires35673413[[#This Row],[Date]]+1),MAX(0,Horaires35673413[[#This Row],[Fin corrigée si nuit]]-(1+deb_dimJF)),0))*24</f>
        <v>0</v>
      </c>
      <c r="S31"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2" spans="1:19" ht="14.5" customHeight="1" x14ac:dyDescent="0.35">
      <c r="A32" s="9"/>
      <c r="B32" s="1"/>
      <c r="C32" s="2"/>
      <c r="D32" s="2"/>
      <c r="E32" s="3"/>
      <c r="F32" s="3"/>
      <c r="G32" s="3"/>
      <c r="H32" s="3"/>
      <c r="I32" s="57">
        <f>0.1*(Horaires35673413[[#This Row],[Heures de nuit]]+Horaires35673413[[#This Row],[heures jour dimanche]]+Horaires35673413[[#This Row],[heures jour fériés]])</f>
        <v>0</v>
      </c>
      <c r="J32" s="58">
        <f>(MOD(Horaires35673413[[#This Row],[Fin]]-Horaires35673413[[#This Row],[début]],1)-MOD(Horaires35673413[[#This Row],[PNP Fin]]-Horaires35673413[[#This Row],[PNP Début]],1))*24</f>
        <v>0</v>
      </c>
      <c r="K32" s="59">
        <f>IF(Horaires35673413[[#This Row],[PNP Début]]=0,0,IF(Horaires35673413[[#This Row],[PNP Début]]&lt;Horaires35673413[[#This Row],[début]],1,0)+Horaires35673413[[#This Row],[PNP Début]])</f>
        <v>0</v>
      </c>
      <c r="L32" s="60">
        <f>IF(Horaires35673413[[#This Row],[PNP Fin]]=0,0,IF(Horaires35673413[[#This Row],[PNP Fin]]&lt;Horaires35673413[[#This Row],[début]],1,0)+Horaires35673413[[#This Row],[PNP Fin]])</f>
        <v>0</v>
      </c>
      <c r="M32" s="60">
        <f>IF(Horaires35673413[[#This Row],[Fin]]&lt;Horaires35673413[[#This Row],[début]],1,0)+Horaires35673413[[#This Row],[Fin]]</f>
        <v>0</v>
      </c>
      <c r="N32" s="61">
        <f>MAX(0,MIN(Horaires35673413[[#This Row],[Fin corrigée si nuit]],fin_nuit)-MAX(Horaires35673413[[#This Row],[début]],deb_nuit))*24</f>
        <v>0</v>
      </c>
      <c r="O32" s="62">
        <f>(MAX(0,MIN(Horaires35673413[[#This Row],[Fin corrigée si nuit]],fin_nuit)-MAX(Horaires35673413[[#This Row],[début]],deb_nuit))-IF(Horaires35673413[[#This Row],[PNP Début]]=0,0,MIN(Horaires35673413[[#This Row],[PNP Fin corrigée]],fin_nuit)-MAX(Horaires35673413[[#This Row],[PNP Début corrigé]],deb_nuit)))*24</f>
        <v>0</v>
      </c>
      <c r="P32" s="62">
        <f>(IF(WEEKDAY(Horaires35673413[[#This Row],[Date]],2)=7,MAX(0,MIN(fin_dimJF,Horaires35673413[[#This Row],[Fin corrigée si nuit]])-MAX(deb_dimJF,Horaires35673413[[#This Row],[début]])),0)+IF(WEEKDAY(Horaires35673413[[#This Row],[Date]],2)=6,MAX(0,Horaires35673413[[#This Row],[Fin corrigée si nuit]]-(1+deb_dimJF)),0))*24</f>
        <v>0</v>
      </c>
      <c r="Q32"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2" s="62">
        <f>(IF(COUNTIF(JF,Horaires35673413[[#This Row],[Date]]),MAX(0,MIN(fin_dimJF,Horaires35673413[[#This Row],[Fin corrigée si nuit]])-MAX(deb_dimJF,Horaires35673413[[#This Row],[début]])),0)+IF(COUNTIF(JF,Horaires35673413[[#This Row],[Date]]+1),MAX(0,Horaires35673413[[#This Row],[Fin corrigée si nuit]]-(1+deb_dimJF)),0))*24</f>
        <v>0</v>
      </c>
      <c r="S32"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3" spans="1:19" x14ac:dyDescent="0.35">
      <c r="A33" s="9"/>
      <c r="B33" s="1"/>
      <c r="C33" s="2"/>
      <c r="D33" s="2"/>
      <c r="E33" s="3"/>
      <c r="F33" s="3"/>
      <c r="G33" s="3"/>
      <c r="H33" s="3"/>
      <c r="I33" s="57">
        <f>0.1*(Horaires35673413[[#This Row],[Heures de nuit]]+Horaires35673413[[#This Row],[heures jour dimanche]]+Horaires35673413[[#This Row],[heures jour fériés]])</f>
        <v>0</v>
      </c>
      <c r="J33" s="58">
        <f>(MOD(Horaires35673413[[#This Row],[Fin]]-Horaires35673413[[#This Row],[début]],1)-MOD(Horaires35673413[[#This Row],[PNP Fin]]-Horaires35673413[[#This Row],[PNP Début]],1))*24</f>
        <v>0</v>
      </c>
      <c r="K33" s="59">
        <f>IF(Horaires35673413[[#This Row],[PNP Début]]=0,0,IF(Horaires35673413[[#This Row],[PNP Début]]&lt;Horaires35673413[[#This Row],[début]],1,0)+Horaires35673413[[#This Row],[PNP Début]])</f>
        <v>0</v>
      </c>
      <c r="L33" s="60">
        <f>IF(Horaires35673413[[#This Row],[PNP Fin]]=0,0,IF(Horaires35673413[[#This Row],[PNP Fin]]&lt;Horaires35673413[[#This Row],[début]],1,0)+Horaires35673413[[#This Row],[PNP Fin]])</f>
        <v>0</v>
      </c>
      <c r="M33" s="60">
        <f>IF(Horaires35673413[[#This Row],[Fin]]&lt;Horaires35673413[[#This Row],[début]],1,0)+Horaires35673413[[#This Row],[Fin]]</f>
        <v>0</v>
      </c>
      <c r="N33" s="61">
        <f>MAX(0,MIN(Horaires35673413[[#This Row],[Fin corrigée si nuit]],fin_nuit)-MAX(Horaires35673413[[#This Row],[début]],deb_nuit))*24</f>
        <v>0</v>
      </c>
      <c r="O33" s="62">
        <f>(MAX(0,MIN(Horaires35673413[[#This Row],[Fin corrigée si nuit]],fin_nuit)-MAX(Horaires35673413[[#This Row],[début]],deb_nuit))-IF(Horaires35673413[[#This Row],[PNP Début]]=0,0,MIN(Horaires35673413[[#This Row],[PNP Fin corrigée]],fin_nuit)-MAX(Horaires35673413[[#This Row],[PNP Début corrigé]],deb_nuit)))*24</f>
        <v>0</v>
      </c>
      <c r="P33" s="62">
        <f>(IF(WEEKDAY(Horaires35673413[[#This Row],[Date]],2)=7,MAX(0,MIN(fin_dimJF,Horaires35673413[[#This Row],[Fin corrigée si nuit]])-MAX(deb_dimJF,Horaires35673413[[#This Row],[début]])),0)+IF(WEEKDAY(Horaires35673413[[#This Row],[Date]],2)=6,MAX(0,Horaires35673413[[#This Row],[Fin corrigée si nuit]]-(1+deb_dimJF)),0))*24</f>
        <v>0</v>
      </c>
      <c r="Q33"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3" s="62">
        <f>(IF(COUNTIF(JF,Horaires35673413[[#This Row],[Date]]),MAX(0,MIN(fin_dimJF,Horaires35673413[[#This Row],[Fin corrigée si nuit]])-MAX(deb_dimJF,Horaires35673413[[#This Row],[début]])),0)+IF(COUNTIF(JF,Horaires35673413[[#This Row],[Date]]+1),MAX(0,Horaires35673413[[#This Row],[Fin corrigée si nuit]]-(1+deb_dimJF)),0))*24</f>
        <v>0</v>
      </c>
      <c r="S33"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4" spans="1:19" x14ac:dyDescent="0.35">
      <c r="A34" s="9"/>
      <c r="B34" s="1"/>
      <c r="C34" s="2"/>
      <c r="D34" s="2"/>
      <c r="E34" s="3"/>
      <c r="F34" s="3"/>
      <c r="G34" s="3"/>
      <c r="H34" s="3"/>
      <c r="I34" s="57">
        <f>0.1*(Horaires35673413[[#This Row],[Heures de nuit]]+Horaires35673413[[#This Row],[heures jour dimanche]]+Horaires35673413[[#This Row],[heures jour fériés]])</f>
        <v>0</v>
      </c>
      <c r="J34" s="58">
        <f>(MOD(Horaires35673413[[#This Row],[Fin]]-Horaires35673413[[#This Row],[début]],1)-MOD(Horaires35673413[[#This Row],[PNP Fin]]-Horaires35673413[[#This Row],[PNP Début]],1))*24</f>
        <v>0</v>
      </c>
      <c r="K34" s="59">
        <f>IF(Horaires35673413[[#This Row],[PNP Début]]=0,0,IF(Horaires35673413[[#This Row],[PNP Début]]&lt;Horaires35673413[[#This Row],[début]],1,0)+Horaires35673413[[#This Row],[PNP Début]])</f>
        <v>0</v>
      </c>
      <c r="L34" s="60">
        <f>IF(Horaires35673413[[#This Row],[PNP Fin]]=0,0,IF(Horaires35673413[[#This Row],[PNP Fin]]&lt;Horaires35673413[[#This Row],[début]],1,0)+Horaires35673413[[#This Row],[PNP Fin]])</f>
        <v>0</v>
      </c>
      <c r="M34" s="60">
        <f>IF(Horaires35673413[[#This Row],[Fin]]&lt;Horaires35673413[[#This Row],[début]],1,0)+Horaires35673413[[#This Row],[Fin]]</f>
        <v>0</v>
      </c>
      <c r="N34" s="61">
        <f>MAX(0,MIN(Horaires35673413[[#This Row],[Fin corrigée si nuit]],fin_nuit)-MAX(Horaires35673413[[#This Row],[début]],deb_nuit))*24</f>
        <v>0</v>
      </c>
      <c r="O34" s="62">
        <f>(MAX(0,MIN(Horaires35673413[[#This Row],[Fin corrigée si nuit]],fin_nuit)-MAX(Horaires35673413[[#This Row],[début]],deb_nuit))-IF(Horaires35673413[[#This Row],[PNP Début]]=0,0,MIN(Horaires35673413[[#This Row],[PNP Fin corrigée]],fin_nuit)-MAX(Horaires35673413[[#This Row],[PNP Début corrigé]],deb_nuit)))*24</f>
        <v>0</v>
      </c>
      <c r="P34" s="62">
        <f>(IF(WEEKDAY(Horaires35673413[[#This Row],[Date]],2)=7,MAX(0,MIN(fin_dimJF,Horaires35673413[[#This Row],[Fin corrigée si nuit]])-MAX(deb_dimJF,Horaires35673413[[#This Row],[début]])),0)+IF(WEEKDAY(Horaires35673413[[#This Row],[Date]],2)=6,MAX(0,Horaires35673413[[#This Row],[Fin corrigée si nuit]]-(1+deb_dimJF)),0))*24</f>
        <v>0</v>
      </c>
      <c r="Q34"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4" s="62">
        <f>(IF(COUNTIF(JF,Horaires35673413[[#This Row],[Date]]),MAX(0,MIN(fin_dimJF,Horaires35673413[[#This Row],[Fin corrigée si nuit]])-MAX(deb_dimJF,Horaires35673413[[#This Row],[début]])),0)+IF(COUNTIF(JF,Horaires35673413[[#This Row],[Date]]+1),MAX(0,Horaires35673413[[#This Row],[Fin corrigée si nuit]]-(1+deb_dimJF)),0))*24</f>
        <v>0</v>
      </c>
      <c r="S34"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5" spans="1:19" x14ac:dyDescent="0.35">
      <c r="A35" s="9"/>
      <c r="B35" s="1"/>
      <c r="C35" s="2"/>
      <c r="D35" s="2"/>
      <c r="E35" s="3"/>
      <c r="F35" s="3"/>
      <c r="G35" s="3"/>
      <c r="H35" s="3"/>
      <c r="I35" s="57">
        <f>0.1*(Horaires35673413[[#This Row],[Heures de nuit]]+Horaires35673413[[#This Row],[heures jour dimanche]]+Horaires35673413[[#This Row],[heures jour fériés]])</f>
        <v>0</v>
      </c>
      <c r="J35" s="58">
        <f>(MOD(Horaires35673413[[#This Row],[Fin]]-Horaires35673413[[#This Row],[début]],1)-MOD(Horaires35673413[[#This Row],[PNP Fin]]-Horaires35673413[[#This Row],[PNP Début]],1))*24</f>
        <v>0</v>
      </c>
      <c r="K35" s="59">
        <f>IF(Horaires35673413[[#This Row],[PNP Début]]=0,0,IF(Horaires35673413[[#This Row],[PNP Début]]&lt;Horaires35673413[[#This Row],[début]],1,0)+Horaires35673413[[#This Row],[PNP Début]])</f>
        <v>0</v>
      </c>
      <c r="L35" s="60">
        <f>IF(Horaires35673413[[#This Row],[PNP Fin]]=0,0,IF(Horaires35673413[[#This Row],[PNP Fin]]&lt;Horaires35673413[[#This Row],[début]],1,0)+Horaires35673413[[#This Row],[PNP Fin]])</f>
        <v>0</v>
      </c>
      <c r="M35" s="60">
        <f>IF(Horaires35673413[[#This Row],[Fin]]&lt;Horaires35673413[[#This Row],[début]],1,0)+Horaires35673413[[#This Row],[Fin]]</f>
        <v>0</v>
      </c>
      <c r="N35" s="61">
        <f>MAX(0,MIN(Horaires35673413[[#This Row],[Fin corrigée si nuit]],fin_nuit)-MAX(Horaires35673413[[#This Row],[début]],deb_nuit))*24</f>
        <v>0</v>
      </c>
      <c r="O35" s="62">
        <f>(MAX(0,MIN(Horaires35673413[[#This Row],[Fin corrigée si nuit]],fin_nuit)-MAX(Horaires35673413[[#This Row],[début]],deb_nuit))-IF(Horaires35673413[[#This Row],[PNP Début]]=0,0,MIN(Horaires35673413[[#This Row],[PNP Fin corrigée]],fin_nuit)-MAX(Horaires35673413[[#This Row],[PNP Début corrigé]],deb_nuit)))*24</f>
        <v>0</v>
      </c>
      <c r="P35" s="62">
        <f>(IF(WEEKDAY(Horaires35673413[[#This Row],[Date]],2)=7,MAX(0,MIN(fin_dimJF,Horaires35673413[[#This Row],[Fin corrigée si nuit]])-MAX(deb_dimJF,Horaires35673413[[#This Row],[début]])),0)+IF(WEEKDAY(Horaires35673413[[#This Row],[Date]],2)=6,MAX(0,Horaires35673413[[#This Row],[Fin corrigée si nuit]]-(1+deb_dimJF)),0))*24</f>
        <v>0</v>
      </c>
      <c r="Q35"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5" s="62">
        <f>(IF(COUNTIF(JF,Horaires35673413[[#This Row],[Date]]),MAX(0,MIN(fin_dimJF,Horaires35673413[[#This Row],[Fin corrigée si nuit]])-MAX(deb_dimJF,Horaires35673413[[#This Row],[début]])),0)+IF(COUNTIF(JF,Horaires35673413[[#This Row],[Date]]+1),MAX(0,Horaires35673413[[#This Row],[Fin corrigée si nuit]]-(1+deb_dimJF)),0))*24</f>
        <v>0</v>
      </c>
      <c r="S35"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6" spans="1:19" x14ac:dyDescent="0.35">
      <c r="A36" s="9"/>
      <c r="B36" s="1"/>
      <c r="C36" s="2"/>
      <c r="D36" s="2"/>
      <c r="E36" s="3"/>
      <c r="F36" s="3"/>
      <c r="G36" s="3"/>
      <c r="H36" s="3"/>
      <c r="I36" s="57">
        <f>0.1*(Horaires35673413[[#This Row],[Heures de nuit]]+Horaires35673413[[#This Row],[heures jour dimanche]]+Horaires35673413[[#This Row],[heures jour fériés]])</f>
        <v>0</v>
      </c>
      <c r="J36" s="58">
        <f>(MOD(Horaires35673413[[#This Row],[Fin]]-Horaires35673413[[#This Row],[début]],1)-MOD(Horaires35673413[[#This Row],[PNP Fin]]-Horaires35673413[[#This Row],[PNP Début]],1))*24</f>
        <v>0</v>
      </c>
      <c r="K36" s="59">
        <f>IF(Horaires35673413[[#This Row],[PNP Début]]=0,0,IF(Horaires35673413[[#This Row],[PNP Début]]&lt;Horaires35673413[[#This Row],[début]],1,0)+Horaires35673413[[#This Row],[PNP Début]])</f>
        <v>0</v>
      </c>
      <c r="L36" s="60">
        <f>IF(Horaires35673413[[#This Row],[PNP Fin]]=0,0,IF(Horaires35673413[[#This Row],[PNP Fin]]&lt;Horaires35673413[[#This Row],[début]],1,0)+Horaires35673413[[#This Row],[PNP Fin]])</f>
        <v>0</v>
      </c>
      <c r="M36" s="60">
        <f>IF(Horaires35673413[[#This Row],[Fin]]&lt;Horaires35673413[[#This Row],[début]],1,0)+Horaires35673413[[#This Row],[Fin]]</f>
        <v>0</v>
      </c>
      <c r="N36" s="61">
        <f>MAX(0,MIN(Horaires35673413[[#This Row],[Fin corrigée si nuit]],fin_nuit)-MAX(Horaires35673413[[#This Row],[début]],deb_nuit))*24</f>
        <v>0</v>
      </c>
      <c r="O36" s="62">
        <f>(MAX(0,MIN(Horaires35673413[[#This Row],[Fin corrigée si nuit]],fin_nuit)-MAX(Horaires35673413[[#This Row],[début]],deb_nuit))-IF(Horaires35673413[[#This Row],[PNP Début]]=0,0,MIN(Horaires35673413[[#This Row],[PNP Fin corrigée]],fin_nuit)-MAX(Horaires35673413[[#This Row],[PNP Début corrigé]],deb_nuit)))*24</f>
        <v>0</v>
      </c>
      <c r="P36" s="62">
        <f>(IF(WEEKDAY(Horaires35673413[[#This Row],[Date]],2)=7,MAX(0,MIN(fin_dimJF,Horaires35673413[[#This Row],[Fin corrigée si nuit]])-MAX(deb_dimJF,Horaires35673413[[#This Row],[début]])),0)+IF(WEEKDAY(Horaires35673413[[#This Row],[Date]],2)=6,MAX(0,Horaires35673413[[#This Row],[Fin corrigée si nuit]]-(1+deb_dimJF)),0))*24</f>
        <v>0</v>
      </c>
      <c r="Q36"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6" s="62">
        <f>(IF(COUNTIF(JF,Horaires35673413[[#This Row],[Date]]),MAX(0,MIN(fin_dimJF,Horaires35673413[[#This Row],[Fin corrigée si nuit]])-MAX(deb_dimJF,Horaires35673413[[#This Row],[début]])),0)+IF(COUNTIF(JF,Horaires35673413[[#This Row],[Date]]+1),MAX(0,Horaires35673413[[#This Row],[Fin corrigée si nuit]]-(1+deb_dimJF)),0))*24</f>
        <v>0</v>
      </c>
      <c r="S36"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7" spans="1:19" x14ac:dyDescent="0.35">
      <c r="A37" s="9"/>
      <c r="B37" s="1"/>
      <c r="C37" s="2"/>
      <c r="D37" s="2"/>
      <c r="E37" s="3"/>
      <c r="F37" s="3"/>
      <c r="G37" s="3"/>
      <c r="H37" s="3"/>
      <c r="I37" s="57">
        <f>0.1*(Horaires35673413[[#This Row],[Heures de nuit]]+Horaires35673413[[#This Row],[heures jour dimanche]]+Horaires35673413[[#This Row],[heures jour fériés]])</f>
        <v>0</v>
      </c>
      <c r="J37" s="58">
        <f>(MOD(Horaires35673413[[#This Row],[Fin]]-Horaires35673413[[#This Row],[début]],1)-MOD(Horaires35673413[[#This Row],[PNP Fin]]-Horaires35673413[[#This Row],[PNP Début]],1))*24</f>
        <v>0</v>
      </c>
      <c r="K37" s="59">
        <f>IF(Horaires35673413[[#This Row],[PNP Début]]=0,0,IF(Horaires35673413[[#This Row],[PNP Début]]&lt;Horaires35673413[[#This Row],[début]],1,0)+Horaires35673413[[#This Row],[PNP Début]])</f>
        <v>0</v>
      </c>
      <c r="L37" s="60">
        <f>IF(Horaires35673413[[#This Row],[PNP Fin]]=0,0,IF(Horaires35673413[[#This Row],[PNP Fin]]&lt;Horaires35673413[[#This Row],[début]],1,0)+Horaires35673413[[#This Row],[PNP Fin]])</f>
        <v>0</v>
      </c>
      <c r="M37" s="60">
        <f>IF(Horaires35673413[[#This Row],[Fin]]&lt;Horaires35673413[[#This Row],[début]],1,0)+Horaires35673413[[#This Row],[Fin]]</f>
        <v>0</v>
      </c>
      <c r="N37" s="61">
        <f>MAX(0,MIN(Horaires35673413[[#This Row],[Fin corrigée si nuit]],fin_nuit)-MAX(Horaires35673413[[#This Row],[début]],deb_nuit))*24</f>
        <v>0</v>
      </c>
      <c r="O37" s="62">
        <f>(MAX(0,MIN(Horaires35673413[[#This Row],[Fin corrigée si nuit]],fin_nuit)-MAX(Horaires35673413[[#This Row],[début]],deb_nuit))-IF(Horaires35673413[[#This Row],[PNP Début]]=0,0,MIN(Horaires35673413[[#This Row],[PNP Fin corrigée]],fin_nuit)-MAX(Horaires35673413[[#This Row],[PNP Début corrigé]],deb_nuit)))*24</f>
        <v>0</v>
      </c>
      <c r="P37" s="62">
        <f>(IF(WEEKDAY(Horaires35673413[[#This Row],[Date]],2)=7,MAX(0,MIN(fin_dimJF,Horaires35673413[[#This Row],[Fin corrigée si nuit]])-MAX(deb_dimJF,Horaires35673413[[#This Row],[début]])),0)+IF(WEEKDAY(Horaires35673413[[#This Row],[Date]],2)=6,MAX(0,Horaires35673413[[#This Row],[Fin corrigée si nuit]]-(1+deb_dimJF)),0))*24</f>
        <v>0</v>
      </c>
      <c r="Q37"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7" s="62">
        <f>(IF(COUNTIF(JF,Horaires35673413[[#This Row],[Date]]),MAX(0,MIN(fin_dimJF,Horaires35673413[[#This Row],[Fin corrigée si nuit]])-MAX(deb_dimJF,Horaires35673413[[#This Row],[début]])),0)+IF(COUNTIF(JF,Horaires35673413[[#This Row],[Date]]+1),MAX(0,Horaires35673413[[#This Row],[Fin corrigée si nuit]]-(1+deb_dimJF)),0))*24</f>
        <v>0</v>
      </c>
      <c r="S37"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8" spans="1:19" x14ac:dyDescent="0.35">
      <c r="A38" s="9"/>
      <c r="B38" s="1"/>
      <c r="C38" s="2"/>
      <c r="D38" s="2"/>
      <c r="E38" s="3"/>
      <c r="F38" s="3"/>
      <c r="G38" s="3"/>
      <c r="H38" s="3"/>
      <c r="I38" s="57">
        <f>0.1*(Horaires35673413[[#This Row],[Heures de nuit]]+Horaires35673413[[#This Row],[heures jour dimanche]]+Horaires35673413[[#This Row],[heures jour fériés]])</f>
        <v>0</v>
      </c>
      <c r="J38" s="58">
        <f>(MOD(Horaires35673413[[#This Row],[Fin]]-Horaires35673413[[#This Row],[début]],1)-MOD(Horaires35673413[[#This Row],[PNP Fin]]-Horaires35673413[[#This Row],[PNP Début]],1))*24</f>
        <v>0</v>
      </c>
      <c r="K38" s="59">
        <f>IF(Horaires35673413[[#This Row],[PNP Début]]=0,0,IF(Horaires35673413[[#This Row],[PNP Début]]&lt;Horaires35673413[[#This Row],[début]],1,0)+Horaires35673413[[#This Row],[PNP Début]])</f>
        <v>0</v>
      </c>
      <c r="L38" s="60">
        <f>IF(Horaires35673413[[#This Row],[PNP Fin]]=0,0,IF(Horaires35673413[[#This Row],[PNP Fin]]&lt;Horaires35673413[[#This Row],[début]],1,0)+Horaires35673413[[#This Row],[PNP Fin]])</f>
        <v>0</v>
      </c>
      <c r="M38" s="60">
        <f>IF(Horaires35673413[[#This Row],[Fin]]&lt;Horaires35673413[[#This Row],[début]],1,0)+Horaires35673413[[#This Row],[Fin]]</f>
        <v>0</v>
      </c>
      <c r="N38" s="61">
        <f>MAX(0,MIN(Horaires35673413[[#This Row],[Fin corrigée si nuit]],fin_nuit)-MAX(Horaires35673413[[#This Row],[début]],deb_nuit))*24</f>
        <v>0</v>
      </c>
      <c r="O38" s="62">
        <f>(MAX(0,MIN(Horaires35673413[[#This Row],[Fin corrigée si nuit]],fin_nuit)-MAX(Horaires35673413[[#This Row],[début]],deb_nuit))-IF(Horaires35673413[[#This Row],[PNP Début]]=0,0,MIN(Horaires35673413[[#This Row],[PNP Fin corrigée]],fin_nuit)-MAX(Horaires35673413[[#This Row],[PNP Début corrigé]],deb_nuit)))*24</f>
        <v>0</v>
      </c>
      <c r="P38" s="62">
        <f>(IF(WEEKDAY(Horaires35673413[[#This Row],[Date]],2)=7,MAX(0,MIN(fin_dimJF,Horaires35673413[[#This Row],[Fin corrigée si nuit]])-MAX(deb_dimJF,Horaires35673413[[#This Row],[début]])),0)+IF(WEEKDAY(Horaires35673413[[#This Row],[Date]],2)=6,MAX(0,Horaires35673413[[#This Row],[Fin corrigée si nuit]]-(1+deb_dimJF)),0))*24</f>
        <v>0</v>
      </c>
      <c r="Q38"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8" s="62">
        <f>(IF(COUNTIF(JF,Horaires35673413[[#This Row],[Date]]),MAX(0,MIN(fin_dimJF,Horaires35673413[[#This Row],[Fin corrigée si nuit]])-MAX(deb_dimJF,Horaires35673413[[#This Row],[début]])),0)+IF(COUNTIF(JF,Horaires35673413[[#This Row],[Date]]+1),MAX(0,Horaires35673413[[#This Row],[Fin corrigée si nuit]]-(1+deb_dimJF)),0))*24</f>
        <v>0</v>
      </c>
      <c r="S38"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39" spans="1:19" x14ac:dyDescent="0.35">
      <c r="A39" s="9"/>
      <c r="B39" s="1"/>
      <c r="C39" s="2"/>
      <c r="D39" s="2"/>
      <c r="E39" s="3"/>
      <c r="F39" s="3"/>
      <c r="G39" s="3"/>
      <c r="H39" s="3"/>
      <c r="I39" s="57">
        <f>0.1*(Horaires35673413[[#This Row],[Heures de nuit]]+Horaires35673413[[#This Row],[heures jour dimanche]]+Horaires35673413[[#This Row],[heures jour fériés]])</f>
        <v>0</v>
      </c>
      <c r="J39" s="58">
        <f>(MOD(Horaires35673413[[#This Row],[Fin]]-Horaires35673413[[#This Row],[début]],1)-MOD(Horaires35673413[[#This Row],[PNP Fin]]-Horaires35673413[[#This Row],[PNP Début]],1))*24</f>
        <v>0</v>
      </c>
      <c r="K39" s="59">
        <f>IF(Horaires35673413[[#This Row],[PNP Début]]=0,0,IF(Horaires35673413[[#This Row],[PNP Début]]&lt;Horaires35673413[[#This Row],[début]],1,0)+Horaires35673413[[#This Row],[PNP Début]])</f>
        <v>0</v>
      </c>
      <c r="L39" s="60">
        <f>IF(Horaires35673413[[#This Row],[PNP Fin]]=0,0,IF(Horaires35673413[[#This Row],[PNP Fin]]&lt;Horaires35673413[[#This Row],[début]],1,0)+Horaires35673413[[#This Row],[PNP Fin]])</f>
        <v>0</v>
      </c>
      <c r="M39" s="60">
        <f>IF(Horaires35673413[[#This Row],[Fin]]&lt;Horaires35673413[[#This Row],[début]],1,0)+Horaires35673413[[#This Row],[Fin]]</f>
        <v>0</v>
      </c>
      <c r="N39" s="61">
        <f>MAX(0,MIN(Horaires35673413[[#This Row],[Fin corrigée si nuit]],fin_nuit)-MAX(Horaires35673413[[#This Row],[début]],deb_nuit))*24</f>
        <v>0</v>
      </c>
      <c r="O39" s="62">
        <f>(MAX(0,MIN(Horaires35673413[[#This Row],[Fin corrigée si nuit]],fin_nuit)-MAX(Horaires35673413[[#This Row],[début]],deb_nuit))-IF(Horaires35673413[[#This Row],[PNP Début]]=0,0,MIN(Horaires35673413[[#This Row],[PNP Fin corrigée]],fin_nuit)-MAX(Horaires35673413[[#This Row],[PNP Début corrigé]],deb_nuit)))*24</f>
        <v>0</v>
      </c>
      <c r="P39" s="62">
        <f>(IF(WEEKDAY(Horaires35673413[[#This Row],[Date]],2)=7,MAX(0,MIN(fin_dimJF,Horaires35673413[[#This Row],[Fin corrigée si nuit]])-MAX(deb_dimJF,Horaires35673413[[#This Row],[début]])),0)+IF(WEEKDAY(Horaires35673413[[#This Row],[Date]],2)=6,MAX(0,Horaires35673413[[#This Row],[Fin corrigée si nuit]]-(1+deb_dimJF)),0))*24</f>
        <v>0</v>
      </c>
      <c r="Q39"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39" s="62">
        <f>(IF(COUNTIF(JF,Horaires35673413[[#This Row],[Date]]),MAX(0,MIN(fin_dimJF,Horaires35673413[[#This Row],[Fin corrigée si nuit]])-MAX(deb_dimJF,Horaires35673413[[#This Row],[début]])),0)+IF(COUNTIF(JF,Horaires35673413[[#This Row],[Date]]+1),MAX(0,Horaires35673413[[#This Row],[Fin corrigée si nuit]]-(1+deb_dimJF)),0))*24</f>
        <v>0</v>
      </c>
      <c r="S39"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0" spans="1:19" x14ac:dyDescent="0.35">
      <c r="A40" s="9"/>
      <c r="B40" s="1"/>
      <c r="C40" s="2"/>
      <c r="D40" s="2"/>
      <c r="E40" s="3"/>
      <c r="F40" s="3"/>
      <c r="G40" s="3"/>
      <c r="H40" s="3"/>
      <c r="I40" s="57">
        <f>0.1*(Horaires35673413[[#This Row],[Heures de nuit]]+Horaires35673413[[#This Row],[heures jour dimanche]]+Horaires35673413[[#This Row],[heures jour fériés]])</f>
        <v>0</v>
      </c>
      <c r="J40" s="58">
        <f>(MOD(Horaires35673413[[#This Row],[Fin]]-Horaires35673413[[#This Row],[début]],1)-MOD(Horaires35673413[[#This Row],[PNP Fin]]-Horaires35673413[[#This Row],[PNP Début]],1))*24</f>
        <v>0</v>
      </c>
      <c r="K40" s="59">
        <f>IF(Horaires35673413[[#This Row],[PNP Début]]=0,0,IF(Horaires35673413[[#This Row],[PNP Début]]&lt;Horaires35673413[[#This Row],[début]],1,0)+Horaires35673413[[#This Row],[PNP Début]])</f>
        <v>0</v>
      </c>
      <c r="L40" s="60">
        <f>IF(Horaires35673413[[#This Row],[PNP Fin]]=0,0,IF(Horaires35673413[[#This Row],[PNP Fin]]&lt;Horaires35673413[[#This Row],[début]],1,0)+Horaires35673413[[#This Row],[PNP Fin]])</f>
        <v>0</v>
      </c>
      <c r="M40" s="60">
        <f>IF(Horaires35673413[[#This Row],[Fin]]&lt;Horaires35673413[[#This Row],[début]],1,0)+Horaires35673413[[#This Row],[Fin]]</f>
        <v>0</v>
      </c>
      <c r="N40" s="61">
        <f>MAX(0,MIN(Horaires35673413[[#This Row],[Fin corrigée si nuit]],fin_nuit)-MAX(Horaires35673413[[#This Row],[début]],deb_nuit))*24</f>
        <v>0</v>
      </c>
      <c r="O40" s="62">
        <f>(MAX(0,MIN(Horaires35673413[[#This Row],[Fin corrigée si nuit]],fin_nuit)-MAX(Horaires35673413[[#This Row],[début]],deb_nuit))-IF(Horaires35673413[[#This Row],[PNP Début]]=0,0,MIN(Horaires35673413[[#This Row],[PNP Fin corrigée]],fin_nuit)-MAX(Horaires35673413[[#This Row],[PNP Début corrigé]],deb_nuit)))*24</f>
        <v>0</v>
      </c>
      <c r="P40" s="62">
        <f>(IF(WEEKDAY(Horaires35673413[[#This Row],[Date]],2)=7,MAX(0,MIN(fin_dimJF,Horaires35673413[[#This Row],[Fin corrigée si nuit]])-MAX(deb_dimJF,Horaires35673413[[#This Row],[début]])),0)+IF(WEEKDAY(Horaires35673413[[#This Row],[Date]],2)=6,MAX(0,Horaires35673413[[#This Row],[Fin corrigée si nuit]]-(1+deb_dimJF)),0))*24</f>
        <v>0</v>
      </c>
      <c r="Q40"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0" s="62">
        <f>(IF(COUNTIF(JF,Horaires35673413[[#This Row],[Date]]),MAX(0,MIN(fin_dimJF,Horaires35673413[[#This Row],[Fin corrigée si nuit]])-MAX(deb_dimJF,Horaires35673413[[#This Row],[début]])),0)+IF(COUNTIF(JF,Horaires35673413[[#This Row],[Date]]+1),MAX(0,Horaires35673413[[#This Row],[Fin corrigée si nuit]]-(1+deb_dimJF)),0))*24</f>
        <v>0</v>
      </c>
      <c r="S40"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1" spans="1:19" x14ac:dyDescent="0.35">
      <c r="A41" s="9"/>
      <c r="B41" s="1"/>
      <c r="C41" s="2"/>
      <c r="D41" s="2"/>
      <c r="E41" s="3"/>
      <c r="F41" s="3"/>
      <c r="G41" s="3"/>
      <c r="H41" s="3"/>
      <c r="I41" s="57">
        <f>0.1*(Horaires35673413[[#This Row],[Heures de nuit]]+Horaires35673413[[#This Row],[heures jour dimanche]]+Horaires35673413[[#This Row],[heures jour fériés]])</f>
        <v>0</v>
      </c>
      <c r="J41" s="58">
        <f>(MOD(Horaires35673413[[#This Row],[Fin]]-Horaires35673413[[#This Row],[début]],1)-MOD(Horaires35673413[[#This Row],[PNP Fin]]-Horaires35673413[[#This Row],[PNP Début]],1))*24</f>
        <v>0</v>
      </c>
      <c r="K41" s="59">
        <f>IF(Horaires35673413[[#This Row],[PNP Début]]=0,0,IF(Horaires35673413[[#This Row],[PNP Début]]&lt;Horaires35673413[[#This Row],[début]],1,0)+Horaires35673413[[#This Row],[PNP Début]])</f>
        <v>0</v>
      </c>
      <c r="L41" s="60">
        <f>IF(Horaires35673413[[#This Row],[PNP Fin]]=0,0,IF(Horaires35673413[[#This Row],[PNP Fin]]&lt;Horaires35673413[[#This Row],[début]],1,0)+Horaires35673413[[#This Row],[PNP Fin]])</f>
        <v>0</v>
      </c>
      <c r="M41" s="60">
        <f>IF(Horaires35673413[[#This Row],[Fin]]&lt;Horaires35673413[[#This Row],[début]],1,0)+Horaires35673413[[#This Row],[Fin]]</f>
        <v>0</v>
      </c>
      <c r="N41" s="61">
        <f>MAX(0,MIN(Horaires35673413[[#This Row],[Fin corrigée si nuit]],fin_nuit)-MAX(Horaires35673413[[#This Row],[début]],deb_nuit))*24</f>
        <v>0</v>
      </c>
      <c r="O41" s="62">
        <f>(MAX(0,MIN(Horaires35673413[[#This Row],[Fin corrigée si nuit]],fin_nuit)-MAX(Horaires35673413[[#This Row],[début]],deb_nuit))-IF(Horaires35673413[[#This Row],[PNP Début]]=0,0,MIN(Horaires35673413[[#This Row],[PNP Fin corrigée]],fin_nuit)-MAX(Horaires35673413[[#This Row],[PNP Début corrigé]],deb_nuit)))*24</f>
        <v>0</v>
      </c>
      <c r="P41" s="62">
        <f>(IF(WEEKDAY(Horaires35673413[[#This Row],[Date]],2)=7,MAX(0,MIN(fin_dimJF,Horaires35673413[[#This Row],[Fin corrigée si nuit]])-MAX(deb_dimJF,Horaires35673413[[#This Row],[début]])),0)+IF(WEEKDAY(Horaires35673413[[#This Row],[Date]],2)=6,MAX(0,Horaires35673413[[#This Row],[Fin corrigée si nuit]]-(1+deb_dimJF)),0))*24</f>
        <v>0</v>
      </c>
      <c r="Q41"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1" s="62">
        <f>(IF(COUNTIF(JF,Horaires35673413[[#This Row],[Date]]),MAX(0,MIN(fin_dimJF,Horaires35673413[[#This Row],[Fin corrigée si nuit]])-MAX(deb_dimJF,Horaires35673413[[#This Row],[début]])),0)+IF(COUNTIF(JF,Horaires35673413[[#This Row],[Date]]+1),MAX(0,Horaires35673413[[#This Row],[Fin corrigée si nuit]]-(1+deb_dimJF)),0))*24</f>
        <v>0</v>
      </c>
      <c r="S41"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2" spans="1:19" x14ac:dyDescent="0.35">
      <c r="A42" s="9"/>
      <c r="B42" s="1"/>
      <c r="C42" s="2"/>
      <c r="D42" s="2"/>
      <c r="E42" s="3"/>
      <c r="F42" s="3"/>
      <c r="G42" s="3"/>
      <c r="H42" s="3"/>
      <c r="I42" s="57">
        <f>0.1*(Horaires35673413[[#This Row],[Heures de nuit]]+Horaires35673413[[#This Row],[heures jour dimanche]]+Horaires35673413[[#This Row],[heures jour fériés]])</f>
        <v>0</v>
      </c>
      <c r="J42" s="58">
        <f>(MOD(Horaires35673413[[#This Row],[Fin]]-Horaires35673413[[#This Row],[début]],1)-MOD(Horaires35673413[[#This Row],[PNP Fin]]-Horaires35673413[[#This Row],[PNP Début]],1))*24</f>
        <v>0</v>
      </c>
      <c r="K42" s="59">
        <f>IF(Horaires35673413[[#This Row],[PNP Début]]=0,0,IF(Horaires35673413[[#This Row],[PNP Début]]&lt;Horaires35673413[[#This Row],[début]],1,0)+Horaires35673413[[#This Row],[PNP Début]])</f>
        <v>0</v>
      </c>
      <c r="L42" s="60">
        <f>IF(Horaires35673413[[#This Row],[PNP Fin]]=0,0,IF(Horaires35673413[[#This Row],[PNP Fin]]&lt;Horaires35673413[[#This Row],[début]],1,0)+Horaires35673413[[#This Row],[PNP Fin]])</f>
        <v>0</v>
      </c>
      <c r="M42" s="60">
        <f>IF(Horaires35673413[[#This Row],[Fin]]&lt;Horaires35673413[[#This Row],[début]],1,0)+Horaires35673413[[#This Row],[Fin]]</f>
        <v>0</v>
      </c>
      <c r="N42" s="61">
        <f>MAX(0,MIN(Horaires35673413[[#This Row],[Fin corrigée si nuit]],fin_nuit)-MAX(Horaires35673413[[#This Row],[début]],deb_nuit))*24</f>
        <v>0</v>
      </c>
      <c r="O42" s="62">
        <f>(MAX(0,MIN(Horaires35673413[[#This Row],[Fin corrigée si nuit]],fin_nuit)-MAX(Horaires35673413[[#This Row],[début]],deb_nuit))-IF(Horaires35673413[[#This Row],[PNP Début]]=0,0,MIN(Horaires35673413[[#This Row],[PNP Fin corrigée]],fin_nuit)-MAX(Horaires35673413[[#This Row],[PNP Début corrigé]],deb_nuit)))*24</f>
        <v>0</v>
      </c>
      <c r="P42" s="62">
        <f>(IF(WEEKDAY(Horaires35673413[[#This Row],[Date]],2)=7,MAX(0,MIN(fin_dimJF,Horaires35673413[[#This Row],[Fin corrigée si nuit]])-MAX(deb_dimJF,Horaires35673413[[#This Row],[début]])),0)+IF(WEEKDAY(Horaires35673413[[#This Row],[Date]],2)=6,MAX(0,Horaires35673413[[#This Row],[Fin corrigée si nuit]]-(1+deb_dimJF)),0))*24</f>
        <v>0</v>
      </c>
      <c r="Q42"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2" s="62">
        <f>(IF(COUNTIF(JF,Horaires35673413[[#This Row],[Date]]),MAX(0,MIN(fin_dimJF,Horaires35673413[[#This Row],[Fin corrigée si nuit]])-MAX(deb_dimJF,Horaires35673413[[#This Row],[début]])),0)+IF(COUNTIF(JF,Horaires35673413[[#This Row],[Date]]+1),MAX(0,Horaires35673413[[#This Row],[Fin corrigée si nuit]]-(1+deb_dimJF)),0))*24</f>
        <v>0</v>
      </c>
      <c r="S42"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3" spans="1:19" x14ac:dyDescent="0.35">
      <c r="A43" s="9"/>
      <c r="B43" s="1"/>
      <c r="C43" s="2"/>
      <c r="D43" s="2"/>
      <c r="E43" s="3"/>
      <c r="F43" s="3"/>
      <c r="G43" s="3"/>
      <c r="H43" s="3"/>
      <c r="I43" s="57">
        <f>0.1*(Horaires35673413[[#This Row],[Heures de nuit]]+Horaires35673413[[#This Row],[heures jour dimanche]]+Horaires35673413[[#This Row],[heures jour fériés]])</f>
        <v>0</v>
      </c>
      <c r="J43" s="58">
        <f>(MOD(Horaires35673413[[#This Row],[Fin]]-Horaires35673413[[#This Row],[début]],1)-MOD(Horaires35673413[[#This Row],[PNP Fin]]-Horaires35673413[[#This Row],[PNP Début]],1))*24</f>
        <v>0</v>
      </c>
      <c r="K43" s="59">
        <f>IF(Horaires35673413[[#This Row],[PNP Début]]=0,0,IF(Horaires35673413[[#This Row],[PNP Début]]&lt;Horaires35673413[[#This Row],[début]],1,0)+Horaires35673413[[#This Row],[PNP Début]])</f>
        <v>0</v>
      </c>
      <c r="L43" s="60">
        <f>IF(Horaires35673413[[#This Row],[PNP Fin]]=0,0,IF(Horaires35673413[[#This Row],[PNP Fin]]&lt;Horaires35673413[[#This Row],[début]],1,0)+Horaires35673413[[#This Row],[PNP Fin]])</f>
        <v>0</v>
      </c>
      <c r="M43" s="60">
        <f>IF(Horaires35673413[[#This Row],[Fin]]&lt;Horaires35673413[[#This Row],[début]],1,0)+Horaires35673413[[#This Row],[Fin]]</f>
        <v>0</v>
      </c>
      <c r="N43" s="61">
        <f>MAX(0,MIN(Horaires35673413[[#This Row],[Fin corrigée si nuit]],fin_nuit)-MAX(Horaires35673413[[#This Row],[début]],deb_nuit))*24</f>
        <v>0</v>
      </c>
      <c r="O43" s="62">
        <f>(MAX(0,MIN(Horaires35673413[[#This Row],[Fin corrigée si nuit]],fin_nuit)-MAX(Horaires35673413[[#This Row],[début]],deb_nuit))-IF(Horaires35673413[[#This Row],[PNP Début]]=0,0,MIN(Horaires35673413[[#This Row],[PNP Fin corrigée]],fin_nuit)-MAX(Horaires35673413[[#This Row],[PNP Début corrigé]],deb_nuit)))*24</f>
        <v>0</v>
      </c>
      <c r="P43" s="62">
        <f>(IF(WEEKDAY(Horaires35673413[[#This Row],[Date]],2)=7,MAX(0,MIN(fin_dimJF,Horaires35673413[[#This Row],[Fin corrigée si nuit]])-MAX(deb_dimJF,Horaires35673413[[#This Row],[début]])),0)+IF(WEEKDAY(Horaires35673413[[#This Row],[Date]],2)=6,MAX(0,Horaires35673413[[#This Row],[Fin corrigée si nuit]]-(1+deb_dimJF)),0))*24</f>
        <v>0</v>
      </c>
      <c r="Q43"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3" s="62">
        <f>(IF(COUNTIF(JF,Horaires35673413[[#This Row],[Date]]),MAX(0,MIN(fin_dimJF,Horaires35673413[[#This Row],[Fin corrigée si nuit]])-MAX(deb_dimJF,Horaires35673413[[#This Row],[début]])),0)+IF(COUNTIF(JF,Horaires35673413[[#This Row],[Date]]+1),MAX(0,Horaires35673413[[#This Row],[Fin corrigée si nuit]]-(1+deb_dimJF)),0))*24</f>
        <v>0</v>
      </c>
      <c r="S43"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4" spans="1:19" x14ac:dyDescent="0.35">
      <c r="A44" s="9"/>
      <c r="B44" s="1"/>
      <c r="C44" s="2"/>
      <c r="D44" s="2"/>
      <c r="E44" s="3"/>
      <c r="F44" s="3"/>
      <c r="G44" s="3"/>
      <c r="H44" s="3"/>
      <c r="I44" s="57">
        <f>0.1*(Horaires35673413[[#This Row],[Heures de nuit]]+Horaires35673413[[#This Row],[heures jour dimanche]]+Horaires35673413[[#This Row],[heures jour fériés]])</f>
        <v>0</v>
      </c>
      <c r="J44" s="58">
        <f>(MOD(Horaires35673413[[#This Row],[Fin]]-Horaires35673413[[#This Row],[début]],1)-MOD(Horaires35673413[[#This Row],[PNP Fin]]-Horaires35673413[[#This Row],[PNP Début]],1))*24</f>
        <v>0</v>
      </c>
      <c r="K44" s="59">
        <f>IF(Horaires35673413[[#This Row],[PNP Début]]=0,0,IF(Horaires35673413[[#This Row],[PNP Début]]&lt;Horaires35673413[[#This Row],[début]],1,0)+Horaires35673413[[#This Row],[PNP Début]])</f>
        <v>0</v>
      </c>
      <c r="L44" s="60">
        <f>IF(Horaires35673413[[#This Row],[PNP Fin]]=0,0,IF(Horaires35673413[[#This Row],[PNP Fin]]&lt;Horaires35673413[[#This Row],[début]],1,0)+Horaires35673413[[#This Row],[PNP Fin]])</f>
        <v>0</v>
      </c>
      <c r="M44" s="60">
        <f>IF(Horaires35673413[[#This Row],[Fin]]&lt;Horaires35673413[[#This Row],[début]],1,0)+Horaires35673413[[#This Row],[Fin]]</f>
        <v>0</v>
      </c>
      <c r="N44" s="61">
        <f>MAX(0,MIN(Horaires35673413[[#This Row],[Fin corrigée si nuit]],fin_nuit)-MAX(Horaires35673413[[#This Row],[début]],deb_nuit))*24</f>
        <v>0</v>
      </c>
      <c r="O44" s="62">
        <f>(MAX(0,MIN(Horaires35673413[[#This Row],[Fin corrigée si nuit]],fin_nuit)-MAX(Horaires35673413[[#This Row],[début]],deb_nuit))-IF(Horaires35673413[[#This Row],[PNP Début]]=0,0,MIN(Horaires35673413[[#This Row],[PNP Fin corrigée]],fin_nuit)-MAX(Horaires35673413[[#This Row],[PNP Début corrigé]],deb_nuit)))*24</f>
        <v>0</v>
      </c>
      <c r="P44" s="62">
        <f>(IF(WEEKDAY(Horaires35673413[[#This Row],[Date]],2)=7,MAX(0,MIN(fin_dimJF,Horaires35673413[[#This Row],[Fin corrigée si nuit]])-MAX(deb_dimJF,Horaires35673413[[#This Row],[début]])),0)+IF(WEEKDAY(Horaires35673413[[#This Row],[Date]],2)=6,MAX(0,Horaires35673413[[#This Row],[Fin corrigée si nuit]]-(1+deb_dimJF)),0))*24</f>
        <v>0</v>
      </c>
      <c r="Q44"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4" s="62">
        <f>(IF(COUNTIF(JF,Horaires35673413[[#This Row],[Date]]),MAX(0,MIN(fin_dimJF,Horaires35673413[[#This Row],[Fin corrigée si nuit]])-MAX(deb_dimJF,Horaires35673413[[#This Row],[début]])),0)+IF(COUNTIF(JF,Horaires35673413[[#This Row],[Date]]+1),MAX(0,Horaires35673413[[#This Row],[Fin corrigée si nuit]]-(1+deb_dimJF)),0))*24</f>
        <v>0</v>
      </c>
      <c r="S44"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5" spans="1:19" x14ac:dyDescent="0.35">
      <c r="A45" s="9"/>
      <c r="B45" s="1"/>
      <c r="C45" s="2"/>
      <c r="D45" s="2"/>
      <c r="E45" s="3"/>
      <c r="F45" s="3"/>
      <c r="G45" s="3"/>
      <c r="H45" s="3"/>
      <c r="I45" s="57">
        <f>0.1*(Horaires35673413[[#This Row],[Heures de nuit]]+Horaires35673413[[#This Row],[heures jour dimanche]]+Horaires35673413[[#This Row],[heures jour fériés]])</f>
        <v>0</v>
      </c>
      <c r="J45" s="58">
        <f>(MOD(Horaires35673413[[#This Row],[Fin]]-Horaires35673413[[#This Row],[début]],1)-MOD(Horaires35673413[[#This Row],[PNP Fin]]-Horaires35673413[[#This Row],[PNP Début]],1))*24</f>
        <v>0</v>
      </c>
      <c r="K45" s="59">
        <f>IF(Horaires35673413[[#This Row],[PNP Début]]=0,0,IF(Horaires35673413[[#This Row],[PNP Début]]&lt;Horaires35673413[[#This Row],[début]],1,0)+Horaires35673413[[#This Row],[PNP Début]])</f>
        <v>0</v>
      </c>
      <c r="L45" s="60">
        <f>IF(Horaires35673413[[#This Row],[PNP Fin]]=0,0,IF(Horaires35673413[[#This Row],[PNP Fin]]&lt;Horaires35673413[[#This Row],[début]],1,0)+Horaires35673413[[#This Row],[PNP Fin]])</f>
        <v>0</v>
      </c>
      <c r="M45" s="60">
        <f>IF(Horaires35673413[[#This Row],[Fin]]&lt;Horaires35673413[[#This Row],[début]],1,0)+Horaires35673413[[#This Row],[Fin]]</f>
        <v>0</v>
      </c>
      <c r="N45" s="61">
        <f>MAX(0,MIN(Horaires35673413[[#This Row],[Fin corrigée si nuit]],fin_nuit)-MAX(Horaires35673413[[#This Row],[début]],deb_nuit))*24</f>
        <v>0</v>
      </c>
      <c r="O45" s="62">
        <f>(MAX(0,MIN(Horaires35673413[[#This Row],[Fin corrigée si nuit]],fin_nuit)-MAX(Horaires35673413[[#This Row],[début]],deb_nuit))-IF(Horaires35673413[[#This Row],[PNP Début]]=0,0,MIN(Horaires35673413[[#This Row],[PNP Fin corrigée]],fin_nuit)-MAX(Horaires35673413[[#This Row],[PNP Début corrigé]],deb_nuit)))*24</f>
        <v>0</v>
      </c>
      <c r="P45" s="62">
        <f>(IF(WEEKDAY(Horaires35673413[[#This Row],[Date]],2)=7,MAX(0,MIN(fin_dimJF,Horaires35673413[[#This Row],[Fin corrigée si nuit]])-MAX(deb_dimJF,Horaires35673413[[#This Row],[début]])),0)+IF(WEEKDAY(Horaires35673413[[#This Row],[Date]],2)=6,MAX(0,Horaires35673413[[#This Row],[Fin corrigée si nuit]]-(1+deb_dimJF)),0))*24</f>
        <v>0</v>
      </c>
      <c r="Q45"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5" s="62">
        <f>(IF(COUNTIF(JF,Horaires35673413[[#This Row],[Date]]),MAX(0,MIN(fin_dimJF,Horaires35673413[[#This Row],[Fin corrigée si nuit]])-MAX(deb_dimJF,Horaires35673413[[#This Row],[début]])),0)+IF(COUNTIF(JF,Horaires35673413[[#This Row],[Date]]+1),MAX(0,Horaires35673413[[#This Row],[Fin corrigée si nuit]]-(1+deb_dimJF)),0))*24</f>
        <v>0</v>
      </c>
      <c r="S45"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6" spans="1:19" x14ac:dyDescent="0.35">
      <c r="A46" s="9"/>
      <c r="B46" s="1"/>
      <c r="C46" s="2"/>
      <c r="D46" s="2"/>
      <c r="E46" s="3"/>
      <c r="F46" s="3"/>
      <c r="G46" s="3"/>
      <c r="H46" s="3"/>
      <c r="I46" s="57">
        <f>0.1*(Horaires35673413[[#This Row],[Heures de nuit]]+Horaires35673413[[#This Row],[heures jour dimanche]]+Horaires35673413[[#This Row],[heures jour fériés]])</f>
        <v>0</v>
      </c>
      <c r="J46" s="58">
        <f>(MOD(Horaires35673413[[#This Row],[Fin]]-Horaires35673413[[#This Row],[début]],1)-MOD(Horaires35673413[[#This Row],[PNP Fin]]-Horaires35673413[[#This Row],[PNP Début]],1))*24</f>
        <v>0</v>
      </c>
      <c r="K46" s="59">
        <f>IF(Horaires35673413[[#This Row],[PNP Début]]=0,0,IF(Horaires35673413[[#This Row],[PNP Début]]&lt;Horaires35673413[[#This Row],[début]],1,0)+Horaires35673413[[#This Row],[PNP Début]])</f>
        <v>0</v>
      </c>
      <c r="L46" s="60">
        <f>IF(Horaires35673413[[#This Row],[PNP Fin]]=0,0,IF(Horaires35673413[[#This Row],[PNP Fin]]&lt;Horaires35673413[[#This Row],[début]],1,0)+Horaires35673413[[#This Row],[PNP Fin]])</f>
        <v>0</v>
      </c>
      <c r="M46" s="60">
        <f>IF(Horaires35673413[[#This Row],[Fin]]&lt;Horaires35673413[[#This Row],[début]],1,0)+Horaires35673413[[#This Row],[Fin]]</f>
        <v>0</v>
      </c>
      <c r="N46" s="61">
        <f>MAX(0,MIN(Horaires35673413[[#This Row],[Fin corrigée si nuit]],fin_nuit)-MAX(Horaires35673413[[#This Row],[début]],deb_nuit))*24</f>
        <v>0</v>
      </c>
      <c r="O46" s="62">
        <f>(MAX(0,MIN(Horaires35673413[[#This Row],[Fin corrigée si nuit]],fin_nuit)-MAX(Horaires35673413[[#This Row],[début]],deb_nuit))-IF(Horaires35673413[[#This Row],[PNP Début]]=0,0,MIN(Horaires35673413[[#This Row],[PNP Fin corrigée]],fin_nuit)-MAX(Horaires35673413[[#This Row],[PNP Début corrigé]],deb_nuit)))*24</f>
        <v>0</v>
      </c>
      <c r="P46" s="62">
        <f>(IF(WEEKDAY(Horaires35673413[[#This Row],[Date]],2)=7,MAX(0,MIN(fin_dimJF,Horaires35673413[[#This Row],[Fin corrigée si nuit]])-MAX(deb_dimJF,Horaires35673413[[#This Row],[début]])),0)+IF(WEEKDAY(Horaires35673413[[#This Row],[Date]],2)=6,MAX(0,Horaires35673413[[#This Row],[Fin corrigée si nuit]]-(1+deb_dimJF)),0))*24</f>
        <v>0</v>
      </c>
      <c r="Q46"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6" s="62">
        <f>(IF(COUNTIF(JF,Horaires35673413[[#This Row],[Date]]),MAX(0,MIN(fin_dimJF,Horaires35673413[[#This Row],[Fin corrigée si nuit]])-MAX(deb_dimJF,Horaires35673413[[#This Row],[début]])),0)+IF(COUNTIF(JF,Horaires35673413[[#This Row],[Date]]+1),MAX(0,Horaires35673413[[#This Row],[Fin corrigée si nuit]]-(1+deb_dimJF)),0))*24</f>
        <v>0</v>
      </c>
      <c r="S46"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7" spans="1:19" x14ac:dyDescent="0.35">
      <c r="A47" s="9"/>
      <c r="B47" s="1"/>
      <c r="C47" s="2"/>
      <c r="D47" s="2"/>
      <c r="E47" s="3"/>
      <c r="F47" s="3"/>
      <c r="G47" s="3"/>
      <c r="H47" s="3"/>
      <c r="I47" s="57">
        <f>0.1*(Horaires35673413[[#This Row],[Heures de nuit]]+Horaires35673413[[#This Row],[heures jour dimanche]]+Horaires35673413[[#This Row],[heures jour fériés]])</f>
        <v>0</v>
      </c>
      <c r="J47" s="58">
        <f>(MOD(Horaires35673413[[#This Row],[Fin]]-Horaires35673413[[#This Row],[début]],1)-MOD(Horaires35673413[[#This Row],[PNP Fin]]-Horaires35673413[[#This Row],[PNP Début]],1))*24</f>
        <v>0</v>
      </c>
      <c r="K47" s="59">
        <f>IF(Horaires35673413[[#This Row],[PNP Début]]=0,0,IF(Horaires35673413[[#This Row],[PNP Début]]&lt;Horaires35673413[[#This Row],[début]],1,0)+Horaires35673413[[#This Row],[PNP Début]])</f>
        <v>0</v>
      </c>
      <c r="L47" s="60">
        <f>IF(Horaires35673413[[#This Row],[PNP Fin]]=0,0,IF(Horaires35673413[[#This Row],[PNP Fin]]&lt;Horaires35673413[[#This Row],[début]],1,0)+Horaires35673413[[#This Row],[PNP Fin]])</f>
        <v>0</v>
      </c>
      <c r="M47" s="60">
        <f>IF(Horaires35673413[[#This Row],[Fin]]&lt;Horaires35673413[[#This Row],[début]],1,0)+Horaires35673413[[#This Row],[Fin]]</f>
        <v>0</v>
      </c>
      <c r="N47" s="61">
        <f>MAX(0,MIN(Horaires35673413[[#This Row],[Fin corrigée si nuit]],fin_nuit)-MAX(Horaires35673413[[#This Row],[début]],deb_nuit))*24</f>
        <v>0</v>
      </c>
      <c r="O47" s="62">
        <f>(MAX(0,MIN(Horaires35673413[[#This Row],[Fin corrigée si nuit]],fin_nuit)-MAX(Horaires35673413[[#This Row],[début]],deb_nuit))-IF(Horaires35673413[[#This Row],[PNP Début]]=0,0,MIN(Horaires35673413[[#This Row],[PNP Fin corrigée]],fin_nuit)-MAX(Horaires35673413[[#This Row],[PNP Début corrigé]],deb_nuit)))*24</f>
        <v>0</v>
      </c>
      <c r="P47" s="62">
        <f>(IF(WEEKDAY(Horaires35673413[[#This Row],[Date]],2)=7,MAX(0,MIN(fin_dimJF,Horaires35673413[[#This Row],[Fin corrigée si nuit]])-MAX(deb_dimJF,Horaires35673413[[#This Row],[début]])),0)+IF(WEEKDAY(Horaires35673413[[#This Row],[Date]],2)=6,MAX(0,Horaires35673413[[#This Row],[Fin corrigée si nuit]]-(1+deb_dimJF)),0))*24</f>
        <v>0</v>
      </c>
      <c r="Q47"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7" s="62">
        <f>(IF(COUNTIF(JF,Horaires35673413[[#This Row],[Date]]),MAX(0,MIN(fin_dimJF,Horaires35673413[[#This Row],[Fin corrigée si nuit]])-MAX(deb_dimJF,Horaires35673413[[#This Row],[début]])),0)+IF(COUNTIF(JF,Horaires35673413[[#This Row],[Date]]+1),MAX(0,Horaires35673413[[#This Row],[Fin corrigée si nuit]]-(1+deb_dimJF)),0))*24</f>
        <v>0</v>
      </c>
      <c r="S47"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8" spans="1:19" x14ac:dyDescent="0.35">
      <c r="A48" s="9"/>
      <c r="B48" s="1"/>
      <c r="C48" s="2"/>
      <c r="D48" s="2"/>
      <c r="E48" s="3"/>
      <c r="F48" s="3"/>
      <c r="G48" s="3"/>
      <c r="H48" s="3"/>
      <c r="I48" s="57">
        <f>0.1*(Horaires35673413[[#This Row],[Heures de nuit]]+Horaires35673413[[#This Row],[heures jour dimanche]]+Horaires35673413[[#This Row],[heures jour fériés]])</f>
        <v>0</v>
      </c>
      <c r="J48" s="58">
        <f>(MOD(Horaires35673413[[#This Row],[Fin]]-Horaires35673413[[#This Row],[début]],1)-MOD(Horaires35673413[[#This Row],[PNP Fin]]-Horaires35673413[[#This Row],[PNP Début]],1))*24</f>
        <v>0</v>
      </c>
      <c r="K48" s="59">
        <f>IF(Horaires35673413[[#This Row],[PNP Début]]=0,0,IF(Horaires35673413[[#This Row],[PNP Début]]&lt;Horaires35673413[[#This Row],[début]],1,0)+Horaires35673413[[#This Row],[PNP Début]])</f>
        <v>0</v>
      </c>
      <c r="L48" s="60">
        <f>IF(Horaires35673413[[#This Row],[PNP Fin]]=0,0,IF(Horaires35673413[[#This Row],[PNP Fin]]&lt;Horaires35673413[[#This Row],[début]],1,0)+Horaires35673413[[#This Row],[PNP Fin]])</f>
        <v>0</v>
      </c>
      <c r="M48" s="60">
        <f>IF(Horaires35673413[[#This Row],[Fin]]&lt;Horaires35673413[[#This Row],[début]],1,0)+Horaires35673413[[#This Row],[Fin]]</f>
        <v>0</v>
      </c>
      <c r="N48" s="61">
        <f>MAX(0,MIN(Horaires35673413[[#This Row],[Fin corrigée si nuit]],fin_nuit)-MAX(Horaires35673413[[#This Row],[début]],deb_nuit))*24</f>
        <v>0</v>
      </c>
      <c r="O48" s="62">
        <f>(MAX(0,MIN(Horaires35673413[[#This Row],[Fin corrigée si nuit]],fin_nuit)-MAX(Horaires35673413[[#This Row],[début]],deb_nuit))-IF(Horaires35673413[[#This Row],[PNP Début]]=0,0,MIN(Horaires35673413[[#This Row],[PNP Fin corrigée]],fin_nuit)-MAX(Horaires35673413[[#This Row],[PNP Début corrigé]],deb_nuit)))*24</f>
        <v>0</v>
      </c>
      <c r="P48" s="62">
        <f>(IF(WEEKDAY(Horaires35673413[[#This Row],[Date]],2)=7,MAX(0,MIN(fin_dimJF,Horaires35673413[[#This Row],[Fin corrigée si nuit]])-MAX(deb_dimJF,Horaires35673413[[#This Row],[début]])),0)+IF(WEEKDAY(Horaires35673413[[#This Row],[Date]],2)=6,MAX(0,Horaires35673413[[#This Row],[Fin corrigée si nuit]]-(1+deb_dimJF)),0))*24</f>
        <v>0</v>
      </c>
      <c r="Q48"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8" s="62">
        <f>(IF(COUNTIF(JF,Horaires35673413[[#This Row],[Date]]),MAX(0,MIN(fin_dimJF,Horaires35673413[[#This Row],[Fin corrigée si nuit]])-MAX(deb_dimJF,Horaires35673413[[#This Row],[début]])),0)+IF(COUNTIF(JF,Horaires35673413[[#This Row],[Date]]+1),MAX(0,Horaires35673413[[#This Row],[Fin corrigée si nuit]]-(1+deb_dimJF)),0))*24</f>
        <v>0</v>
      </c>
      <c r="S48"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49" spans="1:19" ht="15" thickBot="1" x14ac:dyDescent="0.4">
      <c r="A49" s="9"/>
      <c r="B49" s="1"/>
      <c r="C49" s="2"/>
      <c r="D49" s="2"/>
      <c r="E49" s="3"/>
      <c r="F49" s="3"/>
      <c r="G49" s="3"/>
      <c r="H49" s="3"/>
      <c r="I49" s="57">
        <f>0.1*(Horaires35673413[[#This Row],[Heures de nuit]]+Horaires35673413[[#This Row],[heures jour dimanche]]+Horaires35673413[[#This Row],[heures jour fériés]])</f>
        <v>0</v>
      </c>
      <c r="J49" s="58">
        <f>(MOD(Horaires35673413[[#This Row],[Fin]]-Horaires35673413[[#This Row],[début]],1)-MOD(Horaires35673413[[#This Row],[PNP Fin]]-Horaires35673413[[#This Row],[PNP Début]],1))*24</f>
        <v>0</v>
      </c>
      <c r="K49" s="59">
        <f>IF(Horaires35673413[[#This Row],[PNP Début]]=0,0,IF(Horaires35673413[[#This Row],[PNP Début]]&lt;Horaires35673413[[#This Row],[début]],1,0)+Horaires35673413[[#This Row],[PNP Début]])</f>
        <v>0</v>
      </c>
      <c r="L49" s="60">
        <f>IF(Horaires35673413[[#This Row],[PNP Fin]]=0,0,IF(Horaires35673413[[#This Row],[PNP Fin]]&lt;Horaires35673413[[#This Row],[début]],1,0)+Horaires35673413[[#This Row],[PNP Fin]])</f>
        <v>0</v>
      </c>
      <c r="M49" s="60">
        <f>IF(Horaires35673413[[#This Row],[Fin]]&lt;Horaires35673413[[#This Row],[début]],1,0)+Horaires35673413[[#This Row],[Fin]]</f>
        <v>0</v>
      </c>
      <c r="N49" s="61">
        <f>MAX(0,MIN(Horaires35673413[[#This Row],[Fin corrigée si nuit]],fin_nuit)-MAX(Horaires35673413[[#This Row],[début]],deb_nuit))*24</f>
        <v>0</v>
      </c>
      <c r="O49" s="62">
        <f>(MAX(0,MIN(Horaires35673413[[#This Row],[Fin corrigée si nuit]],fin_nuit)-MAX(Horaires35673413[[#This Row],[début]],deb_nuit))-IF(Horaires35673413[[#This Row],[PNP Début]]=0,0,MIN(Horaires35673413[[#This Row],[PNP Fin corrigée]],fin_nuit)-MAX(Horaires35673413[[#This Row],[PNP Début corrigé]],deb_nuit)))*24</f>
        <v>0</v>
      </c>
      <c r="P49" s="62">
        <f>(IF(WEEKDAY(Horaires35673413[[#This Row],[Date]],2)=7,MAX(0,MIN(fin_dimJF,Horaires35673413[[#This Row],[Fin corrigée si nuit]])-MAX(deb_dimJF,Horaires35673413[[#This Row],[début]])),0)+IF(WEEKDAY(Horaires35673413[[#This Row],[Date]],2)=6,MAX(0,Horaires35673413[[#This Row],[Fin corrigée si nuit]]-(1+deb_dimJF)),0))*24</f>
        <v>0</v>
      </c>
      <c r="Q49" s="62">
        <f>(IF(WEEKDAY(Horaires35673413[[#This Row],[Date]],2)=7,MAX(0,MIN(fin_dimJF,Horaires35673413[[#This Row],[Fin corrigée si nuit]])-MAX(deb_dimJF,Horaires35673413[[#This Row],[début]])),0)+IF(WEEKDAY(Horaires35673413[[#This Row],[Date]],2)=6,MAX(0,Horaires35673413[[#This Row],[Fin corrigée si nuit]]-(1+deb_dimJF)),0))*24-
(IF(WEEKDAY(Horaires35673413[[#This Row],[Date]],2)=7,MAX(0,MIN(fin_dimJF,Horaires35673413[[#This Row],[PNP Fin corrigée]])-MAX(deb_dimJF,Horaires35673413[[#This Row],[PNP Début corrigé]])),0)+IF(WEEKDAY(Horaires35673413[[#This Row],[Date]],2)=6,MAX(0,Horaires35673413[[#This Row],[PNP Fin corrigée]]-(1+deb_dimJF)),0))*24</f>
        <v>0</v>
      </c>
      <c r="R49" s="62">
        <f>(IF(COUNTIF(JF,Horaires35673413[[#This Row],[Date]]),MAX(0,MIN(fin_dimJF,Horaires35673413[[#This Row],[Fin corrigée si nuit]])-MAX(deb_dimJF,Horaires35673413[[#This Row],[début]])),0)+IF(COUNTIF(JF,Horaires35673413[[#This Row],[Date]]+1),MAX(0,Horaires35673413[[#This Row],[Fin corrigée si nuit]]-(1+deb_dimJF)),0))*24</f>
        <v>0</v>
      </c>
      <c r="S49" s="62">
        <f>(IF(COUNTIF(JF,Horaires35673413[[#This Row],[Date]]),MAX(0,MIN(fin_dimJF,Horaires35673413[[#This Row],[Fin corrigée si nuit]])-MAX(deb_dimJF,Horaires35673413[[#This Row],[début]])),0)+IF(COUNTIF(JF,Horaires35673413[[#This Row],[Date]]+1),MAX(0,Horaires35673413[[#This Row],[Fin corrigée si nuit]]-(1+deb_dimJF)),0))*24-
(IF(COUNTIF(JF,Horaires35673413[[#This Row],[Date]]),MAX(0,MIN(fin_dimJF,Horaires35673413[[#This Row],[PNP Fin corrigée]])-MAX(deb_dimJF,Horaires35673413[[#This Row],[PNP Début corrigé]])),0)+IF(COUNTIF(JF,Horaires35673413[[#This Row],[Date]]+1),MAX(0,Horaires35673413[[#This Row],[PNP Fin corrigée]]-(1+deb_dimJF)),0))*24</f>
        <v>0</v>
      </c>
    </row>
    <row r="50" spans="1:19" ht="16" thickBot="1" x14ac:dyDescent="0.4">
      <c r="A50" s="63"/>
      <c r="B50" s="25"/>
      <c r="C50" s="25"/>
      <c r="D50" s="25"/>
      <c r="E50" s="106" t="s">
        <v>32</v>
      </c>
      <c r="F50" s="107"/>
      <c r="G50" s="107"/>
      <c r="H50" s="108"/>
      <c r="I50" s="64">
        <f>SUM(Horaires35673413[Majoration])</f>
        <v>0</v>
      </c>
      <c r="J50" s="65">
        <f>SUM(Horaires35673413[Heures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allowBlank="1" showInputMessage="1" showErrorMessage="1" error="Tapez les heures sous le format_x000a_00:00" sqref="K12:N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rintOptions horizontalCentered="1"/>
  <pageMargins left="0" right="0" top="0" bottom="0" header="0" footer="0"/>
  <pageSetup paperSize="9" orientation="portrait"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S60"/>
  <sheetViews>
    <sheetView workbookViewId="0">
      <selection activeCell="U30" sqref="U30"/>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0.1*(Horaires356734512[[#This Row],[Heures de nuit]]+Horaires356734512[[#This Row],[heures jour dimanche]]+Horaires356734512[[#This Row],[heures jour fériés]])</f>
        <v>0</v>
      </c>
      <c r="J13" s="39">
        <f>(MOD(Horaires356734512[[#This Row],[Fin]]-Horaires356734512[[#This Row],[début]],1)-MOD(Horaires356734512[[#This Row],[PNP Fin]]-Horaires356734512[[#This Row],[PNP Début]],1))*24</f>
        <v>0</v>
      </c>
      <c r="K13" s="40">
        <f>IF(Horaires356734512[[#This Row],[PNP Début]]=0,0,IF(Horaires356734512[[#This Row],[PNP Début]]&lt;Horaires356734512[[#This Row],[début]],1,0)+Horaires356734512[[#This Row],[PNP Début]])</f>
        <v>0</v>
      </c>
      <c r="L13" s="40">
        <f>IF(Horaires356734512[[#This Row],[PNP Fin]]=0,0,IF(Horaires356734512[[#This Row],[PNP Fin]]&lt;Horaires356734512[[#This Row],[début]],1,0)+Horaires356734512[[#This Row],[PNP Fin]])</f>
        <v>0</v>
      </c>
      <c r="M13" s="40">
        <f>IF(Horaires356734512[[#This Row],[Fin]]&lt;Horaires356734512[[#This Row],[début]],1,0)+Horaires356734512[[#This Row],[Fin]]</f>
        <v>0</v>
      </c>
      <c r="N13" s="41">
        <f>MAX(0,MIN(Horaires356734512[[#This Row],[Fin corrigée si nuit]],fin_nuit)-MAX(Horaires356734512[[#This Row],[début]],deb_nuit))*24</f>
        <v>0</v>
      </c>
      <c r="O13" s="41">
        <f>(MAX(0,MIN(Horaires356734512[[#This Row],[Fin corrigée si nuit]],fin_nuit)-MAX(Horaires356734512[[#This Row],[début]],deb_nuit))-IF(Horaires356734512[[#This Row],[PNP Début]]=0,0,MIN(Horaires356734512[[#This Row],[PNP Fin corrigée]],fin_nuit)-MAX(Horaires356734512[[#This Row],[PNP Début corrigé]],deb_nuit)))*24</f>
        <v>0</v>
      </c>
      <c r="P13" s="41">
        <f>(IF(WEEKDAY(Horaires356734512[[#This Row],[Date]],2)=7,MAX(0,MIN(fin_dimJF,Horaires356734512[[#This Row],[Fin corrigée si nuit]])-MAX(deb_dimJF,Horaires356734512[[#This Row],[début]])),0)+IF(WEEKDAY(Horaires356734512[[#This Row],[Date]],2)=6,MAX(0,Horaires356734512[[#This Row],[Fin corrigée si nuit]]-(1+deb_dimJF)),0))*24</f>
        <v>0</v>
      </c>
      <c r="Q13" s="4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13" s="42">
        <f>(IF(COUNTIF(JF,Horaires356734512[[#This Row],[Date]]),MAX(0,MIN(fin_dimJF,Horaires356734512[[#This Row],[Fin corrigée si nuit]])-MAX(deb_dimJF,Horaires356734512[[#This Row],[début]])),0)+IF(COUNTIF(JF,Horaires356734512[[#This Row],[Date]]+1),MAX(0,Horaires356734512[[#This Row],[Fin corrigée si nuit]]-(1+deb_dimJF)),0))*24</f>
        <v>0</v>
      </c>
      <c r="S13" s="4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14" spans="1:19" x14ac:dyDescent="0.35">
      <c r="A14" s="9"/>
      <c r="B14" s="1"/>
      <c r="C14" s="2"/>
      <c r="D14" s="2"/>
      <c r="E14" s="3"/>
      <c r="F14" s="3"/>
      <c r="G14" s="3"/>
      <c r="H14" s="3"/>
      <c r="I14" s="38">
        <f>0.1*(Horaires356734512[[#This Row],[Heures de nuit]]+Horaires356734512[[#This Row],[heures jour dimanche]]+Horaires356734512[[#This Row],[heures jour fériés]])</f>
        <v>0</v>
      </c>
      <c r="J14" s="39">
        <f>(MOD(Horaires356734512[[#This Row],[Fin]]-Horaires356734512[[#This Row],[début]],1)-MOD(Horaires356734512[[#This Row],[PNP Fin]]-Horaires356734512[[#This Row],[PNP Début]],1))*24</f>
        <v>0</v>
      </c>
      <c r="K14" s="40">
        <f>IF(Horaires356734512[[#This Row],[PNP Début]]=0,0,IF(Horaires356734512[[#This Row],[PNP Début]]&lt;Horaires356734512[[#This Row],[début]],1,0)+Horaires356734512[[#This Row],[PNP Début]])</f>
        <v>0</v>
      </c>
      <c r="L14" s="40">
        <f>IF(Horaires356734512[[#This Row],[PNP Fin]]=0,0,IF(Horaires356734512[[#This Row],[PNP Fin]]&lt;Horaires356734512[[#This Row],[début]],1,0)+Horaires356734512[[#This Row],[PNP Fin]])</f>
        <v>0</v>
      </c>
      <c r="M14" s="40">
        <f>IF(Horaires356734512[[#This Row],[Fin]]&lt;Horaires356734512[[#This Row],[début]],1,0)+Horaires356734512[[#This Row],[Fin]]</f>
        <v>0</v>
      </c>
      <c r="N14" s="41">
        <f>MAX(0,MIN(Horaires356734512[[#This Row],[Fin corrigée si nuit]],fin_nuit)-MAX(Horaires356734512[[#This Row],[début]],deb_nuit))*24</f>
        <v>0</v>
      </c>
      <c r="O14" s="41">
        <f>(MAX(0,MIN(Horaires356734512[[#This Row],[Fin corrigée si nuit]],fin_nuit)-MAX(Horaires356734512[[#This Row],[début]],deb_nuit))-IF(Horaires356734512[[#This Row],[PNP Début]]=0,0,MIN(Horaires356734512[[#This Row],[PNP Fin corrigée]],fin_nuit)-MAX(Horaires356734512[[#This Row],[PNP Début corrigé]],deb_nuit)))*24</f>
        <v>0</v>
      </c>
      <c r="P14" s="41">
        <f>(IF(WEEKDAY(Horaires356734512[[#This Row],[Date]],2)=7,MAX(0,MIN(fin_dimJF,Horaires356734512[[#This Row],[Fin corrigée si nuit]])-MAX(deb_dimJF,Horaires356734512[[#This Row],[début]])),0)+IF(WEEKDAY(Horaires356734512[[#This Row],[Date]],2)=6,MAX(0,Horaires356734512[[#This Row],[Fin corrigée si nuit]]-(1+deb_dimJF)),0))*24</f>
        <v>0</v>
      </c>
      <c r="Q14" s="4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14" s="42">
        <f>(IF(COUNTIF(JF,Horaires356734512[[#This Row],[Date]]),MAX(0,MIN(fin_dimJF,Horaires356734512[[#This Row],[Fin corrigée si nuit]])-MAX(deb_dimJF,Horaires356734512[[#This Row],[début]])),0)+IF(COUNTIF(JF,Horaires356734512[[#This Row],[Date]]+1),MAX(0,Horaires356734512[[#This Row],[Fin corrigée si nuit]]-(1+deb_dimJF)),0))*24</f>
        <v>0</v>
      </c>
      <c r="S14" s="4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15" spans="1:19" x14ac:dyDescent="0.35">
      <c r="A15" s="9"/>
      <c r="B15" s="1"/>
      <c r="C15" s="2"/>
      <c r="D15" s="2"/>
      <c r="E15" s="3"/>
      <c r="F15" s="3"/>
      <c r="G15" s="3"/>
      <c r="H15" s="3"/>
      <c r="I15" s="38">
        <f>0.1*(Horaires356734512[[#This Row],[Heures de nuit]]+Horaires356734512[[#This Row],[heures jour dimanche]]+Horaires356734512[[#This Row],[heures jour fériés]])</f>
        <v>0</v>
      </c>
      <c r="J15" s="39">
        <f>(MOD(Horaires356734512[[#This Row],[Fin]]-Horaires356734512[[#This Row],[début]],1)-MOD(Horaires356734512[[#This Row],[PNP Fin]]-Horaires356734512[[#This Row],[PNP Début]],1))*24</f>
        <v>0</v>
      </c>
      <c r="K15" s="40">
        <f>IF(Horaires356734512[[#This Row],[PNP Début]]=0,0,IF(Horaires356734512[[#This Row],[PNP Début]]&lt;Horaires356734512[[#This Row],[début]],1,0)+Horaires356734512[[#This Row],[PNP Début]])</f>
        <v>0</v>
      </c>
      <c r="L15" s="40">
        <f>IF(Horaires356734512[[#This Row],[PNP Fin]]=0,0,IF(Horaires356734512[[#This Row],[PNP Fin]]&lt;Horaires356734512[[#This Row],[début]],1,0)+Horaires356734512[[#This Row],[PNP Fin]])</f>
        <v>0</v>
      </c>
      <c r="M15" s="40">
        <f>IF(Horaires356734512[[#This Row],[Fin]]&lt;Horaires356734512[[#This Row],[début]],1,0)+Horaires356734512[[#This Row],[Fin]]</f>
        <v>0</v>
      </c>
      <c r="N15" s="41">
        <f>MAX(0,MIN(Horaires356734512[[#This Row],[Fin corrigée si nuit]],fin_nuit)-MAX(Horaires356734512[[#This Row],[début]],deb_nuit))*24</f>
        <v>0</v>
      </c>
      <c r="O15" s="41">
        <f>(MAX(0,MIN(Horaires356734512[[#This Row],[Fin corrigée si nuit]],fin_nuit)-MAX(Horaires356734512[[#This Row],[début]],deb_nuit))-IF(Horaires356734512[[#This Row],[PNP Début]]=0,0,MIN(Horaires356734512[[#This Row],[PNP Fin corrigée]],fin_nuit)-MAX(Horaires356734512[[#This Row],[PNP Début corrigé]],deb_nuit)))*24</f>
        <v>0</v>
      </c>
      <c r="P15" s="41">
        <f>(IF(WEEKDAY(Horaires356734512[[#This Row],[Date]],2)=7,MAX(0,MIN(fin_dimJF,Horaires356734512[[#This Row],[Fin corrigée si nuit]])-MAX(deb_dimJF,Horaires356734512[[#This Row],[début]])),0)+IF(WEEKDAY(Horaires356734512[[#This Row],[Date]],2)=6,MAX(0,Horaires356734512[[#This Row],[Fin corrigée si nuit]]-(1+deb_dimJF)),0))*24</f>
        <v>0</v>
      </c>
      <c r="Q15" s="4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15" s="42">
        <f>(IF(COUNTIF(JF,Horaires356734512[[#This Row],[Date]]),MAX(0,MIN(fin_dimJF,Horaires356734512[[#This Row],[Fin corrigée si nuit]])-MAX(deb_dimJF,Horaires356734512[[#This Row],[début]])),0)+IF(COUNTIF(JF,Horaires356734512[[#This Row],[Date]]+1),MAX(0,Horaires356734512[[#This Row],[Fin corrigée si nuit]]-(1+deb_dimJF)),0))*24</f>
        <v>0</v>
      </c>
      <c r="S15" s="4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16" spans="1:19" x14ac:dyDescent="0.35">
      <c r="A16" s="9"/>
      <c r="B16" s="10"/>
      <c r="C16" s="2"/>
      <c r="D16" s="2"/>
      <c r="E16" s="3"/>
      <c r="F16" s="3"/>
      <c r="G16" s="11"/>
      <c r="H16" s="11"/>
      <c r="I16" s="38">
        <f>0.1*(Horaires356734512[[#This Row],[Heures de nuit]]+Horaires356734512[[#This Row],[heures jour dimanche]]+Horaires356734512[[#This Row],[heures jour fériés]])</f>
        <v>0</v>
      </c>
      <c r="J16" s="43">
        <f>(MOD(Horaires356734512[[#This Row],[Fin]]-Horaires356734512[[#This Row],[début]],1)-MOD(Horaires356734512[[#This Row],[PNP Fin]]-Horaires356734512[[#This Row],[PNP Début]],1))*24</f>
        <v>0</v>
      </c>
      <c r="K16" s="40">
        <f>IF(Horaires356734512[[#This Row],[PNP Début]]=0,0,IF(Horaires356734512[[#This Row],[PNP Début]]&lt;Horaires356734512[[#This Row],[début]],1,0)+Horaires356734512[[#This Row],[PNP Début]])</f>
        <v>0</v>
      </c>
      <c r="L16" s="40">
        <f>IF(Horaires356734512[[#This Row],[PNP Fin]]=0,0,IF(Horaires356734512[[#This Row],[PNP Fin]]&lt;Horaires356734512[[#This Row],[début]],1,0)+Horaires356734512[[#This Row],[PNP Fin]])</f>
        <v>0</v>
      </c>
      <c r="M16" s="44">
        <f>IF(Horaires356734512[[#This Row],[Fin]]&lt;Horaires356734512[[#This Row],[début]],1,0)+Horaires356734512[[#This Row],[Fin]]</f>
        <v>0</v>
      </c>
      <c r="N16" s="41">
        <f>MAX(0,MIN(Horaires356734512[[#This Row],[Fin corrigée si nuit]],fin_nuit)-MAX(Horaires356734512[[#This Row],[début]],deb_nuit))*24</f>
        <v>0</v>
      </c>
      <c r="O16" s="45">
        <f>(MAX(0,MIN(Horaires356734512[[#This Row],[Fin corrigée si nuit]],fin_nuit)-MAX(Horaires356734512[[#This Row],[début]],deb_nuit))-IF(Horaires356734512[[#This Row],[PNP Début]]=0,0,MIN(Horaires356734512[[#This Row],[PNP Fin corrigée]],fin_nuit)-MAX(Horaires356734512[[#This Row],[PNP Début corrigé]],deb_nuit)))*24</f>
        <v>0</v>
      </c>
      <c r="P16" s="45">
        <f>(IF(WEEKDAY(Horaires356734512[[#This Row],[Date]],2)=7,MAX(0,MIN(fin_dimJF,Horaires356734512[[#This Row],[Fin corrigée si nuit]])-MAX(deb_dimJF,Horaires356734512[[#This Row],[début]])),0)+IF(WEEKDAY(Horaires356734512[[#This Row],[Date]],2)=6,MAX(0,Horaires356734512[[#This Row],[Fin corrigée si nuit]]-(1+deb_dimJF)),0))*24</f>
        <v>0</v>
      </c>
      <c r="Q16" s="4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16" s="46">
        <f>(IF(COUNTIF(JF,Horaires356734512[[#This Row],[Date]]),MAX(0,MIN(fin_dimJF,Horaires356734512[[#This Row],[Fin corrigée si nuit]])-MAX(deb_dimJF,Horaires356734512[[#This Row],[début]])),0)+IF(COUNTIF(JF,Horaires356734512[[#This Row],[Date]]+1),MAX(0,Horaires356734512[[#This Row],[Fin corrigée si nuit]]-(1+deb_dimJF)),0))*24</f>
        <v>0</v>
      </c>
      <c r="S16" s="46">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17" spans="1:19" x14ac:dyDescent="0.35">
      <c r="A17" s="9"/>
      <c r="B17" s="1"/>
      <c r="C17" s="2"/>
      <c r="D17" s="2"/>
      <c r="E17" s="3"/>
      <c r="F17" s="3"/>
      <c r="G17" s="17"/>
      <c r="H17" s="17"/>
      <c r="I17" s="47">
        <f>0.1*(Horaires356734512[[#This Row],[Heures de nuit]]+Horaires356734512[[#This Row],[heures jour dimanche]]+Horaires356734512[[#This Row],[heures jour fériés]])</f>
        <v>0</v>
      </c>
      <c r="J17" s="48">
        <f>(MOD(Horaires356734512[[#This Row],[Fin]]-Horaires356734512[[#This Row],[début]],1)-MOD(Horaires356734512[[#This Row],[PNP Fin]]-Horaires356734512[[#This Row],[PNP Début]],1))*24</f>
        <v>0</v>
      </c>
      <c r="K17" s="49">
        <f>IF(Horaires356734512[[#This Row],[PNP Début]]=0,0,IF(Horaires356734512[[#This Row],[PNP Début]]&lt;Horaires356734512[[#This Row],[début]],1,0)+Horaires356734512[[#This Row],[PNP Début]])</f>
        <v>0</v>
      </c>
      <c r="L17" s="50">
        <f>IF(Horaires356734512[[#This Row],[PNP Fin]]=0,0,IF(Horaires356734512[[#This Row],[PNP Fin]]&lt;Horaires356734512[[#This Row],[début]],1,0)+Horaires356734512[[#This Row],[PNP Fin]])</f>
        <v>0</v>
      </c>
      <c r="M17" s="50">
        <f>IF(Horaires356734512[[#This Row],[Fin]]&lt;Horaires356734512[[#This Row],[début]],1,0)+Horaires356734512[[#This Row],[Fin]]</f>
        <v>0</v>
      </c>
      <c r="N17" s="41">
        <f>MAX(0,MIN(Horaires356734512[[#This Row],[Fin corrigée si nuit]],fin_nuit)-MAX(Horaires356734512[[#This Row],[début]],deb_nuit))*24</f>
        <v>0</v>
      </c>
      <c r="O17" s="51">
        <f>(MAX(0,MIN(Horaires356734512[[#This Row],[Fin corrigée si nuit]],fin_nuit)-MAX(Horaires356734512[[#This Row],[début]],deb_nuit))-IF(Horaires356734512[[#This Row],[PNP Début]]=0,0,MIN(Horaires356734512[[#This Row],[PNP Fin corrigée]],fin_nuit)-MAX(Horaires356734512[[#This Row],[PNP Début corrigé]],deb_nuit)))*24</f>
        <v>0</v>
      </c>
      <c r="P17" s="51">
        <f>(IF(WEEKDAY(Horaires356734512[[#This Row],[Date]],2)=7,MAX(0,MIN(fin_dimJF,Horaires356734512[[#This Row],[Fin corrigée si nuit]])-MAX(deb_dimJF,Horaires356734512[[#This Row],[début]])),0)+IF(WEEKDAY(Horaires356734512[[#This Row],[Date]],2)=6,MAX(0,Horaires356734512[[#This Row],[Fin corrigée si nuit]]-(1+deb_dimJF)),0))*24</f>
        <v>0</v>
      </c>
      <c r="Q17" s="5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17" s="51">
        <f>(IF(COUNTIF(JF,Horaires356734512[[#This Row],[Date]]),MAX(0,MIN(fin_dimJF,Horaires356734512[[#This Row],[Fin corrigée si nuit]])-MAX(deb_dimJF,Horaires356734512[[#This Row],[début]])),0)+IF(COUNTIF(JF,Horaires356734512[[#This Row],[Date]]+1),MAX(0,Horaires356734512[[#This Row],[Fin corrigée si nuit]]-(1+deb_dimJF)),0))*24</f>
        <v>0</v>
      </c>
      <c r="S17" s="51">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18" spans="1:19" x14ac:dyDescent="0.35">
      <c r="A18" s="9"/>
      <c r="B18" s="69"/>
      <c r="C18" s="16"/>
      <c r="D18" s="16"/>
      <c r="E18" s="17"/>
      <c r="F18" s="17"/>
      <c r="G18" s="17"/>
      <c r="H18" s="17"/>
      <c r="I18" s="47">
        <f>0.1*(Horaires356734512[[#This Row],[Heures de nuit]]+Horaires356734512[[#This Row],[heures jour dimanche]]+Horaires356734512[[#This Row],[heures jour fériés]])</f>
        <v>0</v>
      </c>
      <c r="J18" s="48">
        <f>(MOD(Horaires356734512[[#This Row],[Fin]]-Horaires356734512[[#This Row],[début]],1)-MOD(Horaires356734512[[#This Row],[PNP Fin]]-Horaires356734512[[#This Row],[PNP Début]],1))*24</f>
        <v>0</v>
      </c>
      <c r="K18" s="49">
        <f>IF(Horaires356734512[[#This Row],[PNP Début]]=0,0,IF(Horaires356734512[[#This Row],[PNP Début]]&lt;Horaires356734512[[#This Row],[début]],1,0)+Horaires356734512[[#This Row],[PNP Début]])</f>
        <v>0</v>
      </c>
      <c r="L18" s="50">
        <f>IF(Horaires356734512[[#This Row],[PNP Fin]]=0,0,IF(Horaires356734512[[#This Row],[PNP Fin]]&lt;Horaires356734512[[#This Row],[début]],1,0)+Horaires356734512[[#This Row],[PNP Fin]])</f>
        <v>0</v>
      </c>
      <c r="M18" s="50">
        <f>IF(Horaires356734512[[#This Row],[Fin]]&lt;Horaires356734512[[#This Row],[début]],1,0)+Horaires356734512[[#This Row],[Fin]]</f>
        <v>0</v>
      </c>
      <c r="N18" s="41">
        <f>MAX(0,MIN(Horaires356734512[[#This Row],[Fin corrigée si nuit]],fin_nuit)-MAX(Horaires356734512[[#This Row],[début]],deb_nuit))*24</f>
        <v>0</v>
      </c>
      <c r="O18" s="51">
        <f>(MAX(0,MIN(Horaires356734512[[#This Row],[Fin corrigée si nuit]],fin_nuit)-MAX(Horaires356734512[[#This Row],[début]],deb_nuit))-IF(Horaires356734512[[#This Row],[PNP Début]]=0,0,MIN(Horaires356734512[[#This Row],[PNP Fin corrigée]],fin_nuit)-MAX(Horaires356734512[[#This Row],[PNP Début corrigé]],deb_nuit)))*24</f>
        <v>0</v>
      </c>
      <c r="P18" s="51">
        <f>(IF(WEEKDAY(Horaires356734512[[#This Row],[Date]],2)=7,MAX(0,MIN(fin_dimJF,Horaires356734512[[#This Row],[Fin corrigée si nuit]])-MAX(deb_dimJF,Horaires356734512[[#This Row],[début]])),0)+IF(WEEKDAY(Horaires356734512[[#This Row],[Date]],2)=6,MAX(0,Horaires356734512[[#This Row],[Fin corrigée si nuit]]-(1+deb_dimJF)),0))*24</f>
        <v>0</v>
      </c>
      <c r="Q18" s="5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18" s="51">
        <f>(IF(COUNTIF(JF,Horaires356734512[[#This Row],[Date]]),MAX(0,MIN(fin_dimJF,Horaires356734512[[#This Row],[Fin corrigée si nuit]])-MAX(deb_dimJF,Horaires356734512[[#This Row],[début]])),0)+IF(COUNTIF(JF,Horaires356734512[[#This Row],[Date]]+1),MAX(0,Horaires356734512[[#This Row],[Fin corrigée si nuit]]-(1+deb_dimJF)),0))*24</f>
        <v>0</v>
      </c>
      <c r="S18" s="51">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19" spans="1:19" x14ac:dyDescent="0.35">
      <c r="A19" s="9"/>
      <c r="B19" s="1"/>
      <c r="C19" s="16"/>
      <c r="D19" s="16"/>
      <c r="E19" s="3"/>
      <c r="F19" s="3"/>
      <c r="G19" s="17"/>
      <c r="H19" s="17"/>
      <c r="I19" s="47">
        <f>0.1*(Horaires356734512[[#This Row],[Heures de nuit]]+Horaires356734512[[#This Row],[heures jour dimanche]]+Horaires356734512[[#This Row],[heures jour fériés]])</f>
        <v>0</v>
      </c>
      <c r="J19" s="48">
        <f>(MOD(Horaires356734512[[#This Row],[Fin]]-Horaires356734512[[#This Row],[début]],1)-MOD(Horaires356734512[[#This Row],[PNP Fin]]-Horaires356734512[[#This Row],[PNP Début]],1))*24</f>
        <v>0</v>
      </c>
      <c r="K19" s="49">
        <f>IF(Horaires356734512[[#This Row],[PNP Début]]=0,0,IF(Horaires356734512[[#This Row],[PNP Début]]&lt;Horaires356734512[[#This Row],[début]],1,0)+Horaires356734512[[#This Row],[PNP Début]])</f>
        <v>0</v>
      </c>
      <c r="L19" s="50">
        <f>IF(Horaires356734512[[#This Row],[PNP Fin]]=0,0,IF(Horaires356734512[[#This Row],[PNP Fin]]&lt;Horaires356734512[[#This Row],[début]],1,0)+Horaires356734512[[#This Row],[PNP Fin]])</f>
        <v>0</v>
      </c>
      <c r="M19" s="50">
        <f>IF(Horaires356734512[[#This Row],[Fin]]&lt;Horaires356734512[[#This Row],[début]],1,0)+Horaires356734512[[#This Row],[Fin]]</f>
        <v>0</v>
      </c>
      <c r="N19" s="41">
        <f>MAX(0,MIN(Horaires356734512[[#This Row],[Fin corrigée si nuit]],fin_nuit)-MAX(Horaires356734512[[#This Row],[début]],deb_nuit))*24</f>
        <v>0</v>
      </c>
      <c r="O19" s="51">
        <f>(MAX(0,MIN(Horaires356734512[[#This Row],[Fin corrigée si nuit]],fin_nuit)-MAX(Horaires356734512[[#This Row],[début]],deb_nuit))-IF(Horaires356734512[[#This Row],[PNP Début]]=0,0,MIN(Horaires356734512[[#This Row],[PNP Fin corrigée]],fin_nuit)-MAX(Horaires356734512[[#This Row],[PNP Début corrigé]],deb_nuit)))*24</f>
        <v>0</v>
      </c>
      <c r="P19" s="51">
        <f>(IF(WEEKDAY(Horaires356734512[[#This Row],[Date]],2)=7,MAX(0,MIN(fin_dimJF,Horaires356734512[[#This Row],[Fin corrigée si nuit]])-MAX(deb_dimJF,Horaires356734512[[#This Row],[début]])),0)+IF(WEEKDAY(Horaires356734512[[#This Row],[Date]],2)=6,MAX(0,Horaires356734512[[#This Row],[Fin corrigée si nuit]]-(1+deb_dimJF)),0))*24</f>
        <v>0</v>
      </c>
      <c r="Q19" s="5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19" s="51">
        <f>(IF(COUNTIF(JF,Horaires356734512[[#This Row],[Date]]),MAX(0,MIN(fin_dimJF,Horaires356734512[[#This Row],[Fin corrigée si nuit]])-MAX(deb_dimJF,Horaires356734512[[#This Row],[début]])),0)+IF(COUNTIF(JF,Horaires356734512[[#This Row],[Date]]+1),MAX(0,Horaires356734512[[#This Row],[Fin corrigée si nuit]]-(1+deb_dimJF)),0))*24</f>
        <v>0</v>
      </c>
      <c r="S19" s="51">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0" spans="1:19" x14ac:dyDescent="0.35">
      <c r="A20" s="9"/>
      <c r="B20" s="1"/>
      <c r="C20" s="16"/>
      <c r="D20" s="16"/>
      <c r="E20" s="17"/>
      <c r="F20" s="17"/>
      <c r="G20" s="17"/>
      <c r="H20" s="17"/>
      <c r="I20" s="47">
        <f>0.1*(Horaires356734512[[#This Row],[Heures de nuit]]+Horaires356734512[[#This Row],[heures jour dimanche]]+Horaires356734512[[#This Row],[heures jour fériés]])</f>
        <v>0</v>
      </c>
      <c r="J20" s="48">
        <f>(MOD(Horaires356734512[[#This Row],[Fin]]-Horaires356734512[[#This Row],[début]],1)-MOD(Horaires356734512[[#This Row],[PNP Fin]]-Horaires356734512[[#This Row],[PNP Début]],1))*24</f>
        <v>0</v>
      </c>
      <c r="K20" s="49">
        <f>IF(Horaires356734512[[#This Row],[PNP Début]]=0,0,IF(Horaires356734512[[#This Row],[PNP Début]]&lt;Horaires356734512[[#This Row],[début]],1,0)+Horaires356734512[[#This Row],[PNP Début]])</f>
        <v>0</v>
      </c>
      <c r="L20" s="50">
        <f>IF(Horaires356734512[[#This Row],[PNP Fin]]=0,0,IF(Horaires356734512[[#This Row],[PNP Fin]]&lt;Horaires356734512[[#This Row],[début]],1,0)+Horaires356734512[[#This Row],[PNP Fin]])</f>
        <v>0</v>
      </c>
      <c r="M20" s="50">
        <f>IF(Horaires356734512[[#This Row],[Fin]]&lt;Horaires356734512[[#This Row],[début]],1,0)+Horaires356734512[[#This Row],[Fin]]</f>
        <v>0</v>
      </c>
      <c r="N20" s="41">
        <f>MAX(0,MIN(Horaires356734512[[#This Row],[Fin corrigée si nuit]],fin_nuit)-MAX(Horaires356734512[[#This Row],[début]],deb_nuit))*24</f>
        <v>0</v>
      </c>
      <c r="O20" s="51">
        <f>(MAX(0,MIN(Horaires356734512[[#This Row],[Fin corrigée si nuit]],fin_nuit)-MAX(Horaires356734512[[#This Row],[début]],deb_nuit))-IF(Horaires356734512[[#This Row],[PNP Début]]=0,0,MIN(Horaires356734512[[#This Row],[PNP Fin corrigée]],fin_nuit)-MAX(Horaires356734512[[#This Row],[PNP Début corrigé]],deb_nuit)))*24</f>
        <v>0</v>
      </c>
      <c r="P20" s="51">
        <f>(IF(WEEKDAY(Horaires356734512[[#This Row],[Date]],2)=7,MAX(0,MIN(fin_dimJF,Horaires356734512[[#This Row],[Fin corrigée si nuit]])-MAX(deb_dimJF,Horaires356734512[[#This Row],[début]])),0)+IF(WEEKDAY(Horaires356734512[[#This Row],[Date]],2)=6,MAX(0,Horaires356734512[[#This Row],[Fin corrigée si nuit]]-(1+deb_dimJF)),0))*24</f>
        <v>0</v>
      </c>
      <c r="Q20" s="51">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0" s="51">
        <f>(IF(COUNTIF(JF,Horaires356734512[[#This Row],[Date]]),MAX(0,MIN(fin_dimJF,Horaires356734512[[#This Row],[Fin corrigée si nuit]])-MAX(deb_dimJF,Horaires356734512[[#This Row],[début]])),0)+IF(COUNTIF(JF,Horaires356734512[[#This Row],[Date]]+1),MAX(0,Horaires356734512[[#This Row],[Fin corrigée si nuit]]-(1+deb_dimJF)),0))*24</f>
        <v>0</v>
      </c>
      <c r="S20" s="51">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1" spans="1:19" x14ac:dyDescent="0.35">
      <c r="A21" s="9"/>
      <c r="B21" s="10"/>
      <c r="C21" s="18"/>
      <c r="D21" s="18"/>
      <c r="E21" s="3"/>
      <c r="F21" s="3"/>
      <c r="G21" s="19"/>
      <c r="H21" s="19"/>
      <c r="I21" s="52">
        <f>0.1*(Horaires356734512[[#This Row],[Heures de nuit]]+Horaires356734512[[#This Row],[heures jour dimanche]]+Horaires356734512[[#This Row],[heures jour fériés]])</f>
        <v>0</v>
      </c>
      <c r="J21" s="53">
        <f>(MOD(Horaires356734512[[#This Row],[Fin]]-Horaires356734512[[#This Row],[début]],1)-MOD(Horaires356734512[[#This Row],[PNP Fin]]-Horaires356734512[[#This Row],[PNP Début]],1))*24</f>
        <v>0</v>
      </c>
      <c r="K21" s="54">
        <f>IF(Horaires356734512[[#This Row],[PNP Début]]=0,0,IF(Horaires356734512[[#This Row],[PNP Début]]&lt;Horaires356734512[[#This Row],[début]],1,0)+Horaires356734512[[#This Row],[PNP Début]])</f>
        <v>0</v>
      </c>
      <c r="L21" s="55">
        <f>IF(Horaires356734512[[#This Row],[PNP Fin]]=0,0,IF(Horaires356734512[[#This Row],[PNP Fin]]&lt;Horaires356734512[[#This Row],[début]],1,0)+Horaires356734512[[#This Row],[PNP Fin]])</f>
        <v>0</v>
      </c>
      <c r="M21" s="55">
        <f>IF(Horaires356734512[[#This Row],[Fin]]&lt;Horaires356734512[[#This Row],[début]],1,0)+Horaires356734512[[#This Row],[Fin]]</f>
        <v>0</v>
      </c>
      <c r="N21" s="41">
        <f>MAX(0,MIN(Horaires356734512[[#This Row],[Fin corrigée si nuit]],fin_nuit)-MAX(Horaires356734512[[#This Row],[début]],deb_nuit))*24</f>
        <v>0</v>
      </c>
      <c r="O21" s="56">
        <f>(MAX(0,MIN(Horaires356734512[[#This Row],[Fin corrigée si nuit]],fin_nuit)-MAX(Horaires356734512[[#This Row],[début]],deb_nuit))-IF(Horaires356734512[[#This Row],[PNP Début]]=0,0,MIN(Horaires356734512[[#This Row],[PNP Fin corrigée]],fin_nuit)-MAX(Horaires356734512[[#This Row],[PNP Début corrigé]],deb_nuit)))*24</f>
        <v>0</v>
      </c>
      <c r="P21" s="56">
        <f>(IF(WEEKDAY(Horaires356734512[[#This Row],[Date]],2)=7,MAX(0,MIN(fin_dimJF,Horaires356734512[[#This Row],[Fin corrigée si nuit]])-MAX(deb_dimJF,Horaires356734512[[#This Row],[début]])),0)+IF(WEEKDAY(Horaires356734512[[#This Row],[Date]],2)=6,MAX(0,Horaires356734512[[#This Row],[Fin corrigée si nuit]]-(1+deb_dimJF)),0))*24</f>
        <v>0</v>
      </c>
      <c r="Q21" s="56">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1" s="56">
        <f>(IF(COUNTIF(JF,Horaires356734512[[#This Row],[Date]]),MAX(0,MIN(fin_dimJF,Horaires356734512[[#This Row],[Fin corrigée si nuit]])-MAX(deb_dimJF,Horaires356734512[[#This Row],[début]])),0)+IF(COUNTIF(JF,Horaires356734512[[#This Row],[Date]]+1),MAX(0,Horaires356734512[[#This Row],[Fin corrigée si nuit]]-(1+deb_dimJF)),0))*24</f>
        <v>0</v>
      </c>
      <c r="S21" s="56">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2" spans="1:19" x14ac:dyDescent="0.35">
      <c r="A22" s="9"/>
      <c r="B22" s="1"/>
      <c r="C22" s="18"/>
      <c r="D22" s="18"/>
      <c r="E22" s="3"/>
      <c r="F22" s="3"/>
      <c r="G22" s="3"/>
      <c r="H22" s="3"/>
      <c r="I22" s="57">
        <f>0.1*(Horaires356734512[[#This Row],[Heures de nuit]]+Horaires356734512[[#This Row],[heures jour dimanche]]+Horaires356734512[[#This Row],[heures jour fériés]])</f>
        <v>0</v>
      </c>
      <c r="J22" s="58">
        <f>(MOD(Horaires356734512[[#This Row],[Fin]]-Horaires356734512[[#This Row],[début]],1)-MOD(Horaires356734512[[#This Row],[PNP Fin]]-Horaires356734512[[#This Row],[PNP Début]],1))*24</f>
        <v>0</v>
      </c>
      <c r="K22" s="59">
        <f>IF(Horaires356734512[[#This Row],[PNP Début]]=0,0,IF(Horaires356734512[[#This Row],[PNP Début]]&lt;Horaires356734512[[#This Row],[début]],1,0)+Horaires356734512[[#This Row],[PNP Début]])</f>
        <v>0</v>
      </c>
      <c r="L22" s="60">
        <f>IF(Horaires356734512[[#This Row],[PNP Fin]]=0,0,IF(Horaires356734512[[#This Row],[PNP Fin]]&lt;Horaires356734512[[#This Row],[début]],1,0)+Horaires356734512[[#This Row],[PNP Fin]])</f>
        <v>0</v>
      </c>
      <c r="M22" s="60">
        <f>IF(Horaires356734512[[#This Row],[Fin]]&lt;Horaires356734512[[#This Row],[début]],1,0)+Horaires356734512[[#This Row],[Fin]]</f>
        <v>0</v>
      </c>
      <c r="N22" s="61">
        <f>MAX(0,MIN(Horaires356734512[[#This Row],[Fin corrigée si nuit]],fin_nuit)-MAX(Horaires356734512[[#This Row],[début]],deb_nuit))*24</f>
        <v>0</v>
      </c>
      <c r="O22" s="62">
        <f>(MAX(0,MIN(Horaires356734512[[#This Row],[Fin corrigée si nuit]],fin_nuit)-MAX(Horaires356734512[[#This Row],[début]],deb_nuit))-IF(Horaires356734512[[#This Row],[PNP Début]]=0,0,MIN(Horaires356734512[[#This Row],[PNP Fin corrigée]],fin_nuit)-MAX(Horaires356734512[[#This Row],[PNP Début corrigé]],deb_nuit)))*24</f>
        <v>0</v>
      </c>
      <c r="P22" s="62">
        <f>(IF(WEEKDAY(Horaires356734512[[#This Row],[Date]],2)=7,MAX(0,MIN(fin_dimJF,Horaires356734512[[#This Row],[Fin corrigée si nuit]])-MAX(deb_dimJF,Horaires356734512[[#This Row],[début]])),0)+IF(WEEKDAY(Horaires356734512[[#This Row],[Date]],2)=6,MAX(0,Horaires356734512[[#This Row],[Fin corrigée si nuit]]-(1+deb_dimJF)),0))*24</f>
        <v>0</v>
      </c>
      <c r="Q22"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2" s="62">
        <f>(IF(COUNTIF(JF,Horaires356734512[[#This Row],[Date]]),MAX(0,MIN(fin_dimJF,Horaires356734512[[#This Row],[Fin corrigée si nuit]])-MAX(deb_dimJF,Horaires356734512[[#This Row],[début]])),0)+IF(COUNTIF(JF,Horaires356734512[[#This Row],[Date]]+1),MAX(0,Horaires356734512[[#This Row],[Fin corrigée si nuit]]-(1+deb_dimJF)),0))*24</f>
        <v>0</v>
      </c>
      <c r="S22"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3" spans="1:19" x14ac:dyDescent="0.35">
      <c r="A23" s="9"/>
      <c r="B23" s="1"/>
      <c r="C23" s="18"/>
      <c r="D23" s="18"/>
      <c r="E23" s="3"/>
      <c r="F23" s="3"/>
      <c r="G23" s="3"/>
      <c r="H23" s="3"/>
      <c r="I23" s="57">
        <f>0.1*(Horaires356734512[[#This Row],[Heures de nuit]]+Horaires356734512[[#This Row],[heures jour dimanche]]+Horaires356734512[[#This Row],[heures jour fériés]])</f>
        <v>0</v>
      </c>
      <c r="J23" s="58">
        <f>(MOD(Horaires356734512[[#This Row],[Fin]]-Horaires356734512[[#This Row],[début]],1)-MOD(Horaires356734512[[#This Row],[PNP Fin]]-Horaires356734512[[#This Row],[PNP Début]],1))*24</f>
        <v>0</v>
      </c>
      <c r="K23" s="59">
        <f>IF(Horaires356734512[[#This Row],[PNP Début]]=0,0,IF(Horaires356734512[[#This Row],[PNP Début]]&lt;Horaires356734512[[#This Row],[début]],1,0)+Horaires356734512[[#This Row],[PNP Début]])</f>
        <v>0</v>
      </c>
      <c r="L23" s="60">
        <f>IF(Horaires356734512[[#This Row],[PNP Fin]]=0,0,IF(Horaires356734512[[#This Row],[PNP Fin]]&lt;Horaires356734512[[#This Row],[début]],1,0)+Horaires356734512[[#This Row],[PNP Fin]])</f>
        <v>0</v>
      </c>
      <c r="M23" s="60">
        <f>IF(Horaires356734512[[#This Row],[Fin]]&lt;Horaires356734512[[#This Row],[début]],1,0)+Horaires356734512[[#This Row],[Fin]]</f>
        <v>0</v>
      </c>
      <c r="N23" s="61">
        <f>MAX(0,MIN(Horaires356734512[[#This Row],[Fin corrigée si nuit]],fin_nuit)-MAX(Horaires356734512[[#This Row],[début]],deb_nuit))*24</f>
        <v>0</v>
      </c>
      <c r="O23" s="62">
        <f>(MAX(0,MIN(Horaires356734512[[#This Row],[Fin corrigée si nuit]],fin_nuit)-MAX(Horaires356734512[[#This Row],[début]],deb_nuit))-IF(Horaires356734512[[#This Row],[PNP Début]]=0,0,MIN(Horaires356734512[[#This Row],[PNP Fin corrigée]],fin_nuit)-MAX(Horaires356734512[[#This Row],[PNP Début corrigé]],deb_nuit)))*24</f>
        <v>0</v>
      </c>
      <c r="P23" s="62">
        <f>(IF(WEEKDAY(Horaires356734512[[#This Row],[Date]],2)=7,MAX(0,MIN(fin_dimJF,Horaires356734512[[#This Row],[Fin corrigée si nuit]])-MAX(deb_dimJF,Horaires356734512[[#This Row],[début]])),0)+IF(WEEKDAY(Horaires356734512[[#This Row],[Date]],2)=6,MAX(0,Horaires356734512[[#This Row],[Fin corrigée si nuit]]-(1+deb_dimJF)),0))*24</f>
        <v>0</v>
      </c>
      <c r="Q23"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3" s="62">
        <f>(IF(COUNTIF(JF,Horaires356734512[[#This Row],[Date]]),MAX(0,MIN(fin_dimJF,Horaires356734512[[#This Row],[Fin corrigée si nuit]])-MAX(deb_dimJF,Horaires356734512[[#This Row],[début]])),0)+IF(COUNTIF(JF,Horaires356734512[[#This Row],[Date]]+1),MAX(0,Horaires356734512[[#This Row],[Fin corrigée si nuit]]-(1+deb_dimJF)),0))*24</f>
        <v>0</v>
      </c>
      <c r="S23"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4" spans="1:19" x14ac:dyDescent="0.35">
      <c r="A24" s="9"/>
      <c r="B24" s="1"/>
      <c r="C24" s="2"/>
      <c r="D24" s="2"/>
      <c r="E24" s="3"/>
      <c r="F24" s="3"/>
      <c r="G24" s="3"/>
      <c r="H24" s="3"/>
      <c r="I24" s="57">
        <f>0.1*(Horaires356734512[[#This Row],[Heures de nuit]]+Horaires356734512[[#This Row],[heures jour dimanche]]+Horaires356734512[[#This Row],[heures jour fériés]])</f>
        <v>0</v>
      </c>
      <c r="J24" s="58">
        <f>(MOD(Horaires356734512[[#This Row],[Fin]]-Horaires356734512[[#This Row],[début]],1)-MOD(Horaires356734512[[#This Row],[PNP Fin]]-Horaires356734512[[#This Row],[PNP Début]],1))*24</f>
        <v>0</v>
      </c>
      <c r="K24" s="59">
        <f>IF(Horaires356734512[[#This Row],[PNP Début]]=0,0,IF(Horaires356734512[[#This Row],[PNP Début]]&lt;Horaires356734512[[#This Row],[début]],1,0)+Horaires356734512[[#This Row],[PNP Début]])</f>
        <v>0</v>
      </c>
      <c r="L24" s="60">
        <f>IF(Horaires356734512[[#This Row],[PNP Fin]]=0,0,IF(Horaires356734512[[#This Row],[PNP Fin]]&lt;Horaires356734512[[#This Row],[début]],1,0)+Horaires356734512[[#This Row],[PNP Fin]])</f>
        <v>0</v>
      </c>
      <c r="M24" s="60">
        <f>IF(Horaires356734512[[#This Row],[Fin]]&lt;Horaires356734512[[#This Row],[début]],1,0)+Horaires356734512[[#This Row],[Fin]]</f>
        <v>0</v>
      </c>
      <c r="N24" s="61">
        <f>MAX(0,MIN(Horaires356734512[[#This Row],[Fin corrigée si nuit]],fin_nuit)-MAX(Horaires356734512[[#This Row],[début]],deb_nuit))*24</f>
        <v>0</v>
      </c>
      <c r="O24" s="62">
        <f>(MAX(0,MIN(Horaires356734512[[#This Row],[Fin corrigée si nuit]],fin_nuit)-MAX(Horaires356734512[[#This Row],[début]],deb_nuit))-IF(Horaires356734512[[#This Row],[PNP Début]]=0,0,MIN(Horaires356734512[[#This Row],[PNP Fin corrigée]],fin_nuit)-MAX(Horaires356734512[[#This Row],[PNP Début corrigé]],deb_nuit)))*24</f>
        <v>0</v>
      </c>
      <c r="P24" s="62">
        <f>(IF(WEEKDAY(Horaires356734512[[#This Row],[Date]],2)=7,MAX(0,MIN(fin_dimJF,Horaires356734512[[#This Row],[Fin corrigée si nuit]])-MAX(deb_dimJF,Horaires356734512[[#This Row],[début]])),0)+IF(WEEKDAY(Horaires356734512[[#This Row],[Date]],2)=6,MAX(0,Horaires356734512[[#This Row],[Fin corrigée si nuit]]-(1+deb_dimJF)),0))*24</f>
        <v>0</v>
      </c>
      <c r="Q24"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4" s="62">
        <f>(IF(COUNTIF(JF,Horaires356734512[[#This Row],[Date]]),MAX(0,MIN(fin_dimJF,Horaires356734512[[#This Row],[Fin corrigée si nuit]])-MAX(deb_dimJF,Horaires356734512[[#This Row],[début]])),0)+IF(COUNTIF(JF,Horaires356734512[[#This Row],[Date]]+1),MAX(0,Horaires356734512[[#This Row],[Fin corrigée si nuit]]-(1+deb_dimJF)),0))*24</f>
        <v>0</v>
      </c>
      <c r="S24"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5" spans="1:19" x14ac:dyDescent="0.35">
      <c r="A25" s="9"/>
      <c r="B25" s="1"/>
      <c r="C25" s="2"/>
      <c r="D25" s="2"/>
      <c r="E25" s="3"/>
      <c r="F25" s="3"/>
      <c r="G25" s="3"/>
      <c r="H25" s="3"/>
      <c r="I25" s="57">
        <f>0.1*(Horaires356734512[[#This Row],[Heures de nuit]]+Horaires356734512[[#This Row],[heures jour dimanche]]+Horaires356734512[[#This Row],[heures jour fériés]])</f>
        <v>0</v>
      </c>
      <c r="J25" s="58">
        <f>(MOD(Horaires356734512[[#This Row],[Fin]]-Horaires356734512[[#This Row],[début]],1)-MOD(Horaires356734512[[#This Row],[PNP Fin]]-Horaires356734512[[#This Row],[PNP Début]],1))*24</f>
        <v>0</v>
      </c>
      <c r="K25" s="59">
        <f>IF(Horaires356734512[[#This Row],[PNP Début]]=0,0,IF(Horaires356734512[[#This Row],[PNP Début]]&lt;Horaires356734512[[#This Row],[début]],1,0)+Horaires356734512[[#This Row],[PNP Début]])</f>
        <v>0</v>
      </c>
      <c r="L25" s="60">
        <f>IF(Horaires356734512[[#This Row],[PNP Fin]]=0,0,IF(Horaires356734512[[#This Row],[PNP Fin]]&lt;Horaires356734512[[#This Row],[début]],1,0)+Horaires356734512[[#This Row],[PNP Fin]])</f>
        <v>0</v>
      </c>
      <c r="M25" s="60">
        <f>IF(Horaires356734512[[#This Row],[Fin]]&lt;Horaires356734512[[#This Row],[début]],1,0)+Horaires356734512[[#This Row],[Fin]]</f>
        <v>0</v>
      </c>
      <c r="N25" s="61">
        <f>MAX(0,MIN(Horaires356734512[[#This Row],[Fin corrigée si nuit]],fin_nuit)-MAX(Horaires356734512[[#This Row],[début]],deb_nuit))*24</f>
        <v>0</v>
      </c>
      <c r="O25" s="62">
        <f>(MAX(0,MIN(Horaires356734512[[#This Row],[Fin corrigée si nuit]],fin_nuit)-MAX(Horaires356734512[[#This Row],[début]],deb_nuit))-IF(Horaires356734512[[#This Row],[PNP Début]]=0,0,MIN(Horaires356734512[[#This Row],[PNP Fin corrigée]],fin_nuit)-MAX(Horaires356734512[[#This Row],[PNP Début corrigé]],deb_nuit)))*24</f>
        <v>0</v>
      </c>
      <c r="P25" s="62">
        <f>(IF(WEEKDAY(Horaires356734512[[#This Row],[Date]],2)=7,MAX(0,MIN(fin_dimJF,Horaires356734512[[#This Row],[Fin corrigée si nuit]])-MAX(deb_dimJF,Horaires356734512[[#This Row],[début]])),0)+IF(WEEKDAY(Horaires356734512[[#This Row],[Date]],2)=6,MAX(0,Horaires356734512[[#This Row],[Fin corrigée si nuit]]-(1+deb_dimJF)),0))*24</f>
        <v>0</v>
      </c>
      <c r="Q25"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5" s="62">
        <f>(IF(COUNTIF(JF,Horaires356734512[[#This Row],[Date]]),MAX(0,MIN(fin_dimJF,Horaires356734512[[#This Row],[Fin corrigée si nuit]])-MAX(deb_dimJF,Horaires356734512[[#This Row],[début]])),0)+IF(COUNTIF(JF,Horaires356734512[[#This Row],[Date]]+1),MAX(0,Horaires356734512[[#This Row],[Fin corrigée si nuit]]-(1+deb_dimJF)),0))*24</f>
        <v>0</v>
      </c>
      <c r="S25"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6" spans="1:19" ht="21" customHeight="1" x14ac:dyDescent="0.35">
      <c r="A26" s="9"/>
      <c r="B26" s="1"/>
      <c r="C26" s="2"/>
      <c r="D26" s="2"/>
      <c r="E26" s="3"/>
      <c r="F26" s="3"/>
      <c r="G26" s="3"/>
      <c r="H26" s="3"/>
      <c r="I26" s="57">
        <f>0.1*(Horaires356734512[[#This Row],[Heures de nuit]]+Horaires356734512[[#This Row],[heures jour dimanche]]+Horaires356734512[[#This Row],[heures jour fériés]])</f>
        <v>0</v>
      </c>
      <c r="J26" s="58">
        <f>(MOD(Horaires356734512[[#This Row],[Fin]]-Horaires356734512[[#This Row],[début]],1)-MOD(Horaires356734512[[#This Row],[PNP Fin]]-Horaires356734512[[#This Row],[PNP Début]],1))*24</f>
        <v>0</v>
      </c>
      <c r="K26" s="59">
        <f>IF(Horaires356734512[[#This Row],[PNP Début]]=0,0,IF(Horaires356734512[[#This Row],[PNP Début]]&lt;Horaires356734512[[#This Row],[début]],1,0)+Horaires356734512[[#This Row],[PNP Début]])</f>
        <v>0</v>
      </c>
      <c r="L26" s="60">
        <f>IF(Horaires356734512[[#This Row],[PNP Fin]]=0,0,IF(Horaires356734512[[#This Row],[PNP Fin]]&lt;Horaires356734512[[#This Row],[début]],1,0)+Horaires356734512[[#This Row],[PNP Fin]])</f>
        <v>0</v>
      </c>
      <c r="M26" s="60">
        <f>IF(Horaires356734512[[#This Row],[Fin]]&lt;Horaires356734512[[#This Row],[début]],1,0)+Horaires356734512[[#This Row],[Fin]]</f>
        <v>0</v>
      </c>
      <c r="N26" s="61">
        <f>MAX(0,MIN(Horaires356734512[[#This Row],[Fin corrigée si nuit]],fin_nuit)-MAX(Horaires356734512[[#This Row],[début]],deb_nuit))*24</f>
        <v>0</v>
      </c>
      <c r="O26" s="62">
        <f>(MAX(0,MIN(Horaires356734512[[#This Row],[Fin corrigée si nuit]],fin_nuit)-MAX(Horaires356734512[[#This Row],[début]],deb_nuit))-IF(Horaires356734512[[#This Row],[PNP Début]]=0,0,MIN(Horaires356734512[[#This Row],[PNP Fin corrigée]],fin_nuit)-MAX(Horaires356734512[[#This Row],[PNP Début corrigé]],deb_nuit)))*24</f>
        <v>0</v>
      </c>
      <c r="P26" s="62">
        <f>(IF(WEEKDAY(Horaires356734512[[#This Row],[Date]],2)=7,MAX(0,MIN(fin_dimJF,Horaires356734512[[#This Row],[Fin corrigée si nuit]])-MAX(deb_dimJF,Horaires356734512[[#This Row],[début]])),0)+IF(WEEKDAY(Horaires356734512[[#This Row],[Date]],2)=6,MAX(0,Horaires356734512[[#This Row],[Fin corrigée si nuit]]-(1+deb_dimJF)),0))*24</f>
        <v>0</v>
      </c>
      <c r="Q26"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6" s="62">
        <f>(IF(COUNTIF(JF,Horaires356734512[[#This Row],[Date]]),MAX(0,MIN(fin_dimJF,Horaires356734512[[#This Row],[Fin corrigée si nuit]])-MAX(deb_dimJF,Horaires356734512[[#This Row],[début]])),0)+IF(COUNTIF(JF,Horaires356734512[[#This Row],[Date]]+1),MAX(0,Horaires356734512[[#This Row],[Fin corrigée si nuit]]-(1+deb_dimJF)),0))*24</f>
        <v>0</v>
      </c>
      <c r="S26"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7" spans="1:19" x14ac:dyDescent="0.35">
      <c r="A27" s="9"/>
      <c r="B27" s="1"/>
      <c r="C27" s="2"/>
      <c r="D27" s="2"/>
      <c r="E27" s="3"/>
      <c r="F27" s="3"/>
      <c r="G27" s="3"/>
      <c r="H27" s="3"/>
      <c r="I27" s="57">
        <f>0.1*(Horaires356734512[[#This Row],[Heures de nuit]]+Horaires356734512[[#This Row],[heures jour dimanche]]+Horaires356734512[[#This Row],[heures jour fériés]])</f>
        <v>0</v>
      </c>
      <c r="J27" s="58">
        <f>(MOD(Horaires356734512[[#This Row],[Fin]]-Horaires356734512[[#This Row],[début]],1)-MOD(Horaires356734512[[#This Row],[PNP Fin]]-Horaires356734512[[#This Row],[PNP Début]],1))*24</f>
        <v>0</v>
      </c>
      <c r="K27" s="59">
        <f>IF(Horaires356734512[[#This Row],[PNP Début]]=0,0,IF(Horaires356734512[[#This Row],[PNP Début]]&lt;Horaires356734512[[#This Row],[début]],1,0)+Horaires356734512[[#This Row],[PNP Début]])</f>
        <v>0</v>
      </c>
      <c r="L27" s="60">
        <f>IF(Horaires356734512[[#This Row],[PNP Fin]]=0,0,IF(Horaires356734512[[#This Row],[PNP Fin]]&lt;Horaires356734512[[#This Row],[début]],1,0)+Horaires356734512[[#This Row],[PNP Fin]])</f>
        <v>0</v>
      </c>
      <c r="M27" s="60">
        <f>IF(Horaires356734512[[#This Row],[Fin]]&lt;Horaires356734512[[#This Row],[début]],1,0)+Horaires356734512[[#This Row],[Fin]]</f>
        <v>0</v>
      </c>
      <c r="N27" s="61">
        <f>MAX(0,MIN(Horaires356734512[[#This Row],[Fin corrigée si nuit]],fin_nuit)-MAX(Horaires356734512[[#This Row],[début]],deb_nuit))*24</f>
        <v>0</v>
      </c>
      <c r="O27" s="62">
        <f>(MAX(0,MIN(Horaires356734512[[#This Row],[Fin corrigée si nuit]],fin_nuit)-MAX(Horaires356734512[[#This Row],[début]],deb_nuit))-IF(Horaires356734512[[#This Row],[PNP Début]]=0,0,MIN(Horaires356734512[[#This Row],[PNP Fin corrigée]],fin_nuit)-MAX(Horaires356734512[[#This Row],[PNP Début corrigé]],deb_nuit)))*24</f>
        <v>0</v>
      </c>
      <c r="P27" s="62">
        <f>(IF(WEEKDAY(Horaires356734512[[#This Row],[Date]],2)=7,MAX(0,MIN(fin_dimJF,Horaires356734512[[#This Row],[Fin corrigée si nuit]])-MAX(deb_dimJF,Horaires356734512[[#This Row],[début]])),0)+IF(WEEKDAY(Horaires356734512[[#This Row],[Date]],2)=6,MAX(0,Horaires356734512[[#This Row],[Fin corrigée si nuit]]-(1+deb_dimJF)),0))*24</f>
        <v>0</v>
      </c>
      <c r="Q27"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7" s="62">
        <f>(IF(COUNTIF(JF,Horaires356734512[[#This Row],[Date]]),MAX(0,MIN(fin_dimJF,Horaires356734512[[#This Row],[Fin corrigée si nuit]])-MAX(deb_dimJF,Horaires356734512[[#This Row],[début]])),0)+IF(COUNTIF(JF,Horaires356734512[[#This Row],[Date]]+1),MAX(0,Horaires356734512[[#This Row],[Fin corrigée si nuit]]-(1+deb_dimJF)),0))*24</f>
        <v>0</v>
      </c>
      <c r="S27"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8" spans="1:19" x14ac:dyDescent="0.35">
      <c r="A28" s="9"/>
      <c r="B28" s="1"/>
      <c r="C28" s="2"/>
      <c r="D28" s="2"/>
      <c r="E28" s="3"/>
      <c r="F28" s="3"/>
      <c r="G28" s="3"/>
      <c r="H28" s="3"/>
      <c r="I28" s="57">
        <f>0.1*(Horaires356734512[[#This Row],[Heures de nuit]]+Horaires356734512[[#This Row],[heures jour dimanche]]+Horaires356734512[[#This Row],[heures jour fériés]])</f>
        <v>0</v>
      </c>
      <c r="J28" s="58">
        <f>(MOD(Horaires356734512[[#This Row],[Fin]]-Horaires356734512[[#This Row],[début]],1)-MOD(Horaires356734512[[#This Row],[PNP Fin]]-Horaires356734512[[#This Row],[PNP Début]],1))*24</f>
        <v>0</v>
      </c>
      <c r="K28" s="59">
        <f>IF(Horaires356734512[[#This Row],[PNP Début]]=0,0,IF(Horaires356734512[[#This Row],[PNP Début]]&lt;Horaires356734512[[#This Row],[début]],1,0)+Horaires356734512[[#This Row],[PNP Début]])</f>
        <v>0</v>
      </c>
      <c r="L28" s="60">
        <f>IF(Horaires356734512[[#This Row],[PNP Fin]]=0,0,IF(Horaires356734512[[#This Row],[PNP Fin]]&lt;Horaires356734512[[#This Row],[début]],1,0)+Horaires356734512[[#This Row],[PNP Fin]])</f>
        <v>0</v>
      </c>
      <c r="M28" s="60">
        <f>IF(Horaires356734512[[#This Row],[Fin]]&lt;Horaires356734512[[#This Row],[début]],1,0)+Horaires356734512[[#This Row],[Fin]]</f>
        <v>0</v>
      </c>
      <c r="N28" s="61">
        <f>MAX(0,MIN(Horaires356734512[[#This Row],[Fin corrigée si nuit]],fin_nuit)-MAX(Horaires356734512[[#This Row],[début]],deb_nuit))*24</f>
        <v>0</v>
      </c>
      <c r="O28" s="62">
        <f>(MAX(0,MIN(Horaires356734512[[#This Row],[Fin corrigée si nuit]],fin_nuit)-MAX(Horaires356734512[[#This Row],[début]],deb_nuit))-IF(Horaires356734512[[#This Row],[PNP Début]]=0,0,MIN(Horaires356734512[[#This Row],[PNP Fin corrigée]],fin_nuit)-MAX(Horaires356734512[[#This Row],[PNP Début corrigé]],deb_nuit)))*24</f>
        <v>0</v>
      </c>
      <c r="P28" s="62">
        <f>(IF(WEEKDAY(Horaires356734512[[#This Row],[Date]],2)=7,MAX(0,MIN(fin_dimJF,Horaires356734512[[#This Row],[Fin corrigée si nuit]])-MAX(deb_dimJF,Horaires356734512[[#This Row],[début]])),0)+IF(WEEKDAY(Horaires356734512[[#This Row],[Date]],2)=6,MAX(0,Horaires356734512[[#This Row],[Fin corrigée si nuit]]-(1+deb_dimJF)),0))*24</f>
        <v>0</v>
      </c>
      <c r="Q28"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8" s="62">
        <f>(IF(COUNTIF(JF,Horaires356734512[[#This Row],[Date]]),MAX(0,MIN(fin_dimJF,Horaires356734512[[#This Row],[Fin corrigée si nuit]])-MAX(deb_dimJF,Horaires356734512[[#This Row],[début]])),0)+IF(COUNTIF(JF,Horaires356734512[[#This Row],[Date]]+1),MAX(0,Horaires356734512[[#This Row],[Fin corrigée si nuit]]-(1+deb_dimJF)),0))*24</f>
        <v>0</v>
      </c>
      <c r="S28"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29" spans="1:19" x14ac:dyDescent="0.35">
      <c r="A29" s="9"/>
      <c r="B29" s="1"/>
      <c r="C29" s="2"/>
      <c r="D29" s="2"/>
      <c r="E29" s="3"/>
      <c r="F29" s="3"/>
      <c r="G29" s="3"/>
      <c r="H29" s="3"/>
      <c r="I29" s="57">
        <f>0.1*(Horaires356734512[[#This Row],[Heures de nuit]]+Horaires356734512[[#This Row],[heures jour dimanche]]+Horaires356734512[[#This Row],[heures jour fériés]])</f>
        <v>0</v>
      </c>
      <c r="J29" s="58">
        <f>(MOD(Horaires356734512[[#This Row],[Fin]]-Horaires356734512[[#This Row],[début]],1)-MOD(Horaires356734512[[#This Row],[PNP Fin]]-Horaires356734512[[#This Row],[PNP Début]],1))*24</f>
        <v>0</v>
      </c>
      <c r="K29" s="59">
        <f>IF(Horaires356734512[[#This Row],[PNP Début]]=0,0,IF(Horaires356734512[[#This Row],[PNP Début]]&lt;Horaires356734512[[#This Row],[début]],1,0)+Horaires356734512[[#This Row],[PNP Début]])</f>
        <v>0</v>
      </c>
      <c r="L29" s="60">
        <f>IF(Horaires356734512[[#This Row],[PNP Fin]]=0,0,IF(Horaires356734512[[#This Row],[PNP Fin]]&lt;Horaires356734512[[#This Row],[début]],1,0)+Horaires356734512[[#This Row],[PNP Fin]])</f>
        <v>0</v>
      </c>
      <c r="M29" s="60">
        <f>IF(Horaires356734512[[#This Row],[Fin]]&lt;Horaires356734512[[#This Row],[début]],1,0)+Horaires356734512[[#This Row],[Fin]]</f>
        <v>0</v>
      </c>
      <c r="N29" s="61">
        <f>MAX(0,MIN(Horaires356734512[[#This Row],[Fin corrigée si nuit]],fin_nuit)-MAX(Horaires356734512[[#This Row],[début]],deb_nuit))*24</f>
        <v>0</v>
      </c>
      <c r="O29" s="62">
        <f>(MAX(0,MIN(Horaires356734512[[#This Row],[Fin corrigée si nuit]],fin_nuit)-MAX(Horaires356734512[[#This Row],[début]],deb_nuit))-IF(Horaires356734512[[#This Row],[PNP Début]]=0,0,MIN(Horaires356734512[[#This Row],[PNP Fin corrigée]],fin_nuit)-MAX(Horaires356734512[[#This Row],[PNP Début corrigé]],deb_nuit)))*24</f>
        <v>0</v>
      </c>
      <c r="P29" s="62">
        <f>(IF(WEEKDAY(Horaires356734512[[#This Row],[Date]],2)=7,MAX(0,MIN(fin_dimJF,Horaires356734512[[#This Row],[Fin corrigée si nuit]])-MAX(deb_dimJF,Horaires356734512[[#This Row],[début]])),0)+IF(WEEKDAY(Horaires356734512[[#This Row],[Date]],2)=6,MAX(0,Horaires356734512[[#This Row],[Fin corrigée si nuit]]-(1+deb_dimJF)),0))*24</f>
        <v>0</v>
      </c>
      <c r="Q29"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29" s="62">
        <f>(IF(COUNTIF(JF,Horaires356734512[[#This Row],[Date]]),MAX(0,MIN(fin_dimJF,Horaires356734512[[#This Row],[Fin corrigée si nuit]])-MAX(deb_dimJF,Horaires356734512[[#This Row],[début]])),0)+IF(COUNTIF(JF,Horaires356734512[[#This Row],[Date]]+1),MAX(0,Horaires356734512[[#This Row],[Fin corrigée si nuit]]-(1+deb_dimJF)),0))*24</f>
        <v>0</v>
      </c>
      <c r="S29"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0" spans="1:19" x14ac:dyDescent="0.35">
      <c r="A30" s="9"/>
      <c r="B30" s="1"/>
      <c r="C30" s="2"/>
      <c r="D30" s="2"/>
      <c r="E30" s="3"/>
      <c r="F30" s="3"/>
      <c r="G30" s="3"/>
      <c r="H30" s="3"/>
      <c r="I30" s="57">
        <f>0.1*(Horaires356734512[[#This Row],[Heures de nuit]]+Horaires356734512[[#This Row],[heures jour dimanche]]+Horaires356734512[[#This Row],[heures jour fériés]])</f>
        <v>0</v>
      </c>
      <c r="J30" s="58">
        <f>(MOD(Horaires356734512[[#This Row],[Fin]]-Horaires356734512[[#This Row],[début]],1)-MOD(Horaires356734512[[#This Row],[PNP Fin]]-Horaires356734512[[#This Row],[PNP Début]],1))*24</f>
        <v>0</v>
      </c>
      <c r="K30" s="59">
        <f>IF(Horaires356734512[[#This Row],[PNP Début]]=0,0,IF(Horaires356734512[[#This Row],[PNP Début]]&lt;Horaires356734512[[#This Row],[début]],1,0)+Horaires356734512[[#This Row],[PNP Début]])</f>
        <v>0</v>
      </c>
      <c r="L30" s="60">
        <f>IF(Horaires356734512[[#This Row],[PNP Fin]]=0,0,IF(Horaires356734512[[#This Row],[PNP Fin]]&lt;Horaires356734512[[#This Row],[début]],1,0)+Horaires356734512[[#This Row],[PNP Fin]])</f>
        <v>0</v>
      </c>
      <c r="M30" s="60">
        <f>IF(Horaires356734512[[#This Row],[Fin]]&lt;Horaires356734512[[#This Row],[début]],1,0)+Horaires356734512[[#This Row],[Fin]]</f>
        <v>0</v>
      </c>
      <c r="N30" s="61">
        <f>MAX(0,MIN(Horaires356734512[[#This Row],[Fin corrigée si nuit]],fin_nuit)-MAX(Horaires356734512[[#This Row],[début]],deb_nuit))*24</f>
        <v>0</v>
      </c>
      <c r="O30" s="62">
        <f>(MAX(0,MIN(Horaires356734512[[#This Row],[Fin corrigée si nuit]],fin_nuit)-MAX(Horaires356734512[[#This Row],[début]],deb_nuit))-IF(Horaires356734512[[#This Row],[PNP Début]]=0,0,MIN(Horaires356734512[[#This Row],[PNP Fin corrigée]],fin_nuit)-MAX(Horaires356734512[[#This Row],[PNP Début corrigé]],deb_nuit)))*24</f>
        <v>0</v>
      </c>
      <c r="P30" s="62">
        <f>(IF(WEEKDAY(Horaires356734512[[#This Row],[Date]],2)=7,MAX(0,MIN(fin_dimJF,Horaires356734512[[#This Row],[Fin corrigée si nuit]])-MAX(deb_dimJF,Horaires356734512[[#This Row],[début]])),0)+IF(WEEKDAY(Horaires356734512[[#This Row],[Date]],2)=6,MAX(0,Horaires356734512[[#This Row],[Fin corrigée si nuit]]-(1+deb_dimJF)),0))*24</f>
        <v>0</v>
      </c>
      <c r="Q30"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0" s="62">
        <f>(IF(COUNTIF(JF,Horaires356734512[[#This Row],[Date]]),MAX(0,MIN(fin_dimJF,Horaires356734512[[#This Row],[Fin corrigée si nuit]])-MAX(deb_dimJF,Horaires356734512[[#This Row],[début]])),0)+IF(COUNTIF(JF,Horaires356734512[[#This Row],[Date]]+1),MAX(0,Horaires356734512[[#This Row],[Fin corrigée si nuit]]-(1+deb_dimJF)),0))*24</f>
        <v>0</v>
      </c>
      <c r="S30"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1" spans="1:19" x14ac:dyDescent="0.35">
      <c r="A31" s="9"/>
      <c r="B31" s="1"/>
      <c r="C31" s="2"/>
      <c r="D31" s="2"/>
      <c r="E31" s="3"/>
      <c r="F31" s="3"/>
      <c r="G31" s="3"/>
      <c r="H31" s="3"/>
      <c r="I31" s="57">
        <f>0.1*(Horaires356734512[[#This Row],[Heures de nuit]]+Horaires356734512[[#This Row],[heures jour dimanche]]+Horaires356734512[[#This Row],[heures jour fériés]])</f>
        <v>0</v>
      </c>
      <c r="J31" s="58">
        <f>(MOD(Horaires356734512[[#This Row],[Fin]]-Horaires356734512[[#This Row],[début]],1)-MOD(Horaires356734512[[#This Row],[PNP Fin]]-Horaires356734512[[#This Row],[PNP Début]],1))*24</f>
        <v>0</v>
      </c>
      <c r="K31" s="59">
        <f>IF(Horaires356734512[[#This Row],[PNP Début]]=0,0,IF(Horaires356734512[[#This Row],[PNP Début]]&lt;Horaires356734512[[#This Row],[début]],1,0)+Horaires356734512[[#This Row],[PNP Début]])</f>
        <v>0</v>
      </c>
      <c r="L31" s="60">
        <f>IF(Horaires356734512[[#This Row],[PNP Fin]]=0,0,IF(Horaires356734512[[#This Row],[PNP Fin]]&lt;Horaires356734512[[#This Row],[début]],1,0)+Horaires356734512[[#This Row],[PNP Fin]])</f>
        <v>0</v>
      </c>
      <c r="M31" s="60">
        <f>IF(Horaires356734512[[#This Row],[Fin]]&lt;Horaires356734512[[#This Row],[début]],1,0)+Horaires356734512[[#This Row],[Fin]]</f>
        <v>0</v>
      </c>
      <c r="N31" s="61">
        <f>MAX(0,MIN(Horaires356734512[[#This Row],[Fin corrigée si nuit]],fin_nuit)-MAX(Horaires356734512[[#This Row],[début]],deb_nuit))*24</f>
        <v>0</v>
      </c>
      <c r="O31" s="62">
        <f>(MAX(0,MIN(Horaires356734512[[#This Row],[Fin corrigée si nuit]],fin_nuit)-MAX(Horaires356734512[[#This Row],[début]],deb_nuit))-IF(Horaires356734512[[#This Row],[PNP Début]]=0,0,MIN(Horaires356734512[[#This Row],[PNP Fin corrigée]],fin_nuit)-MAX(Horaires356734512[[#This Row],[PNP Début corrigé]],deb_nuit)))*24</f>
        <v>0</v>
      </c>
      <c r="P31" s="62">
        <f>(IF(WEEKDAY(Horaires356734512[[#This Row],[Date]],2)=7,MAX(0,MIN(fin_dimJF,Horaires356734512[[#This Row],[Fin corrigée si nuit]])-MAX(deb_dimJF,Horaires356734512[[#This Row],[début]])),0)+IF(WEEKDAY(Horaires356734512[[#This Row],[Date]],2)=6,MAX(0,Horaires356734512[[#This Row],[Fin corrigée si nuit]]-(1+deb_dimJF)),0))*24</f>
        <v>0</v>
      </c>
      <c r="Q31"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1" s="62">
        <f>(IF(COUNTIF(JF,Horaires356734512[[#This Row],[Date]]),MAX(0,MIN(fin_dimJF,Horaires356734512[[#This Row],[Fin corrigée si nuit]])-MAX(deb_dimJF,Horaires356734512[[#This Row],[début]])),0)+IF(COUNTIF(JF,Horaires356734512[[#This Row],[Date]]+1),MAX(0,Horaires356734512[[#This Row],[Fin corrigée si nuit]]-(1+deb_dimJF)),0))*24</f>
        <v>0</v>
      </c>
      <c r="S31"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2" spans="1:19" ht="14.5" customHeight="1" x14ac:dyDescent="0.35">
      <c r="A32" s="9"/>
      <c r="B32" s="1"/>
      <c r="C32" s="2"/>
      <c r="D32" s="2"/>
      <c r="E32" s="3"/>
      <c r="F32" s="3"/>
      <c r="G32" s="3"/>
      <c r="H32" s="3"/>
      <c r="I32" s="57">
        <f>0.1*(Horaires356734512[[#This Row],[Heures de nuit]]+Horaires356734512[[#This Row],[heures jour dimanche]]+Horaires356734512[[#This Row],[heures jour fériés]])</f>
        <v>0</v>
      </c>
      <c r="J32" s="58">
        <f>(MOD(Horaires356734512[[#This Row],[Fin]]-Horaires356734512[[#This Row],[début]],1)-MOD(Horaires356734512[[#This Row],[PNP Fin]]-Horaires356734512[[#This Row],[PNP Début]],1))*24</f>
        <v>0</v>
      </c>
      <c r="K32" s="59">
        <f>IF(Horaires356734512[[#This Row],[PNP Début]]=0,0,IF(Horaires356734512[[#This Row],[PNP Début]]&lt;Horaires356734512[[#This Row],[début]],1,0)+Horaires356734512[[#This Row],[PNP Début]])</f>
        <v>0</v>
      </c>
      <c r="L32" s="60">
        <f>IF(Horaires356734512[[#This Row],[PNP Fin]]=0,0,IF(Horaires356734512[[#This Row],[PNP Fin]]&lt;Horaires356734512[[#This Row],[début]],1,0)+Horaires356734512[[#This Row],[PNP Fin]])</f>
        <v>0</v>
      </c>
      <c r="M32" s="60">
        <f>IF(Horaires356734512[[#This Row],[Fin]]&lt;Horaires356734512[[#This Row],[début]],1,0)+Horaires356734512[[#This Row],[Fin]]</f>
        <v>0</v>
      </c>
      <c r="N32" s="61">
        <f>MAX(0,MIN(Horaires356734512[[#This Row],[Fin corrigée si nuit]],fin_nuit)-MAX(Horaires356734512[[#This Row],[début]],deb_nuit))*24</f>
        <v>0</v>
      </c>
      <c r="O32" s="62">
        <f>(MAX(0,MIN(Horaires356734512[[#This Row],[Fin corrigée si nuit]],fin_nuit)-MAX(Horaires356734512[[#This Row],[début]],deb_nuit))-IF(Horaires356734512[[#This Row],[PNP Début]]=0,0,MIN(Horaires356734512[[#This Row],[PNP Fin corrigée]],fin_nuit)-MAX(Horaires356734512[[#This Row],[PNP Début corrigé]],deb_nuit)))*24</f>
        <v>0</v>
      </c>
      <c r="P32" s="62">
        <f>(IF(WEEKDAY(Horaires356734512[[#This Row],[Date]],2)=7,MAX(0,MIN(fin_dimJF,Horaires356734512[[#This Row],[Fin corrigée si nuit]])-MAX(deb_dimJF,Horaires356734512[[#This Row],[début]])),0)+IF(WEEKDAY(Horaires356734512[[#This Row],[Date]],2)=6,MAX(0,Horaires356734512[[#This Row],[Fin corrigée si nuit]]-(1+deb_dimJF)),0))*24</f>
        <v>0</v>
      </c>
      <c r="Q32"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2" s="62">
        <f>(IF(COUNTIF(JF,Horaires356734512[[#This Row],[Date]]),MAX(0,MIN(fin_dimJF,Horaires356734512[[#This Row],[Fin corrigée si nuit]])-MAX(deb_dimJF,Horaires356734512[[#This Row],[début]])),0)+IF(COUNTIF(JF,Horaires356734512[[#This Row],[Date]]+1),MAX(0,Horaires356734512[[#This Row],[Fin corrigée si nuit]]-(1+deb_dimJF)),0))*24</f>
        <v>0</v>
      </c>
      <c r="S32"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3" spans="1:19" x14ac:dyDescent="0.35">
      <c r="A33" s="9"/>
      <c r="B33" s="1"/>
      <c r="C33" s="2"/>
      <c r="D33" s="2"/>
      <c r="E33" s="3"/>
      <c r="F33" s="3"/>
      <c r="G33" s="3"/>
      <c r="H33" s="3"/>
      <c r="I33" s="57">
        <f>0.1*(Horaires356734512[[#This Row],[Heures de nuit]]+Horaires356734512[[#This Row],[heures jour dimanche]]+Horaires356734512[[#This Row],[heures jour fériés]])</f>
        <v>0</v>
      </c>
      <c r="J33" s="58">
        <f>(MOD(Horaires356734512[[#This Row],[Fin]]-Horaires356734512[[#This Row],[début]],1)-MOD(Horaires356734512[[#This Row],[PNP Fin]]-Horaires356734512[[#This Row],[PNP Début]],1))*24</f>
        <v>0</v>
      </c>
      <c r="K33" s="59">
        <f>IF(Horaires356734512[[#This Row],[PNP Début]]=0,0,IF(Horaires356734512[[#This Row],[PNP Début]]&lt;Horaires356734512[[#This Row],[début]],1,0)+Horaires356734512[[#This Row],[PNP Début]])</f>
        <v>0</v>
      </c>
      <c r="L33" s="60">
        <f>IF(Horaires356734512[[#This Row],[PNP Fin]]=0,0,IF(Horaires356734512[[#This Row],[PNP Fin]]&lt;Horaires356734512[[#This Row],[début]],1,0)+Horaires356734512[[#This Row],[PNP Fin]])</f>
        <v>0</v>
      </c>
      <c r="M33" s="60">
        <f>IF(Horaires356734512[[#This Row],[Fin]]&lt;Horaires356734512[[#This Row],[début]],1,0)+Horaires356734512[[#This Row],[Fin]]</f>
        <v>0</v>
      </c>
      <c r="N33" s="61">
        <f>MAX(0,MIN(Horaires356734512[[#This Row],[Fin corrigée si nuit]],fin_nuit)-MAX(Horaires356734512[[#This Row],[début]],deb_nuit))*24</f>
        <v>0</v>
      </c>
      <c r="O33" s="62">
        <f>(MAX(0,MIN(Horaires356734512[[#This Row],[Fin corrigée si nuit]],fin_nuit)-MAX(Horaires356734512[[#This Row],[début]],deb_nuit))-IF(Horaires356734512[[#This Row],[PNP Début]]=0,0,MIN(Horaires356734512[[#This Row],[PNP Fin corrigée]],fin_nuit)-MAX(Horaires356734512[[#This Row],[PNP Début corrigé]],deb_nuit)))*24</f>
        <v>0</v>
      </c>
      <c r="P33" s="62">
        <f>(IF(WEEKDAY(Horaires356734512[[#This Row],[Date]],2)=7,MAX(0,MIN(fin_dimJF,Horaires356734512[[#This Row],[Fin corrigée si nuit]])-MAX(deb_dimJF,Horaires356734512[[#This Row],[début]])),0)+IF(WEEKDAY(Horaires356734512[[#This Row],[Date]],2)=6,MAX(0,Horaires356734512[[#This Row],[Fin corrigée si nuit]]-(1+deb_dimJF)),0))*24</f>
        <v>0</v>
      </c>
      <c r="Q33"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3" s="62">
        <f>(IF(COUNTIF(JF,Horaires356734512[[#This Row],[Date]]),MAX(0,MIN(fin_dimJF,Horaires356734512[[#This Row],[Fin corrigée si nuit]])-MAX(deb_dimJF,Horaires356734512[[#This Row],[début]])),0)+IF(COUNTIF(JF,Horaires356734512[[#This Row],[Date]]+1),MAX(0,Horaires356734512[[#This Row],[Fin corrigée si nuit]]-(1+deb_dimJF)),0))*24</f>
        <v>0</v>
      </c>
      <c r="S33"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4" spans="1:19" x14ac:dyDescent="0.35">
      <c r="A34" s="9"/>
      <c r="B34" s="1"/>
      <c r="C34" s="2"/>
      <c r="D34" s="2"/>
      <c r="E34" s="3"/>
      <c r="F34" s="3"/>
      <c r="G34" s="3"/>
      <c r="H34" s="3"/>
      <c r="I34" s="57">
        <f>0.1*(Horaires356734512[[#This Row],[Heures de nuit]]+Horaires356734512[[#This Row],[heures jour dimanche]]+Horaires356734512[[#This Row],[heures jour fériés]])</f>
        <v>0</v>
      </c>
      <c r="J34" s="58">
        <f>(MOD(Horaires356734512[[#This Row],[Fin]]-Horaires356734512[[#This Row],[début]],1)-MOD(Horaires356734512[[#This Row],[PNP Fin]]-Horaires356734512[[#This Row],[PNP Début]],1))*24</f>
        <v>0</v>
      </c>
      <c r="K34" s="59">
        <f>IF(Horaires356734512[[#This Row],[PNP Début]]=0,0,IF(Horaires356734512[[#This Row],[PNP Début]]&lt;Horaires356734512[[#This Row],[début]],1,0)+Horaires356734512[[#This Row],[PNP Début]])</f>
        <v>0</v>
      </c>
      <c r="L34" s="60">
        <f>IF(Horaires356734512[[#This Row],[PNP Fin]]=0,0,IF(Horaires356734512[[#This Row],[PNP Fin]]&lt;Horaires356734512[[#This Row],[début]],1,0)+Horaires356734512[[#This Row],[PNP Fin]])</f>
        <v>0</v>
      </c>
      <c r="M34" s="60">
        <f>IF(Horaires356734512[[#This Row],[Fin]]&lt;Horaires356734512[[#This Row],[début]],1,0)+Horaires356734512[[#This Row],[Fin]]</f>
        <v>0</v>
      </c>
      <c r="N34" s="61">
        <f>MAX(0,MIN(Horaires356734512[[#This Row],[Fin corrigée si nuit]],fin_nuit)-MAX(Horaires356734512[[#This Row],[début]],deb_nuit))*24</f>
        <v>0</v>
      </c>
      <c r="O34" s="62">
        <f>(MAX(0,MIN(Horaires356734512[[#This Row],[Fin corrigée si nuit]],fin_nuit)-MAX(Horaires356734512[[#This Row],[début]],deb_nuit))-IF(Horaires356734512[[#This Row],[PNP Début]]=0,0,MIN(Horaires356734512[[#This Row],[PNP Fin corrigée]],fin_nuit)-MAX(Horaires356734512[[#This Row],[PNP Début corrigé]],deb_nuit)))*24</f>
        <v>0</v>
      </c>
      <c r="P34" s="62">
        <f>(IF(WEEKDAY(Horaires356734512[[#This Row],[Date]],2)=7,MAX(0,MIN(fin_dimJF,Horaires356734512[[#This Row],[Fin corrigée si nuit]])-MAX(deb_dimJF,Horaires356734512[[#This Row],[début]])),0)+IF(WEEKDAY(Horaires356734512[[#This Row],[Date]],2)=6,MAX(0,Horaires356734512[[#This Row],[Fin corrigée si nuit]]-(1+deb_dimJF)),0))*24</f>
        <v>0</v>
      </c>
      <c r="Q34"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4" s="62">
        <f>(IF(COUNTIF(JF,Horaires356734512[[#This Row],[Date]]),MAX(0,MIN(fin_dimJF,Horaires356734512[[#This Row],[Fin corrigée si nuit]])-MAX(deb_dimJF,Horaires356734512[[#This Row],[début]])),0)+IF(COUNTIF(JF,Horaires356734512[[#This Row],[Date]]+1),MAX(0,Horaires356734512[[#This Row],[Fin corrigée si nuit]]-(1+deb_dimJF)),0))*24</f>
        <v>0</v>
      </c>
      <c r="S34"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5" spans="1:19" x14ac:dyDescent="0.35">
      <c r="A35" s="9"/>
      <c r="B35" s="1"/>
      <c r="C35" s="2"/>
      <c r="D35" s="2"/>
      <c r="E35" s="3"/>
      <c r="F35" s="3"/>
      <c r="G35" s="3"/>
      <c r="H35" s="3"/>
      <c r="I35" s="57">
        <f>0.1*(Horaires356734512[[#This Row],[Heures de nuit]]+Horaires356734512[[#This Row],[heures jour dimanche]]+Horaires356734512[[#This Row],[heures jour fériés]])</f>
        <v>0</v>
      </c>
      <c r="J35" s="58">
        <f>(MOD(Horaires356734512[[#This Row],[Fin]]-Horaires356734512[[#This Row],[début]],1)-MOD(Horaires356734512[[#This Row],[PNP Fin]]-Horaires356734512[[#This Row],[PNP Début]],1))*24</f>
        <v>0</v>
      </c>
      <c r="K35" s="59">
        <f>IF(Horaires356734512[[#This Row],[PNP Début]]=0,0,IF(Horaires356734512[[#This Row],[PNP Début]]&lt;Horaires356734512[[#This Row],[début]],1,0)+Horaires356734512[[#This Row],[PNP Début]])</f>
        <v>0</v>
      </c>
      <c r="L35" s="60">
        <f>IF(Horaires356734512[[#This Row],[PNP Fin]]=0,0,IF(Horaires356734512[[#This Row],[PNP Fin]]&lt;Horaires356734512[[#This Row],[début]],1,0)+Horaires356734512[[#This Row],[PNP Fin]])</f>
        <v>0</v>
      </c>
      <c r="M35" s="60">
        <f>IF(Horaires356734512[[#This Row],[Fin]]&lt;Horaires356734512[[#This Row],[début]],1,0)+Horaires356734512[[#This Row],[Fin]]</f>
        <v>0</v>
      </c>
      <c r="N35" s="61">
        <f>MAX(0,MIN(Horaires356734512[[#This Row],[Fin corrigée si nuit]],fin_nuit)-MAX(Horaires356734512[[#This Row],[début]],deb_nuit))*24</f>
        <v>0</v>
      </c>
      <c r="O35" s="62">
        <f>(MAX(0,MIN(Horaires356734512[[#This Row],[Fin corrigée si nuit]],fin_nuit)-MAX(Horaires356734512[[#This Row],[début]],deb_nuit))-IF(Horaires356734512[[#This Row],[PNP Début]]=0,0,MIN(Horaires356734512[[#This Row],[PNP Fin corrigée]],fin_nuit)-MAX(Horaires356734512[[#This Row],[PNP Début corrigé]],deb_nuit)))*24</f>
        <v>0</v>
      </c>
      <c r="P35" s="62">
        <f>(IF(WEEKDAY(Horaires356734512[[#This Row],[Date]],2)=7,MAX(0,MIN(fin_dimJF,Horaires356734512[[#This Row],[Fin corrigée si nuit]])-MAX(deb_dimJF,Horaires356734512[[#This Row],[début]])),0)+IF(WEEKDAY(Horaires356734512[[#This Row],[Date]],2)=6,MAX(0,Horaires356734512[[#This Row],[Fin corrigée si nuit]]-(1+deb_dimJF)),0))*24</f>
        <v>0</v>
      </c>
      <c r="Q35"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5" s="62">
        <f>(IF(COUNTIF(JF,Horaires356734512[[#This Row],[Date]]),MAX(0,MIN(fin_dimJF,Horaires356734512[[#This Row],[Fin corrigée si nuit]])-MAX(deb_dimJF,Horaires356734512[[#This Row],[début]])),0)+IF(COUNTIF(JF,Horaires356734512[[#This Row],[Date]]+1),MAX(0,Horaires356734512[[#This Row],[Fin corrigée si nuit]]-(1+deb_dimJF)),0))*24</f>
        <v>0</v>
      </c>
      <c r="S35"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6" spans="1:19" x14ac:dyDescent="0.35">
      <c r="A36" s="9"/>
      <c r="B36" s="1"/>
      <c r="C36" s="2"/>
      <c r="D36" s="2"/>
      <c r="E36" s="3"/>
      <c r="F36" s="3"/>
      <c r="G36" s="3"/>
      <c r="H36" s="3"/>
      <c r="I36" s="57">
        <f>0.1*(Horaires356734512[[#This Row],[Heures de nuit]]+Horaires356734512[[#This Row],[heures jour dimanche]]+Horaires356734512[[#This Row],[heures jour fériés]])</f>
        <v>0</v>
      </c>
      <c r="J36" s="58">
        <f>(MOD(Horaires356734512[[#This Row],[Fin]]-Horaires356734512[[#This Row],[début]],1)-MOD(Horaires356734512[[#This Row],[PNP Fin]]-Horaires356734512[[#This Row],[PNP Début]],1))*24</f>
        <v>0</v>
      </c>
      <c r="K36" s="59">
        <f>IF(Horaires356734512[[#This Row],[PNP Début]]=0,0,IF(Horaires356734512[[#This Row],[PNP Début]]&lt;Horaires356734512[[#This Row],[début]],1,0)+Horaires356734512[[#This Row],[PNP Début]])</f>
        <v>0</v>
      </c>
      <c r="L36" s="60">
        <f>IF(Horaires356734512[[#This Row],[PNP Fin]]=0,0,IF(Horaires356734512[[#This Row],[PNP Fin]]&lt;Horaires356734512[[#This Row],[début]],1,0)+Horaires356734512[[#This Row],[PNP Fin]])</f>
        <v>0</v>
      </c>
      <c r="M36" s="60">
        <f>IF(Horaires356734512[[#This Row],[Fin]]&lt;Horaires356734512[[#This Row],[début]],1,0)+Horaires356734512[[#This Row],[Fin]]</f>
        <v>0</v>
      </c>
      <c r="N36" s="61">
        <f>MAX(0,MIN(Horaires356734512[[#This Row],[Fin corrigée si nuit]],fin_nuit)-MAX(Horaires356734512[[#This Row],[début]],deb_nuit))*24</f>
        <v>0</v>
      </c>
      <c r="O36" s="62">
        <f>(MAX(0,MIN(Horaires356734512[[#This Row],[Fin corrigée si nuit]],fin_nuit)-MAX(Horaires356734512[[#This Row],[début]],deb_nuit))-IF(Horaires356734512[[#This Row],[PNP Début]]=0,0,MIN(Horaires356734512[[#This Row],[PNP Fin corrigée]],fin_nuit)-MAX(Horaires356734512[[#This Row],[PNP Début corrigé]],deb_nuit)))*24</f>
        <v>0</v>
      </c>
      <c r="P36" s="62">
        <f>(IF(WEEKDAY(Horaires356734512[[#This Row],[Date]],2)=7,MAX(0,MIN(fin_dimJF,Horaires356734512[[#This Row],[Fin corrigée si nuit]])-MAX(deb_dimJF,Horaires356734512[[#This Row],[début]])),0)+IF(WEEKDAY(Horaires356734512[[#This Row],[Date]],2)=6,MAX(0,Horaires356734512[[#This Row],[Fin corrigée si nuit]]-(1+deb_dimJF)),0))*24</f>
        <v>0</v>
      </c>
      <c r="Q36"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6" s="62">
        <f>(IF(COUNTIF(JF,Horaires356734512[[#This Row],[Date]]),MAX(0,MIN(fin_dimJF,Horaires356734512[[#This Row],[Fin corrigée si nuit]])-MAX(deb_dimJF,Horaires356734512[[#This Row],[début]])),0)+IF(COUNTIF(JF,Horaires356734512[[#This Row],[Date]]+1),MAX(0,Horaires356734512[[#This Row],[Fin corrigée si nuit]]-(1+deb_dimJF)),0))*24</f>
        <v>0</v>
      </c>
      <c r="S36"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7" spans="1:19" x14ac:dyDescent="0.35">
      <c r="A37" s="9"/>
      <c r="B37" s="1"/>
      <c r="C37" s="2"/>
      <c r="D37" s="2"/>
      <c r="E37" s="3"/>
      <c r="F37" s="3"/>
      <c r="G37" s="3"/>
      <c r="H37" s="3"/>
      <c r="I37" s="57">
        <f>0.1*(Horaires356734512[[#This Row],[Heures de nuit]]+Horaires356734512[[#This Row],[heures jour dimanche]]+Horaires356734512[[#This Row],[heures jour fériés]])</f>
        <v>0</v>
      </c>
      <c r="J37" s="58">
        <f>(MOD(Horaires356734512[[#This Row],[Fin]]-Horaires356734512[[#This Row],[début]],1)-MOD(Horaires356734512[[#This Row],[PNP Fin]]-Horaires356734512[[#This Row],[PNP Début]],1))*24</f>
        <v>0</v>
      </c>
      <c r="K37" s="59">
        <f>IF(Horaires356734512[[#This Row],[PNP Début]]=0,0,IF(Horaires356734512[[#This Row],[PNP Début]]&lt;Horaires356734512[[#This Row],[début]],1,0)+Horaires356734512[[#This Row],[PNP Début]])</f>
        <v>0</v>
      </c>
      <c r="L37" s="60">
        <f>IF(Horaires356734512[[#This Row],[PNP Fin]]=0,0,IF(Horaires356734512[[#This Row],[PNP Fin]]&lt;Horaires356734512[[#This Row],[début]],1,0)+Horaires356734512[[#This Row],[PNP Fin]])</f>
        <v>0</v>
      </c>
      <c r="M37" s="60">
        <f>IF(Horaires356734512[[#This Row],[Fin]]&lt;Horaires356734512[[#This Row],[début]],1,0)+Horaires356734512[[#This Row],[Fin]]</f>
        <v>0</v>
      </c>
      <c r="N37" s="61">
        <f>MAX(0,MIN(Horaires356734512[[#This Row],[Fin corrigée si nuit]],fin_nuit)-MAX(Horaires356734512[[#This Row],[début]],deb_nuit))*24</f>
        <v>0</v>
      </c>
      <c r="O37" s="62">
        <f>(MAX(0,MIN(Horaires356734512[[#This Row],[Fin corrigée si nuit]],fin_nuit)-MAX(Horaires356734512[[#This Row],[début]],deb_nuit))-IF(Horaires356734512[[#This Row],[PNP Début]]=0,0,MIN(Horaires356734512[[#This Row],[PNP Fin corrigée]],fin_nuit)-MAX(Horaires356734512[[#This Row],[PNP Début corrigé]],deb_nuit)))*24</f>
        <v>0</v>
      </c>
      <c r="P37" s="62">
        <f>(IF(WEEKDAY(Horaires356734512[[#This Row],[Date]],2)=7,MAX(0,MIN(fin_dimJF,Horaires356734512[[#This Row],[Fin corrigée si nuit]])-MAX(deb_dimJF,Horaires356734512[[#This Row],[début]])),0)+IF(WEEKDAY(Horaires356734512[[#This Row],[Date]],2)=6,MAX(0,Horaires356734512[[#This Row],[Fin corrigée si nuit]]-(1+deb_dimJF)),0))*24</f>
        <v>0</v>
      </c>
      <c r="Q37"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7" s="62">
        <f>(IF(COUNTIF(JF,Horaires356734512[[#This Row],[Date]]),MAX(0,MIN(fin_dimJF,Horaires356734512[[#This Row],[Fin corrigée si nuit]])-MAX(deb_dimJF,Horaires356734512[[#This Row],[début]])),0)+IF(COUNTIF(JF,Horaires356734512[[#This Row],[Date]]+1),MAX(0,Horaires356734512[[#This Row],[Fin corrigée si nuit]]-(1+deb_dimJF)),0))*24</f>
        <v>0</v>
      </c>
      <c r="S37"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8" spans="1:19" x14ac:dyDescent="0.35">
      <c r="A38" s="9"/>
      <c r="B38" s="1"/>
      <c r="C38" s="2"/>
      <c r="D38" s="2"/>
      <c r="E38" s="3"/>
      <c r="F38" s="3"/>
      <c r="G38" s="3"/>
      <c r="H38" s="3"/>
      <c r="I38" s="57">
        <f>0.1*(Horaires356734512[[#This Row],[Heures de nuit]]+Horaires356734512[[#This Row],[heures jour dimanche]]+Horaires356734512[[#This Row],[heures jour fériés]])</f>
        <v>0</v>
      </c>
      <c r="J38" s="58">
        <f>(MOD(Horaires356734512[[#This Row],[Fin]]-Horaires356734512[[#This Row],[début]],1)-MOD(Horaires356734512[[#This Row],[PNP Fin]]-Horaires356734512[[#This Row],[PNP Début]],1))*24</f>
        <v>0</v>
      </c>
      <c r="K38" s="59">
        <f>IF(Horaires356734512[[#This Row],[PNP Début]]=0,0,IF(Horaires356734512[[#This Row],[PNP Début]]&lt;Horaires356734512[[#This Row],[début]],1,0)+Horaires356734512[[#This Row],[PNP Début]])</f>
        <v>0</v>
      </c>
      <c r="L38" s="60">
        <f>IF(Horaires356734512[[#This Row],[PNP Fin]]=0,0,IF(Horaires356734512[[#This Row],[PNP Fin]]&lt;Horaires356734512[[#This Row],[début]],1,0)+Horaires356734512[[#This Row],[PNP Fin]])</f>
        <v>0</v>
      </c>
      <c r="M38" s="60">
        <f>IF(Horaires356734512[[#This Row],[Fin]]&lt;Horaires356734512[[#This Row],[début]],1,0)+Horaires356734512[[#This Row],[Fin]]</f>
        <v>0</v>
      </c>
      <c r="N38" s="61">
        <f>MAX(0,MIN(Horaires356734512[[#This Row],[Fin corrigée si nuit]],fin_nuit)-MAX(Horaires356734512[[#This Row],[début]],deb_nuit))*24</f>
        <v>0</v>
      </c>
      <c r="O38" s="62">
        <f>(MAX(0,MIN(Horaires356734512[[#This Row],[Fin corrigée si nuit]],fin_nuit)-MAX(Horaires356734512[[#This Row],[début]],deb_nuit))-IF(Horaires356734512[[#This Row],[PNP Début]]=0,0,MIN(Horaires356734512[[#This Row],[PNP Fin corrigée]],fin_nuit)-MAX(Horaires356734512[[#This Row],[PNP Début corrigé]],deb_nuit)))*24</f>
        <v>0</v>
      </c>
      <c r="P38" s="62">
        <f>(IF(WEEKDAY(Horaires356734512[[#This Row],[Date]],2)=7,MAX(0,MIN(fin_dimJF,Horaires356734512[[#This Row],[Fin corrigée si nuit]])-MAX(deb_dimJF,Horaires356734512[[#This Row],[début]])),0)+IF(WEEKDAY(Horaires356734512[[#This Row],[Date]],2)=6,MAX(0,Horaires356734512[[#This Row],[Fin corrigée si nuit]]-(1+deb_dimJF)),0))*24</f>
        <v>0</v>
      </c>
      <c r="Q38"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8" s="62">
        <f>(IF(COUNTIF(JF,Horaires356734512[[#This Row],[Date]]),MAX(0,MIN(fin_dimJF,Horaires356734512[[#This Row],[Fin corrigée si nuit]])-MAX(deb_dimJF,Horaires356734512[[#This Row],[début]])),0)+IF(COUNTIF(JF,Horaires356734512[[#This Row],[Date]]+1),MAX(0,Horaires356734512[[#This Row],[Fin corrigée si nuit]]-(1+deb_dimJF)),0))*24</f>
        <v>0</v>
      </c>
      <c r="S38"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39" spans="1:19" x14ac:dyDescent="0.35">
      <c r="A39" s="9"/>
      <c r="B39" s="1"/>
      <c r="C39" s="2"/>
      <c r="D39" s="2"/>
      <c r="E39" s="3"/>
      <c r="F39" s="3"/>
      <c r="G39" s="3"/>
      <c r="H39" s="3"/>
      <c r="I39" s="57">
        <f>0.1*(Horaires356734512[[#This Row],[Heures de nuit]]+Horaires356734512[[#This Row],[heures jour dimanche]]+Horaires356734512[[#This Row],[heures jour fériés]])</f>
        <v>0</v>
      </c>
      <c r="J39" s="58">
        <f>(MOD(Horaires356734512[[#This Row],[Fin]]-Horaires356734512[[#This Row],[début]],1)-MOD(Horaires356734512[[#This Row],[PNP Fin]]-Horaires356734512[[#This Row],[PNP Début]],1))*24</f>
        <v>0</v>
      </c>
      <c r="K39" s="59">
        <f>IF(Horaires356734512[[#This Row],[PNP Début]]=0,0,IF(Horaires356734512[[#This Row],[PNP Début]]&lt;Horaires356734512[[#This Row],[début]],1,0)+Horaires356734512[[#This Row],[PNP Début]])</f>
        <v>0</v>
      </c>
      <c r="L39" s="60">
        <f>IF(Horaires356734512[[#This Row],[PNP Fin]]=0,0,IF(Horaires356734512[[#This Row],[PNP Fin]]&lt;Horaires356734512[[#This Row],[début]],1,0)+Horaires356734512[[#This Row],[PNP Fin]])</f>
        <v>0</v>
      </c>
      <c r="M39" s="60">
        <f>IF(Horaires356734512[[#This Row],[Fin]]&lt;Horaires356734512[[#This Row],[début]],1,0)+Horaires356734512[[#This Row],[Fin]]</f>
        <v>0</v>
      </c>
      <c r="N39" s="61">
        <f>MAX(0,MIN(Horaires356734512[[#This Row],[Fin corrigée si nuit]],fin_nuit)-MAX(Horaires356734512[[#This Row],[début]],deb_nuit))*24</f>
        <v>0</v>
      </c>
      <c r="O39" s="62">
        <f>(MAX(0,MIN(Horaires356734512[[#This Row],[Fin corrigée si nuit]],fin_nuit)-MAX(Horaires356734512[[#This Row],[début]],deb_nuit))-IF(Horaires356734512[[#This Row],[PNP Début]]=0,0,MIN(Horaires356734512[[#This Row],[PNP Fin corrigée]],fin_nuit)-MAX(Horaires356734512[[#This Row],[PNP Début corrigé]],deb_nuit)))*24</f>
        <v>0</v>
      </c>
      <c r="P39" s="62">
        <f>(IF(WEEKDAY(Horaires356734512[[#This Row],[Date]],2)=7,MAX(0,MIN(fin_dimJF,Horaires356734512[[#This Row],[Fin corrigée si nuit]])-MAX(deb_dimJF,Horaires356734512[[#This Row],[début]])),0)+IF(WEEKDAY(Horaires356734512[[#This Row],[Date]],2)=6,MAX(0,Horaires356734512[[#This Row],[Fin corrigée si nuit]]-(1+deb_dimJF)),0))*24</f>
        <v>0</v>
      </c>
      <c r="Q39"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39" s="62">
        <f>(IF(COUNTIF(JF,Horaires356734512[[#This Row],[Date]]),MAX(0,MIN(fin_dimJF,Horaires356734512[[#This Row],[Fin corrigée si nuit]])-MAX(deb_dimJF,Horaires356734512[[#This Row],[début]])),0)+IF(COUNTIF(JF,Horaires356734512[[#This Row],[Date]]+1),MAX(0,Horaires356734512[[#This Row],[Fin corrigée si nuit]]-(1+deb_dimJF)),0))*24</f>
        <v>0</v>
      </c>
      <c r="S39"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0" spans="1:19" x14ac:dyDescent="0.35">
      <c r="A40" s="9"/>
      <c r="B40" s="1"/>
      <c r="C40" s="2"/>
      <c r="D40" s="2"/>
      <c r="E40" s="3"/>
      <c r="F40" s="3"/>
      <c r="G40" s="3"/>
      <c r="H40" s="3"/>
      <c r="I40" s="57">
        <f>0.1*(Horaires356734512[[#This Row],[Heures de nuit]]+Horaires356734512[[#This Row],[heures jour dimanche]]+Horaires356734512[[#This Row],[heures jour fériés]])</f>
        <v>0</v>
      </c>
      <c r="J40" s="58">
        <f>(MOD(Horaires356734512[[#This Row],[Fin]]-Horaires356734512[[#This Row],[début]],1)-MOD(Horaires356734512[[#This Row],[PNP Fin]]-Horaires356734512[[#This Row],[PNP Début]],1))*24</f>
        <v>0</v>
      </c>
      <c r="K40" s="59">
        <f>IF(Horaires356734512[[#This Row],[PNP Début]]=0,0,IF(Horaires356734512[[#This Row],[PNP Début]]&lt;Horaires356734512[[#This Row],[début]],1,0)+Horaires356734512[[#This Row],[PNP Début]])</f>
        <v>0</v>
      </c>
      <c r="L40" s="60">
        <f>IF(Horaires356734512[[#This Row],[PNP Fin]]=0,0,IF(Horaires356734512[[#This Row],[PNP Fin]]&lt;Horaires356734512[[#This Row],[début]],1,0)+Horaires356734512[[#This Row],[PNP Fin]])</f>
        <v>0</v>
      </c>
      <c r="M40" s="60">
        <f>IF(Horaires356734512[[#This Row],[Fin]]&lt;Horaires356734512[[#This Row],[début]],1,0)+Horaires356734512[[#This Row],[Fin]]</f>
        <v>0</v>
      </c>
      <c r="N40" s="61">
        <f>MAX(0,MIN(Horaires356734512[[#This Row],[Fin corrigée si nuit]],fin_nuit)-MAX(Horaires356734512[[#This Row],[début]],deb_nuit))*24</f>
        <v>0</v>
      </c>
      <c r="O40" s="62">
        <f>(MAX(0,MIN(Horaires356734512[[#This Row],[Fin corrigée si nuit]],fin_nuit)-MAX(Horaires356734512[[#This Row],[début]],deb_nuit))-IF(Horaires356734512[[#This Row],[PNP Début]]=0,0,MIN(Horaires356734512[[#This Row],[PNP Fin corrigée]],fin_nuit)-MAX(Horaires356734512[[#This Row],[PNP Début corrigé]],deb_nuit)))*24</f>
        <v>0</v>
      </c>
      <c r="P40" s="62">
        <f>(IF(WEEKDAY(Horaires356734512[[#This Row],[Date]],2)=7,MAX(0,MIN(fin_dimJF,Horaires356734512[[#This Row],[Fin corrigée si nuit]])-MAX(deb_dimJF,Horaires356734512[[#This Row],[début]])),0)+IF(WEEKDAY(Horaires356734512[[#This Row],[Date]],2)=6,MAX(0,Horaires356734512[[#This Row],[Fin corrigée si nuit]]-(1+deb_dimJF)),0))*24</f>
        <v>0</v>
      </c>
      <c r="Q40"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0" s="62">
        <f>(IF(COUNTIF(JF,Horaires356734512[[#This Row],[Date]]),MAX(0,MIN(fin_dimJF,Horaires356734512[[#This Row],[Fin corrigée si nuit]])-MAX(deb_dimJF,Horaires356734512[[#This Row],[début]])),0)+IF(COUNTIF(JF,Horaires356734512[[#This Row],[Date]]+1),MAX(0,Horaires356734512[[#This Row],[Fin corrigée si nuit]]-(1+deb_dimJF)),0))*24</f>
        <v>0</v>
      </c>
      <c r="S40"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1" spans="1:19" x14ac:dyDescent="0.35">
      <c r="A41" s="9"/>
      <c r="B41" s="1"/>
      <c r="C41" s="2"/>
      <c r="D41" s="2"/>
      <c r="E41" s="3"/>
      <c r="F41" s="3"/>
      <c r="G41" s="3"/>
      <c r="H41" s="3"/>
      <c r="I41" s="57">
        <f>0.1*(Horaires356734512[[#This Row],[Heures de nuit]]+Horaires356734512[[#This Row],[heures jour dimanche]]+Horaires356734512[[#This Row],[heures jour fériés]])</f>
        <v>0</v>
      </c>
      <c r="J41" s="58">
        <f>(MOD(Horaires356734512[[#This Row],[Fin]]-Horaires356734512[[#This Row],[début]],1)-MOD(Horaires356734512[[#This Row],[PNP Fin]]-Horaires356734512[[#This Row],[PNP Début]],1))*24</f>
        <v>0</v>
      </c>
      <c r="K41" s="59">
        <f>IF(Horaires356734512[[#This Row],[PNP Début]]=0,0,IF(Horaires356734512[[#This Row],[PNP Début]]&lt;Horaires356734512[[#This Row],[début]],1,0)+Horaires356734512[[#This Row],[PNP Début]])</f>
        <v>0</v>
      </c>
      <c r="L41" s="60">
        <f>IF(Horaires356734512[[#This Row],[PNP Fin]]=0,0,IF(Horaires356734512[[#This Row],[PNP Fin]]&lt;Horaires356734512[[#This Row],[début]],1,0)+Horaires356734512[[#This Row],[PNP Fin]])</f>
        <v>0</v>
      </c>
      <c r="M41" s="60">
        <f>IF(Horaires356734512[[#This Row],[Fin]]&lt;Horaires356734512[[#This Row],[début]],1,0)+Horaires356734512[[#This Row],[Fin]]</f>
        <v>0</v>
      </c>
      <c r="N41" s="61">
        <f>MAX(0,MIN(Horaires356734512[[#This Row],[Fin corrigée si nuit]],fin_nuit)-MAX(Horaires356734512[[#This Row],[début]],deb_nuit))*24</f>
        <v>0</v>
      </c>
      <c r="O41" s="62">
        <f>(MAX(0,MIN(Horaires356734512[[#This Row],[Fin corrigée si nuit]],fin_nuit)-MAX(Horaires356734512[[#This Row],[début]],deb_nuit))-IF(Horaires356734512[[#This Row],[PNP Début]]=0,0,MIN(Horaires356734512[[#This Row],[PNP Fin corrigée]],fin_nuit)-MAX(Horaires356734512[[#This Row],[PNP Début corrigé]],deb_nuit)))*24</f>
        <v>0</v>
      </c>
      <c r="P41" s="62">
        <f>(IF(WEEKDAY(Horaires356734512[[#This Row],[Date]],2)=7,MAX(0,MIN(fin_dimJF,Horaires356734512[[#This Row],[Fin corrigée si nuit]])-MAX(deb_dimJF,Horaires356734512[[#This Row],[début]])),0)+IF(WEEKDAY(Horaires356734512[[#This Row],[Date]],2)=6,MAX(0,Horaires356734512[[#This Row],[Fin corrigée si nuit]]-(1+deb_dimJF)),0))*24</f>
        <v>0</v>
      </c>
      <c r="Q41"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1" s="62">
        <f>(IF(COUNTIF(JF,Horaires356734512[[#This Row],[Date]]),MAX(0,MIN(fin_dimJF,Horaires356734512[[#This Row],[Fin corrigée si nuit]])-MAX(deb_dimJF,Horaires356734512[[#This Row],[début]])),0)+IF(COUNTIF(JF,Horaires356734512[[#This Row],[Date]]+1),MAX(0,Horaires356734512[[#This Row],[Fin corrigée si nuit]]-(1+deb_dimJF)),0))*24</f>
        <v>0</v>
      </c>
      <c r="S41"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2" spans="1:19" x14ac:dyDescent="0.35">
      <c r="A42" s="9"/>
      <c r="B42" s="1"/>
      <c r="C42" s="2"/>
      <c r="D42" s="2"/>
      <c r="E42" s="3"/>
      <c r="F42" s="3"/>
      <c r="G42" s="3"/>
      <c r="H42" s="3"/>
      <c r="I42" s="57">
        <f>0.1*(Horaires356734512[[#This Row],[Heures de nuit]]+Horaires356734512[[#This Row],[heures jour dimanche]]+Horaires356734512[[#This Row],[heures jour fériés]])</f>
        <v>0</v>
      </c>
      <c r="J42" s="58">
        <f>(MOD(Horaires356734512[[#This Row],[Fin]]-Horaires356734512[[#This Row],[début]],1)-MOD(Horaires356734512[[#This Row],[PNP Fin]]-Horaires356734512[[#This Row],[PNP Début]],1))*24</f>
        <v>0</v>
      </c>
      <c r="K42" s="59">
        <f>IF(Horaires356734512[[#This Row],[PNP Début]]=0,0,IF(Horaires356734512[[#This Row],[PNP Début]]&lt;Horaires356734512[[#This Row],[début]],1,0)+Horaires356734512[[#This Row],[PNP Début]])</f>
        <v>0</v>
      </c>
      <c r="L42" s="60">
        <f>IF(Horaires356734512[[#This Row],[PNP Fin]]=0,0,IF(Horaires356734512[[#This Row],[PNP Fin]]&lt;Horaires356734512[[#This Row],[début]],1,0)+Horaires356734512[[#This Row],[PNP Fin]])</f>
        <v>0</v>
      </c>
      <c r="M42" s="60">
        <f>IF(Horaires356734512[[#This Row],[Fin]]&lt;Horaires356734512[[#This Row],[début]],1,0)+Horaires356734512[[#This Row],[Fin]]</f>
        <v>0</v>
      </c>
      <c r="N42" s="61">
        <f>MAX(0,MIN(Horaires356734512[[#This Row],[Fin corrigée si nuit]],fin_nuit)-MAX(Horaires356734512[[#This Row],[début]],deb_nuit))*24</f>
        <v>0</v>
      </c>
      <c r="O42" s="62">
        <f>(MAX(0,MIN(Horaires356734512[[#This Row],[Fin corrigée si nuit]],fin_nuit)-MAX(Horaires356734512[[#This Row],[début]],deb_nuit))-IF(Horaires356734512[[#This Row],[PNP Début]]=0,0,MIN(Horaires356734512[[#This Row],[PNP Fin corrigée]],fin_nuit)-MAX(Horaires356734512[[#This Row],[PNP Début corrigé]],deb_nuit)))*24</f>
        <v>0</v>
      </c>
      <c r="P42" s="62">
        <f>(IF(WEEKDAY(Horaires356734512[[#This Row],[Date]],2)=7,MAX(0,MIN(fin_dimJF,Horaires356734512[[#This Row],[Fin corrigée si nuit]])-MAX(deb_dimJF,Horaires356734512[[#This Row],[début]])),0)+IF(WEEKDAY(Horaires356734512[[#This Row],[Date]],2)=6,MAX(0,Horaires356734512[[#This Row],[Fin corrigée si nuit]]-(1+deb_dimJF)),0))*24</f>
        <v>0</v>
      </c>
      <c r="Q42"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2" s="62">
        <f>(IF(COUNTIF(JF,Horaires356734512[[#This Row],[Date]]),MAX(0,MIN(fin_dimJF,Horaires356734512[[#This Row],[Fin corrigée si nuit]])-MAX(deb_dimJF,Horaires356734512[[#This Row],[début]])),0)+IF(COUNTIF(JF,Horaires356734512[[#This Row],[Date]]+1),MAX(0,Horaires356734512[[#This Row],[Fin corrigée si nuit]]-(1+deb_dimJF)),0))*24</f>
        <v>0</v>
      </c>
      <c r="S42"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3" spans="1:19" x14ac:dyDescent="0.35">
      <c r="A43" s="9"/>
      <c r="B43" s="1"/>
      <c r="C43" s="2"/>
      <c r="D43" s="2"/>
      <c r="E43" s="3"/>
      <c r="F43" s="3"/>
      <c r="G43" s="3"/>
      <c r="H43" s="3"/>
      <c r="I43" s="57">
        <f>0.1*(Horaires356734512[[#This Row],[Heures de nuit]]+Horaires356734512[[#This Row],[heures jour dimanche]]+Horaires356734512[[#This Row],[heures jour fériés]])</f>
        <v>0</v>
      </c>
      <c r="J43" s="58">
        <f>(MOD(Horaires356734512[[#This Row],[Fin]]-Horaires356734512[[#This Row],[début]],1)-MOD(Horaires356734512[[#This Row],[PNP Fin]]-Horaires356734512[[#This Row],[PNP Début]],1))*24</f>
        <v>0</v>
      </c>
      <c r="K43" s="59">
        <f>IF(Horaires356734512[[#This Row],[PNP Début]]=0,0,IF(Horaires356734512[[#This Row],[PNP Début]]&lt;Horaires356734512[[#This Row],[début]],1,0)+Horaires356734512[[#This Row],[PNP Début]])</f>
        <v>0</v>
      </c>
      <c r="L43" s="60">
        <f>IF(Horaires356734512[[#This Row],[PNP Fin]]=0,0,IF(Horaires356734512[[#This Row],[PNP Fin]]&lt;Horaires356734512[[#This Row],[début]],1,0)+Horaires356734512[[#This Row],[PNP Fin]])</f>
        <v>0</v>
      </c>
      <c r="M43" s="60">
        <f>IF(Horaires356734512[[#This Row],[Fin]]&lt;Horaires356734512[[#This Row],[début]],1,0)+Horaires356734512[[#This Row],[Fin]]</f>
        <v>0</v>
      </c>
      <c r="N43" s="61">
        <f>MAX(0,MIN(Horaires356734512[[#This Row],[Fin corrigée si nuit]],fin_nuit)-MAX(Horaires356734512[[#This Row],[début]],deb_nuit))*24</f>
        <v>0</v>
      </c>
      <c r="O43" s="62">
        <f>(MAX(0,MIN(Horaires356734512[[#This Row],[Fin corrigée si nuit]],fin_nuit)-MAX(Horaires356734512[[#This Row],[début]],deb_nuit))-IF(Horaires356734512[[#This Row],[PNP Début]]=0,0,MIN(Horaires356734512[[#This Row],[PNP Fin corrigée]],fin_nuit)-MAX(Horaires356734512[[#This Row],[PNP Début corrigé]],deb_nuit)))*24</f>
        <v>0</v>
      </c>
      <c r="P43" s="62">
        <f>(IF(WEEKDAY(Horaires356734512[[#This Row],[Date]],2)=7,MAX(0,MIN(fin_dimJF,Horaires356734512[[#This Row],[Fin corrigée si nuit]])-MAX(deb_dimJF,Horaires356734512[[#This Row],[début]])),0)+IF(WEEKDAY(Horaires356734512[[#This Row],[Date]],2)=6,MAX(0,Horaires356734512[[#This Row],[Fin corrigée si nuit]]-(1+deb_dimJF)),0))*24</f>
        <v>0</v>
      </c>
      <c r="Q43"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3" s="62">
        <f>(IF(COUNTIF(JF,Horaires356734512[[#This Row],[Date]]),MAX(0,MIN(fin_dimJF,Horaires356734512[[#This Row],[Fin corrigée si nuit]])-MAX(deb_dimJF,Horaires356734512[[#This Row],[début]])),0)+IF(COUNTIF(JF,Horaires356734512[[#This Row],[Date]]+1),MAX(0,Horaires356734512[[#This Row],[Fin corrigée si nuit]]-(1+deb_dimJF)),0))*24</f>
        <v>0</v>
      </c>
      <c r="S43"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4" spans="1:19" x14ac:dyDescent="0.35">
      <c r="A44" s="9"/>
      <c r="B44" s="1"/>
      <c r="C44" s="2"/>
      <c r="D44" s="2"/>
      <c r="E44" s="3"/>
      <c r="F44" s="3"/>
      <c r="G44" s="3"/>
      <c r="H44" s="3"/>
      <c r="I44" s="57">
        <f>0.1*(Horaires356734512[[#This Row],[Heures de nuit]]+Horaires356734512[[#This Row],[heures jour dimanche]]+Horaires356734512[[#This Row],[heures jour fériés]])</f>
        <v>0</v>
      </c>
      <c r="J44" s="58">
        <f>(MOD(Horaires356734512[[#This Row],[Fin]]-Horaires356734512[[#This Row],[début]],1)-MOD(Horaires356734512[[#This Row],[PNP Fin]]-Horaires356734512[[#This Row],[PNP Début]],1))*24</f>
        <v>0</v>
      </c>
      <c r="K44" s="59">
        <f>IF(Horaires356734512[[#This Row],[PNP Début]]=0,0,IF(Horaires356734512[[#This Row],[PNP Début]]&lt;Horaires356734512[[#This Row],[début]],1,0)+Horaires356734512[[#This Row],[PNP Début]])</f>
        <v>0</v>
      </c>
      <c r="L44" s="60">
        <f>IF(Horaires356734512[[#This Row],[PNP Fin]]=0,0,IF(Horaires356734512[[#This Row],[PNP Fin]]&lt;Horaires356734512[[#This Row],[début]],1,0)+Horaires356734512[[#This Row],[PNP Fin]])</f>
        <v>0</v>
      </c>
      <c r="M44" s="60">
        <f>IF(Horaires356734512[[#This Row],[Fin]]&lt;Horaires356734512[[#This Row],[début]],1,0)+Horaires356734512[[#This Row],[Fin]]</f>
        <v>0</v>
      </c>
      <c r="N44" s="61">
        <f>MAX(0,MIN(Horaires356734512[[#This Row],[Fin corrigée si nuit]],fin_nuit)-MAX(Horaires356734512[[#This Row],[début]],deb_nuit))*24</f>
        <v>0</v>
      </c>
      <c r="O44" s="62">
        <f>(MAX(0,MIN(Horaires356734512[[#This Row],[Fin corrigée si nuit]],fin_nuit)-MAX(Horaires356734512[[#This Row],[début]],deb_nuit))-IF(Horaires356734512[[#This Row],[PNP Début]]=0,0,MIN(Horaires356734512[[#This Row],[PNP Fin corrigée]],fin_nuit)-MAX(Horaires356734512[[#This Row],[PNP Début corrigé]],deb_nuit)))*24</f>
        <v>0</v>
      </c>
      <c r="P44" s="62">
        <f>(IF(WEEKDAY(Horaires356734512[[#This Row],[Date]],2)=7,MAX(0,MIN(fin_dimJF,Horaires356734512[[#This Row],[Fin corrigée si nuit]])-MAX(deb_dimJF,Horaires356734512[[#This Row],[début]])),0)+IF(WEEKDAY(Horaires356734512[[#This Row],[Date]],2)=6,MAX(0,Horaires356734512[[#This Row],[Fin corrigée si nuit]]-(1+deb_dimJF)),0))*24</f>
        <v>0</v>
      </c>
      <c r="Q44"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4" s="62">
        <f>(IF(COUNTIF(JF,Horaires356734512[[#This Row],[Date]]),MAX(0,MIN(fin_dimJF,Horaires356734512[[#This Row],[Fin corrigée si nuit]])-MAX(deb_dimJF,Horaires356734512[[#This Row],[début]])),0)+IF(COUNTIF(JF,Horaires356734512[[#This Row],[Date]]+1),MAX(0,Horaires356734512[[#This Row],[Fin corrigée si nuit]]-(1+deb_dimJF)),0))*24</f>
        <v>0</v>
      </c>
      <c r="S44"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5" spans="1:19" x14ac:dyDescent="0.35">
      <c r="A45" s="9"/>
      <c r="B45" s="1"/>
      <c r="C45" s="2"/>
      <c r="D45" s="2"/>
      <c r="E45" s="3"/>
      <c r="F45" s="3"/>
      <c r="G45" s="3"/>
      <c r="H45" s="3"/>
      <c r="I45" s="57">
        <f>0.1*(Horaires356734512[[#This Row],[Heures de nuit]]+Horaires356734512[[#This Row],[heures jour dimanche]]+Horaires356734512[[#This Row],[heures jour fériés]])</f>
        <v>0</v>
      </c>
      <c r="J45" s="58">
        <f>(MOD(Horaires356734512[[#This Row],[Fin]]-Horaires356734512[[#This Row],[début]],1)-MOD(Horaires356734512[[#This Row],[PNP Fin]]-Horaires356734512[[#This Row],[PNP Début]],1))*24</f>
        <v>0</v>
      </c>
      <c r="K45" s="59">
        <f>IF(Horaires356734512[[#This Row],[PNP Début]]=0,0,IF(Horaires356734512[[#This Row],[PNP Début]]&lt;Horaires356734512[[#This Row],[début]],1,0)+Horaires356734512[[#This Row],[PNP Début]])</f>
        <v>0</v>
      </c>
      <c r="L45" s="60">
        <f>IF(Horaires356734512[[#This Row],[PNP Fin]]=0,0,IF(Horaires356734512[[#This Row],[PNP Fin]]&lt;Horaires356734512[[#This Row],[début]],1,0)+Horaires356734512[[#This Row],[PNP Fin]])</f>
        <v>0</v>
      </c>
      <c r="M45" s="60">
        <f>IF(Horaires356734512[[#This Row],[Fin]]&lt;Horaires356734512[[#This Row],[début]],1,0)+Horaires356734512[[#This Row],[Fin]]</f>
        <v>0</v>
      </c>
      <c r="N45" s="61">
        <f>MAX(0,MIN(Horaires356734512[[#This Row],[Fin corrigée si nuit]],fin_nuit)-MAX(Horaires356734512[[#This Row],[début]],deb_nuit))*24</f>
        <v>0</v>
      </c>
      <c r="O45" s="62">
        <f>(MAX(0,MIN(Horaires356734512[[#This Row],[Fin corrigée si nuit]],fin_nuit)-MAX(Horaires356734512[[#This Row],[début]],deb_nuit))-IF(Horaires356734512[[#This Row],[PNP Début]]=0,0,MIN(Horaires356734512[[#This Row],[PNP Fin corrigée]],fin_nuit)-MAX(Horaires356734512[[#This Row],[PNP Début corrigé]],deb_nuit)))*24</f>
        <v>0</v>
      </c>
      <c r="P45" s="62">
        <f>(IF(WEEKDAY(Horaires356734512[[#This Row],[Date]],2)=7,MAX(0,MIN(fin_dimJF,Horaires356734512[[#This Row],[Fin corrigée si nuit]])-MAX(deb_dimJF,Horaires356734512[[#This Row],[début]])),0)+IF(WEEKDAY(Horaires356734512[[#This Row],[Date]],2)=6,MAX(0,Horaires356734512[[#This Row],[Fin corrigée si nuit]]-(1+deb_dimJF)),0))*24</f>
        <v>0</v>
      </c>
      <c r="Q45"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5" s="62">
        <f>(IF(COUNTIF(JF,Horaires356734512[[#This Row],[Date]]),MAX(0,MIN(fin_dimJF,Horaires356734512[[#This Row],[Fin corrigée si nuit]])-MAX(deb_dimJF,Horaires356734512[[#This Row],[début]])),0)+IF(COUNTIF(JF,Horaires356734512[[#This Row],[Date]]+1),MAX(0,Horaires356734512[[#This Row],[Fin corrigée si nuit]]-(1+deb_dimJF)),0))*24</f>
        <v>0</v>
      </c>
      <c r="S45"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6" spans="1:19" x14ac:dyDescent="0.35">
      <c r="A46" s="9"/>
      <c r="B46" s="1"/>
      <c r="C46" s="2"/>
      <c r="D46" s="2"/>
      <c r="E46" s="3"/>
      <c r="F46" s="3"/>
      <c r="G46" s="3"/>
      <c r="H46" s="3"/>
      <c r="I46" s="57">
        <f>0.1*(Horaires356734512[[#This Row],[Heures de nuit]]+Horaires356734512[[#This Row],[heures jour dimanche]]+Horaires356734512[[#This Row],[heures jour fériés]])</f>
        <v>0</v>
      </c>
      <c r="J46" s="58">
        <f>(MOD(Horaires356734512[[#This Row],[Fin]]-Horaires356734512[[#This Row],[début]],1)-MOD(Horaires356734512[[#This Row],[PNP Fin]]-Horaires356734512[[#This Row],[PNP Début]],1))*24</f>
        <v>0</v>
      </c>
      <c r="K46" s="59">
        <f>IF(Horaires356734512[[#This Row],[PNP Début]]=0,0,IF(Horaires356734512[[#This Row],[PNP Début]]&lt;Horaires356734512[[#This Row],[début]],1,0)+Horaires356734512[[#This Row],[PNP Début]])</f>
        <v>0</v>
      </c>
      <c r="L46" s="60">
        <f>IF(Horaires356734512[[#This Row],[PNP Fin]]=0,0,IF(Horaires356734512[[#This Row],[PNP Fin]]&lt;Horaires356734512[[#This Row],[début]],1,0)+Horaires356734512[[#This Row],[PNP Fin]])</f>
        <v>0</v>
      </c>
      <c r="M46" s="60">
        <f>IF(Horaires356734512[[#This Row],[Fin]]&lt;Horaires356734512[[#This Row],[début]],1,0)+Horaires356734512[[#This Row],[Fin]]</f>
        <v>0</v>
      </c>
      <c r="N46" s="61">
        <f>MAX(0,MIN(Horaires356734512[[#This Row],[Fin corrigée si nuit]],fin_nuit)-MAX(Horaires356734512[[#This Row],[début]],deb_nuit))*24</f>
        <v>0</v>
      </c>
      <c r="O46" s="62">
        <f>(MAX(0,MIN(Horaires356734512[[#This Row],[Fin corrigée si nuit]],fin_nuit)-MAX(Horaires356734512[[#This Row],[début]],deb_nuit))-IF(Horaires356734512[[#This Row],[PNP Début]]=0,0,MIN(Horaires356734512[[#This Row],[PNP Fin corrigée]],fin_nuit)-MAX(Horaires356734512[[#This Row],[PNP Début corrigé]],deb_nuit)))*24</f>
        <v>0</v>
      </c>
      <c r="P46" s="62">
        <f>(IF(WEEKDAY(Horaires356734512[[#This Row],[Date]],2)=7,MAX(0,MIN(fin_dimJF,Horaires356734512[[#This Row],[Fin corrigée si nuit]])-MAX(deb_dimJF,Horaires356734512[[#This Row],[début]])),0)+IF(WEEKDAY(Horaires356734512[[#This Row],[Date]],2)=6,MAX(0,Horaires356734512[[#This Row],[Fin corrigée si nuit]]-(1+deb_dimJF)),0))*24</f>
        <v>0</v>
      </c>
      <c r="Q46"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6" s="62">
        <f>(IF(COUNTIF(JF,Horaires356734512[[#This Row],[Date]]),MAX(0,MIN(fin_dimJF,Horaires356734512[[#This Row],[Fin corrigée si nuit]])-MAX(deb_dimJF,Horaires356734512[[#This Row],[début]])),0)+IF(COUNTIF(JF,Horaires356734512[[#This Row],[Date]]+1),MAX(0,Horaires356734512[[#This Row],[Fin corrigée si nuit]]-(1+deb_dimJF)),0))*24</f>
        <v>0</v>
      </c>
      <c r="S46"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7" spans="1:19" x14ac:dyDescent="0.35">
      <c r="A47" s="9"/>
      <c r="B47" s="1"/>
      <c r="C47" s="2"/>
      <c r="D47" s="2"/>
      <c r="E47" s="3"/>
      <c r="F47" s="3"/>
      <c r="G47" s="3"/>
      <c r="H47" s="3"/>
      <c r="I47" s="57">
        <f>0.1*(Horaires356734512[[#This Row],[Heures de nuit]]+Horaires356734512[[#This Row],[heures jour dimanche]]+Horaires356734512[[#This Row],[heures jour fériés]])</f>
        <v>0</v>
      </c>
      <c r="J47" s="58">
        <f>(MOD(Horaires356734512[[#This Row],[Fin]]-Horaires356734512[[#This Row],[début]],1)-MOD(Horaires356734512[[#This Row],[PNP Fin]]-Horaires356734512[[#This Row],[PNP Début]],1))*24</f>
        <v>0</v>
      </c>
      <c r="K47" s="59">
        <f>IF(Horaires356734512[[#This Row],[PNP Début]]=0,0,IF(Horaires356734512[[#This Row],[PNP Début]]&lt;Horaires356734512[[#This Row],[début]],1,0)+Horaires356734512[[#This Row],[PNP Début]])</f>
        <v>0</v>
      </c>
      <c r="L47" s="60">
        <f>IF(Horaires356734512[[#This Row],[PNP Fin]]=0,0,IF(Horaires356734512[[#This Row],[PNP Fin]]&lt;Horaires356734512[[#This Row],[début]],1,0)+Horaires356734512[[#This Row],[PNP Fin]])</f>
        <v>0</v>
      </c>
      <c r="M47" s="60">
        <f>IF(Horaires356734512[[#This Row],[Fin]]&lt;Horaires356734512[[#This Row],[début]],1,0)+Horaires356734512[[#This Row],[Fin]]</f>
        <v>0</v>
      </c>
      <c r="N47" s="61">
        <f>MAX(0,MIN(Horaires356734512[[#This Row],[Fin corrigée si nuit]],fin_nuit)-MAX(Horaires356734512[[#This Row],[début]],deb_nuit))*24</f>
        <v>0</v>
      </c>
      <c r="O47" s="62">
        <f>(MAX(0,MIN(Horaires356734512[[#This Row],[Fin corrigée si nuit]],fin_nuit)-MAX(Horaires356734512[[#This Row],[début]],deb_nuit))-IF(Horaires356734512[[#This Row],[PNP Début]]=0,0,MIN(Horaires356734512[[#This Row],[PNP Fin corrigée]],fin_nuit)-MAX(Horaires356734512[[#This Row],[PNP Début corrigé]],deb_nuit)))*24</f>
        <v>0</v>
      </c>
      <c r="P47" s="62">
        <f>(IF(WEEKDAY(Horaires356734512[[#This Row],[Date]],2)=7,MAX(0,MIN(fin_dimJF,Horaires356734512[[#This Row],[Fin corrigée si nuit]])-MAX(deb_dimJF,Horaires356734512[[#This Row],[début]])),0)+IF(WEEKDAY(Horaires356734512[[#This Row],[Date]],2)=6,MAX(0,Horaires356734512[[#This Row],[Fin corrigée si nuit]]-(1+deb_dimJF)),0))*24</f>
        <v>0</v>
      </c>
      <c r="Q47"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7" s="62">
        <f>(IF(COUNTIF(JF,Horaires356734512[[#This Row],[Date]]),MAX(0,MIN(fin_dimJF,Horaires356734512[[#This Row],[Fin corrigée si nuit]])-MAX(deb_dimJF,Horaires356734512[[#This Row],[début]])),0)+IF(COUNTIF(JF,Horaires356734512[[#This Row],[Date]]+1),MAX(0,Horaires356734512[[#This Row],[Fin corrigée si nuit]]-(1+deb_dimJF)),0))*24</f>
        <v>0</v>
      </c>
      <c r="S47"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8" spans="1:19" x14ac:dyDescent="0.35">
      <c r="A48" s="9"/>
      <c r="B48" s="1"/>
      <c r="C48" s="2"/>
      <c r="D48" s="2"/>
      <c r="E48" s="3"/>
      <c r="F48" s="3"/>
      <c r="G48" s="3"/>
      <c r="H48" s="3"/>
      <c r="I48" s="57">
        <f>0.1*(Horaires356734512[[#This Row],[Heures de nuit]]+Horaires356734512[[#This Row],[heures jour dimanche]]+Horaires356734512[[#This Row],[heures jour fériés]])</f>
        <v>0</v>
      </c>
      <c r="J48" s="58">
        <f>(MOD(Horaires356734512[[#This Row],[Fin]]-Horaires356734512[[#This Row],[début]],1)-MOD(Horaires356734512[[#This Row],[PNP Fin]]-Horaires356734512[[#This Row],[PNP Début]],1))*24</f>
        <v>0</v>
      </c>
      <c r="K48" s="59">
        <f>IF(Horaires356734512[[#This Row],[PNP Début]]=0,0,IF(Horaires356734512[[#This Row],[PNP Début]]&lt;Horaires356734512[[#This Row],[début]],1,0)+Horaires356734512[[#This Row],[PNP Début]])</f>
        <v>0</v>
      </c>
      <c r="L48" s="60">
        <f>IF(Horaires356734512[[#This Row],[PNP Fin]]=0,0,IF(Horaires356734512[[#This Row],[PNP Fin]]&lt;Horaires356734512[[#This Row],[début]],1,0)+Horaires356734512[[#This Row],[PNP Fin]])</f>
        <v>0</v>
      </c>
      <c r="M48" s="60">
        <f>IF(Horaires356734512[[#This Row],[Fin]]&lt;Horaires356734512[[#This Row],[début]],1,0)+Horaires356734512[[#This Row],[Fin]]</f>
        <v>0</v>
      </c>
      <c r="N48" s="61">
        <f>MAX(0,MIN(Horaires356734512[[#This Row],[Fin corrigée si nuit]],fin_nuit)-MAX(Horaires356734512[[#This Row],[début]],deb_nuit))*24</f>
        <v>0</v>
      </c>
      <c r="O48" s="62">
        <f>(MAX(0,MIN(Horaires356734512[[#This Row],[Fin corrigée si nuit]],fin_nuit)-MAX(Horaires356734512[[#This Row],[début]],deb_nuit))-IF(Horaires356734512[[#This Row],[PNP Début]]=0,0,MIN(Horaires356734512[[#This Row],[PNP Fin corrigée]],fin_nuit)-MAX(Horaires356734512[[#This Row],[PNP Début corrigé]],deb_nuit)))*24</f>
        <v>0</v>
      </c>
      <c r="P48" s="62">
        <f>(IF(WEEKDAY(Horaires356734512[[#This Row],[Date]],2)=7,MAX(0,MIN(fin_dimJF,Horaires356734512[[#This Row],[Fin corrigée si nuit]])-MAX(deb_dimJF,Horaires356734512[[#This Row],[début]])),0)+IF(WEEKDAY(Horaires356734512[[#This Row],[Date]],2)=6,MAX(0,Horaires356734512[[#This Row],[Fin corrigée si nuit]]-(1+deb_dimJF)),0))*24</f>
        <v>0</v>
      </c>
      <c r="Q48"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8" s="62">
        <f>(IF(COUNTIF(JF,Horaires356734512[[#This Row],[Date]]),MAX(0,MIN(fin_dimJF,Horaires356734512[[#This Row],[Fin corrigée si nuit]])-MAX(deb_dimJF,Horaires356734512[[#This Row],[début]])),0)+IF(COUNTIF(JF,Horaires356734512[[#This Row],[Date]]+1),MAX(0,Horaires356734512[[#This Row],[Fin corrigée si nuit]]-(1+deb_dimJF)),0))*24</f>
        <v>0</v>
      </c>
      <c r="S48"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49" spans="1:19" ht="15" thickBot="1" x14ac:dyDescent="0.4">
      <c r="A49" s="9"/>
      <c r="B49" s="1"/>
      <c r="C49" s="2"/>
      <c r="D49" s="2"/>
      <c r="E49" s="3"/>
      <c r="F49" s="3"/>
      <c r="G49" s="3"/>
      <c r="H49" s="3"/>
      <c r="I49" s="57">
        <f>0.1*(Horaires356734512[[#This Row],[Heures de nuit]]+Horaires356734512[[#This Row],[heures jour dimanche]]+Horaires356734512[[#This Row],[heures jour fériés]])</f>
        <v>0</v>
      </c>
      <c r="J49" s="58">
        <f>(MOD(Horaires356734512[[#This Row],[Fin]]-Horaires356734512[[#This Row],[début]],1)-MOD(Horaires356734512[[#This Row],[PNP Fin]]-Horaires356734512[[#This Row],[PNP Début]],1))*24</f>
        <v>0</v>
      </c>
      <c r="K49" s="59">
        <f>IF(Horaires356734512[[#This Row],[PNP Début]]=0,0,IF(Horaires356734512[[#This Row],[PNP Début]]&lt;Horaires356734512[[#This Row],[début]],1,0)+Horaires356734512[[#This Row],[PNP Début]])</f>
        <v>0</v>
      </c>
      <c r="L49" s="60">
        <f>IF(Horaires356734512[[#This Row],[PNP Fin]]=0,0,IF(Horaires356734512[[#This Row],[PNP Fin]]&lt;Horaires356734512[[#This Row],[début]],1,0)+Horaires356734512[[#This Row],[PNP Fin]])</f>
        <v>0</v>
      </c>
      <c r="M49" s="60">
        <f>IF(Horaires356734512[[#This Row],[Fin]]&lt;Horaires356734512[[#This Row],[début]],1,0)+Horaires356734512[[#This Row],[Fin]]</f>
        <v>0</v>
      </c>
      <c r="N49" s="61">
        <f>MAX(0,MIN(Horaires356734512[[#This Row],[Fin corrigée si nuit]],fin_nuit)-MAX(Horaires356734512[[#This Row],[début]],deb_nuit))*24</f>
        <v>0</v>
      </c>
      <c r="O49" s="62">
        <f>(MAX(0,MIN(Horaires356734512[[#This Row],[Fin corrigée si nuit]],fin_nuit)-MAX(Horaires356734512[[#This Row],[début]],deb_nuit))-IF(Horaires356734512[[#This Row],[PNP Début]]=0,0,MIN(Horaires356734512[[#This Row],[PNP Fin corrigée]],fin_nuit)-MAX(Horaires356734512[[#This Row],[PNP Début corrigé]],deb_nuit)))*24</f>
        <v>0</v>
      </c>
      <c r="P49" s="62">
        <f>(IF(WEEKDAY(Horaires356734512[[#This Row],[Date]],2)=7,MAX(0,MIN(fin_dimJF,Horaires356734512[[#This Row],[Fin corrigée si nuit]])-MAX(deb_dimJF,Horaires356734512[[#This Row],[début]])),0)+IF(WEEKDAY(Horaires356734512[[#This Row],[Date]],2)=6,MAX(0,Horaires356734512[[#This Row],[Fin corrigée si nuit]]-(1+deb_dimJF)),0))*24</f>
        <v>0</v>
      </c>
      <c r="Q49" s="62">
        <f>(IF(WEEKDAY(Horaires356734512[[#This Row],[Date]],2)=7,MAX(0,MIN(fin_dimJF,Horaires356734512[[#This Row],[Fin corrigée si nuit]])-MAX(deb_dimJF,Horaires356734512[[#This Row],[début]])),0)+IF(WEEKDAY(Horaires356734512[[#This Row],[Date]],2)=6,MAX(0,Horaires356734512[[#This Row],[Fin corrigée si nuit]]-(1+deb_dimJF)),0))*24-
(IF(WEEKDAY(Horaires356734512[[#This Row],[Date]],2)=7,MAX(0,MIN(fin_dimJF,Horaires356734512[[#This Row],[PNP Fin corrigée]])-MAX(deb_dimJF,Horaires356734512[[#This Row],[PNP Début corrigé]])),0)+IF(WEEKDAY(Horaires356734512[[#This Row],[Date]],2)=6,MAX(0,Horaires356734512[[#This Row],[PNP Fin corrigée]]-(1+deb_dimJF)),0))*24</f>
        <v>0</v>
      </c>
      <c r="R49" s="62">
        <f>(IF(COUNTIF(JF,Horaires356734512[[#This Row],[Date]]),MAX(0,MIN(fin_dimJF,Horaires356734512[[#This Row],[Fin corrigée si nuit]])-MAX(deb_dimJF,Horaires356734512[[#This Row],[début]])),0)+IF(COUNTIF(JF,Horaires356734512[[#This Row],[Date]]+1),MAX(0,Horaires356734512[[#This Row],[Fin corrigée si nuit]]-(1+deb_dimJF)),0))*24</f>
        <v>0</v>
      </c>
      <c r="S49" s="62">
        <f>(IF(COUNTIF(JF,Horaires356734512[[#This Row],[Date]]),MAX(0,MIN(fin_dimJF,Horaires356734512[[#This Row],[Fin corrigée si nuit]])-MAX(deb_dimJF,Horaires356734512[[#This Row],[début]])),0)+IF(COUNTIF(JF,Horaires356734512[[#This Row],[Date]]+1),MAX(0,Horaires356734512[[#This Row],[Fin corrigée si nuit]]-(1+deb_dimJF)),0))*24-
(IF(COUNTIF(JF,Horaires356734512[[#This Row],[Date]]),MAX(0,MIN(fin_dimJF,Horaires356734512[[#This Row],[PNP Fin corrigée]])-MAX(deb_dimJF,Horaires356734512[[#This Row],[PNP Début corrigé]])),0)+IF(COUNTIF(JF,Horaires356734512[[#This Row],[Date]]+1),MAX(0,Horaires356734512[[#This Row],[PNP Fin corrigée]]-(1+deb_dimJF)),0))*24</f>
        <v>0</v>
      </c>
    </row>
    <row r="50" spans="1:19" ht="16" thickBot="1" x14ac:dyDescent="0.4">
      <c r="A50" s="63"/>
      <c r="B50" s="25"/>
      <c r="C50" s="25"/>
      <c r="D50" s="25"/>
      <c r="E50" s="106" t="s">
        <v>32</v>
      </c>
      <c r="F50" s="107"/>
      <c r="G50" s="107"/>
      <c r="H50" s="108"/>
      <c r="I50" s="64">
        <f>SUM(Horaires356734512[Majoration])</f>
        <v>0</v>
      </c>
      <c r="J50" s="65">
        <f>SUM(Horaires356734512[Heures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K12:N49"/>
  </dataValidations>
  <printOptions horizontalCentered="1"/>
  <pageMargins left="0" right="0" top="0" bottom="0" header="0" footer="0"/>
  <pageSetup paperSize="9" orientation="portrait"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S60"/>
  <sheetViews>
    <sheetView topLeftCell="A16" workbookViewId="0">
      <selection activeCell="I5" sqref="I5:J5"/>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0.1*(Horaires356731011[[#This Row],[Heures de nuit]]+Horaires356731011[[#This Row],[heures jour dimanche]]+Horaires356731011[[#This Row],[heures jour fériés]])</f>
        <v>0</v>
      </c>
      <c r="J13" s="39">
        <f>(MOD(Horaires356731011[[#This Row],[Fin]]-Horaires356731011[[#This Row],[début]],1)-MOD(Horaires356731011[[#This Row],[PNP Fin]]-Horaires356731011[[#This Row],[PNP Début]],1))*24</f>
        <v>0</v>
      </c>
      <c r="K13" s="40">
        <f>IF(Horaires356731011[[#This Row],[PNP Début]]=0,0,IF(Horaires356731011[[#This Row],[PNP Début]]&lt;Horaires356731011[[#This Row],[début]],1,0)+Horaires356731011[[#This Row],[PNP Début]])</f>
        <v>0</v>
      </c>
      <c r="L13" s="40">
        <f>IF(Horaires356731011[[#This Row],[PNP Fin]]=0,0,IF(Horaires356731011[[#This Row],[PNP Fin]]&lt;Horaires356731011[[#This Row],[début]],1,0)+Horaires356731011[[#This Row],[PNP Fin]])</f>
        <v>0</v>
      </c>
      <c r="M13" s="40">
        <f>IF(Horaires356731011[[#This Row],[Fin]]&lt;Horaires356731011[[#This Row],[début]],1,0)+Horaires356731011[[#This Row],[Fin]]</f>
        <v>0</v>
      </c>
      <c r="N13" s="41">
        <f>MAX(0,MIN(Horaires356731011[[#This Row],[Fin corrigée si nuit]],fin_nuit)-MAX(Horaires356731011[[#This Row],[début]],deb_nuit))*24</f>
        <v>0</v>
      </c>
      <c r="O13" s="41">
        <f>(MAX(0,MIN(Horaires356731011[[#This Row],[Fin corrigée si nuit]],fin_nuit)-MAX(Horaires356731011[[#This Row],[début]],deb_nuit))-IF(Horaires356731011[[#This Row],[PNP Début]]=0,0,MIN(Horaires356731011[[#This Row],[PNP Fin corrigée]],fin_nuit)-MAX(Horaires356731011[[#This Row],[PNP Début corrigé]],deb_nuit)))*24</f>
        <v>0</v>
      </c>
      <c r="P13" s="41">
        <f>(IF(WEEKDAY(Horaires356731011[[#This Row],[Date]],2)=7,MAX(0,MIN(fin_dimJF,Horaires356731011[[#This Row],[Fin corrigée si nuit]])-MAX(deb_dimJF,Horaires356731011[[#This Row],[début]])),0)+IF(WEEKDAY(Horaires356731011[[#This Row],[Date]],2)=6,MAX(0,Horaires356731011[[#This Row],[Fin corrigée si nuit]]-(1+deb_dimJF)),0))*24</f>
        <v>0</v>
      </c>
      <c r="Q13" s="4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13" s="42">
        <f>(IF(COUNTIF(JF,Horaires356731011[[#This Row],[Date]]),MAX(0,MIN(fin_dimJF,Horaires356731011[[#This Row],[Fin corrigée si nuit]])-MAX(deb_dimJF,Horaires356731011[[#This Row],[début]])),0)+IF(COUNTIF(JF,Horaires356731011[[#This Row],[Date]]+1),MAX(0,Horaires356731011[[#This Row],[Fin corrigée si nuit]]-(1+deb_dimJF)),0))*24</f>
        <v>0</v>
      </c>
      <c r="S13" s="4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14" spans="1:19" x14ac:dyDescent="0.35">
      <c r="A14" s="9"/>
      <c r="B14" s="1"/>
      <c r="C14" s="2"/>
      <c r="D14" s="2"/>
      <c r="E14" s="3"/>
      <c r="F14" s="3"/>
      <c r="G14" s="3"/>
      <c r="H14" s="3"/>
      <c r="I14" s="38">
        <f>0.1*(Horaires356731011[[#This Row],[Heures de nuit]]+Horaires356731011[[#This Row],[heures jour dimanche]]+Horaires356731011[[#This Row],[heures jour fériés]])</f>
        <v>0</v>
      </c>
      <c r="J14" s="39">
        <f>(MOD(Horaires356731011[[#This Row],[Fin]]-Horaires356731011[[#This Row],[début]],1)-MOD(Horaires356731011[[#This Row],[PNP Fin]]-Horaires356731011[[#This Row],[PNP Début]],1))*24</f>
        <v>0</v>
      </c>
      <c r="K14" s="40">
        <f>IF(Horaires356731011[[#This Row],[PNP Début]]=0,0,IF(Horaires356731011[[#This Row],[PNP Début]]&lt;Horaires356731011[[#This Row],[début]],1,0)+Horaires356731011[[#This Row],[PNP Début]])</f>
        <v>0</v>
      </c>
      <c r="L14" s="40">
        <f>IF(Horaires356731011[[#This Row],[PNP Fin]]=0,0,IF(Horaires356731011[[#This Row],[PNP Fin]]&lt;Horaires356731011[[#This Row],[début]],1,0)+Horaires356731011[[#This Row],[PNP Fin]])</f>
        <v>0</v>
      </c>
      <c r="M14" s="40">
        <f>IF(Horaires356731011[[#This Row],[Fin]]&lt;Horaires356731011[[#This Row],[début]],1,0)+Horaires356731011[[#This Row],[Fin]]</f>
        <v>0</v>
      </c>
      <c r="N14" s="41">
        <f>MAX(0,MIN(Horaires356731011[[#This Row],[Fin corrigée si nuit]],fin_nuit)-MAX(Horaires356731011[[#This Row],[début]],deb_nuit))*24</f>
        <v>0</v>
      </c>
      <c r="O14" s="41">
        <f>(MAX(0,MIN(Horaires356731011[[#This Row],[Fin corrigée si nuit]],fin_nuit)-MAX(Horaires356731011[[#This Row],[début]],deb_nuit))-IF(Horaires356731011[[#This Row],[PNP Début]]=0,0,MIN(Horaires356731011[[#This Row],[PNP Fin corrigée]],fin_nuit)-MAX(Horaires356731011[[#This Row],[PNP Début corrigé]],deb_nuit)))*24</f>
        <v>0</v>
      </c>
      <c r="P14" s="41">
        <f>(IF(WEEKDAY(Horaires356731011[[#This Row],[Date]],2)=7,MAX(0,MIN(fin_dimJF,Horaires356731011[[#This Row],[Fin corrigée si nuit]])-MAX(deb_dimJF,Horaires356731011[[#This Row],[début]])),0)+IF(WEEKDAY(Horaires356731011[[#This Row],[Date]],2)=6,MAX(0,Horaires356731011[[#This Row],[Fin corrigée si nuit]]-(1+deb_dimJF)),0))*24</f>
        <v>0</v>
      </c>
      <c r="Q14" s="4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14" s="42">
        <f>(IF(COUNTIF(JF,Horaires356731011[[#This Row],[Date]]),MAX(0,MIN(fin_dimJF,Horaires356731011[[#This Row],[Fin corrigée si nuit]])-MAX(deb_dimJF,Horaires356731011[[#This Row],[début]])),0)+IF(COUNTIF(JF,Horaires356731011[[#This Row],[Date]]+1),MAX(0,Horaires356731011[[#This Row],[Fin corrigée si nuit]]-(1+deb_dimJF)),0))*24</f>
        <v>0</v>
      </c>
      <c r="S14" s="4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15" spans="1:19" x14ac:dyDescent="0.35">
      <c r="A15" s="9"/>
      <c r="B15" s="1"/>
      <c r="C15" s="2"/>
      <c r="D15" s="2"/>
      <c r="E15" s="3"/>
      <c r="F15" s="3"/>
      <c r="G15" s="3"/>
      <c r="H15" s="3"/>
      <c r="I15" s="38">
        <f>0.1*(Horaires356731011[[#This Row],[Heures de nuit]]+Horaires356731011[[#This Row],[heures jour dimanche]]+Horaires356731011[[#This Row],[heures jour fériés]])</f>
        <v>0</v>
      </c>
      <c r="J15" s="39">
        <f>(MOD(Horaires356731011[[#This Row],[Fin]]-Horaires356731011[[#This Row],[début]],1)-MOD(Horaires356731011[[#This Row],[PNP Fin]]-Horaires356731011[[#This Row],[PNP Début]],1))*24</f>
        <v>0</v>
      </c>
      <c r="K15" s="40">
        <f>IF(Horaires356731011[[#This Row],[PNP Début]]=0,0,IF(Horaires356731011[[#This Row],[PNP Début]]&lt;Horaires356731011[[#This Row],[début]],1,0)+Horaires356731011[[#This Row],[PNP Début]])</f>
        <v>0</v>
      </c>
      <c r="L15" s="40">
        <f>IF(Horaires356731011[[#This Row],[PNP Fin]]=0,0,IF(Horaires356731011[[#This Row],[PNP Fin]]&lt;Horaires356731011[[#This Row],[début]],1,0)+Horaires356731011[[#This Row],[PNP Fin]])</f>
        <v>0</v>
      </c>
      <c r="M15" s="40">
        <f>IF(Horaires356731011[[#This Row],[Fin]]&lt;Horaires356731011[[#This Row],[début]],1,0)+Horaires356731011[[#This Row],[Fin]]</f>
        <v>0</v>
      </c>
      <c r="N15" s="41">
        <f>MAX(0,MIN(Horaires356731011[[#This Row],[Fin corrigée si nuit]],fin_nuit)-MAX(Horaires356731011[[#This Row],[début]],deb_nuit))*24</f>
        <v>0</v>
      </c>
      <c r="O15" s="41">
        <f>(MAX(0,MIN(Horaires356731011[[#This Row],[Fin corrigée si nuit]],fin_nuit)-MAX(Horaires356731011[[#This Row],[début]],deb_nuit))-IF(Horaires356731011[[#This Row],[PNP Début]]=0,0,MIN(Horaires356731011[[#This Row],[PNP Fin corrigée]],fin_nuit)-MAX(Horaires356731011[[#This Row],[PNP Début corrigé]],deb_nuit)))*24</f>
        <v>0</v>
      </c>
      <c r="P15" s="41">
        <f>(IF(WEEKDAY(Horaires356731011[[#This Row],[Date]],2)=7,MAX(0,MIN(fin_dimJF,Horaires356731011[[#This Row],[Fin corrigée si nuit]])-MAX(deb_dimJF,Horaires356731011[[#This Row],[début]])),0)+IF(WEEKDAY(Horaires356731011[[#This Row],[Date]],2)=6,MAX(0,Horaires356731011[[#This Row],[Fin corrigée si nuit]]-(1+deb_dimJF)),0))*24</f>
        <v>0</v>
      </c>
      <c r="Q15" s="4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15" s="42">
        <f>(IF(COUNTIF(JF,Horaires356731011[[#This Row],[Date]]),MAX(0,MIN(fin_dimJF,Horaires356731011[[#This Row],[Fin corrigée si nuit]])-MAX(deb_dimJF,Horaires356731011[[#This Row],[début]])),0)+IF(COUNTIF(JF,Horaires356731011[[#This Row],[Date]]+1),MAX(0,Horaires356731011[[#This Row],[Fin corrigée si nuit]]-(1+deb_dimJF)),0))*24</f>
        <v>0</v>
      </c>
      <c r="S15" s="4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16" spans="1:19" x14ac:dyDescent="0.35">
      <c r="A16" s="9"/>
      <c r="B16" s="10"/>
      <c r="C16" s="2"/>
      <c r="D16" s="2"/>
      <c r="E16" s="3"/>
      <c r="F16" s="3"/>
      <c r="G16" s="11"/>
      <c r="H16" s="11"/>
      <c r="I16" s="38">
        <f>0.1*(Horaires356731011[[#This Row],[Heures de nuit]]+Horaires356731011[[#This Row],[heures jour dimanche]]+Horaires356731011[[#This Row],[heures jour fériés]])</f>
        <v>0</v>
      </c>
      <c r="J16" s="43">
        <f>(MOD(Horaires356731011[[#This Row],[Fin]]-Horaires356731011[[#This Row],[début]],1)-MOD(Horaires356731011[[#This Row],[PNP Fin]]-Horaires356731011[[#This Row],[PNP Début]],1))*24</f>
        <v>0</v>
      </c>
      <c r="K16" s="40">
        <f>IF(Horaires356731011[[#This Row],[PNP Début]]=0,0,IF(Horaires356731011[[#This Row],[PNP Début]]&lt;Horaires356731011[[#This Row],[début]],1,0)+Horaires356731011[[#This Row],[PNP Début]])</f>
        <v>0</v>
      </c>
      <c r="L16" s="40">
        <f>IF(Horaires356731011[[#This Row],[PNP Fin]]=0,0,IF(Horaires356731011[[#This Row],[PNP Fin]]&lt;Horaires356731011[[#This Row],[début]],1,0)+Horaires356731011[[#This Row],[PNP Fin]])</f>
        <v>0</v>
      </c>
      <c r="M16" s="44">
        <f>IF(Horaires356731011[[#This Row],[Fin]]&lt;Horaires356731011[[#This Row],[début]],1,0)+Horaires356731011[[#This Row],[Fin]]</f>
        <v>0</v>
      </c>
      <c r="N16" s="41">
        <f>MAX(0,MIN(Horaires356731011[[#This Row],[Fin corrigée si nuit]],fin_nuit)-MAX(Horaires356731011[[#This Row],[début]],deb_nuit))*24</f>
        <v>0</v>
      </c>
      <c r="O16" s="45">
        <f>(MAX(0,MIN(Horaires356731011[[#This Row],[Fin corrigée si nuit]],fin_nuit)-MAX(Horaires356731011[[#This Row],[début]],deb_nuit))-IF(Horaires356731011[[#This Row],[PNP Début]]=0,0,MIN(Horaires356731011[[#This Row],[PNP Fin corrigée]],fin_nuit)-MAX(Horaires356731011[[#This Row],[PNP Début corrigé]],deb_nuit)))*24</f>
        <v>0</v>
      </c>
      <c r="P16" s="45">
        <f>(IF(WEEKDAY(Horaires356731011[[#This Row],[Date]],2)=7,MAX(0,MIN(fin_dimJF,Horaires356731011[[#This Row],[Fin corrigée si nuit]])-MAX(deb_dimJF,Horaires356731011[[#This Row],[début]])),0)+IF(WEEKDAY(Horaires356731011[[#This Row],[Date]],2)=6,MAX(0,Horaires356731011[[#This Row],[Fin corrigée si nuit]]-(1+deb_dimJF)),0))*24</f>
        <v>0</v>
      </c>
      <c r="Q16" s="4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16" s="46">
        <f>(IF(COUNTIF(JF,Horaires356731011[[#This Row],[Date]]),MAX(0,MIN(fin_dimJF,Horaires356731011[[#This Row],[Fin corrigée si nuit]])-MAX(deb_dimJF,Horaires356731011[[#This Row],[début]])),0)+IF(COUNTIF(JF,Horaires356731011[[#This Row],[Date]]+1),MAX(0,Horaires356731011[[#This Row],[Fin corrigée si nuit]]-(1+deb_dimJF)),0))*24</f>
        <v>0</v>
      </c>
      <c r="S16" s="46">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17" spans="1:19" x14ac:dyDescent="0.35">
      <c r="A17" s="9"/>
      <c r="B17" s="1"/>
      <c r="C17" s="2"/>
      <c r="D17" s="2"/>
      <c r="E17" s="3"/>
      <c r="F17" s="3"/>
      <c r="G17" s="17"/>
      <c r="H17" s="17"/>
      <c r="I17" s="47">
        <f>0.1*(Horaires356731011[[#This Row],[Heures de nuit]]+Horaires356731011[[#This Row],[heures jour dimanche]]+Horaires356731011[[#This Row],[heures jour fériés]])</f>
        <v>0</v>
      </c>
      <c r="J17" s="48">
        <f>(MOD(Horaires356731011[[#This Row],[Fin]]-Horaires356731011[[#This Row],[début]],1)-MOD(Horaires356731011[[#This Row],[PNP Fin]]-Horaires356731011[[#This Row],[PNP Début]],1))*24</f>
        <v>0</v>
      </c>
      <c r="K17" s="49">
        <f>IF(Horaires356731011[[#This Row],[PNP Début]]=0,0,IF(Horaires356731011[[#This Row],[PNP Début]]&lt;Horaires356731011[[#This Row],[début]],1,0)+Horaires356731011[[#This Row],[PNP Début]])</f>
        <v>0</v>
      </c>
      <c r="L17" s="50">
        <f>IF(Horaires356731011[[#This Row],[PNP Fin]]=0,0,IF(Horaires356731011[[#This Row],[PNP Fin]]&lt;Horaires356731011[[#This Row],[début]],1,0)+Horaires356731011[[#This Row],[PNP Fin]])</f>
        <v>0</v>
      </c>
      <c r="M17" s="50">
        <f>IF(Horaires356731011[[#This Row],[Fin]]&lt;Horaires356731011[[#This Row],[début]],1,0)+Horaires356731011[[#This Row],[Fin]]</f>
        <v>0</v>
      </c>
      <c r="N17" s="41">
        <f>MAX(0,MIN(Horaires356731011[[#This Row],[Fin corrigée si nuit]],fin_nuit)-MAX(Horaires356731011[[#This Row],[début]],deb_nuit))*24</f>
        <v>0</v>
      </c>
      <c r="O17" s="51">
        <f>(MAX(0,MIN(Horaires356731011[[#This Row],[Fin corrigée si nuit]],fin_nuit)-MAX(Horaires356731011[[#This Row],[début]],deb_nuit))-IF(Horaires356731011[[#This Row],[PNP Début]]=0,0,MIN(Horaires356731011[[#This Row],[PNP Fin corrigée]],fin_nuit)-MAX(Horaires356731011[[#This Row],[PNP Début corrigé]],deb_nuit)))*24</f>
        <v>0</v>
      </c>
      <c r="P17" s="51">
        <f>(IF(WEEKDAY(Horaires356731011[[#This Row],[Date]],2)=7,MAX(0,MIN(fin_dimJF,Horaires356731011[[#This Row],[Fin corrigée si nuit]])-MAX(deb_dimJF,Horaires356731011[[#This Row],[début]])),0)+IF(WEEKDAY(Horaires356731011[[#This Row],[Date]],2)=6,MAX(0,Horaires356731011[[#This Row],[Fin corrigée si nuit]]-(1+deb_dimJF)),0))*24</f>
        <v>0</v>
      </c>
      <c r="Q17" s="5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17" s="51">
        <f>(IF(COUNTIF(JF,Horaires356731011[[#This Row],[Date]]),MAX(0,MIN(fin_dimJF,Horaires356731011[[#This Row],[Fin corrigée si nuit]])-MAX(deb_dimJF,Horaires356731011[[#This Row],[début]])),0)+IF(COUNTIF(JF,Horaires356731011[[#This Row],[Date]]+1),MAX(0,Horaires356731011[[#This Row],[Fin corrigée si nuit]]-(1+deb_dimJF)),0))*24</f>
        <v>0</v>
      </c>
      <c r="S17" s="51">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18" spans="1:19" x14ac:dyDescent="0.35">
      <c r="A18" s="9"/>
      <c r="B18" s="69"/>
      <c r="C18" s="16"/>
      <c r="D18" s="16"/>
      <c r="E18" s="17"/>
      <c r="F18" s="17"/>
      <c r="G18" s="17"/>
      <c r="H18" s="17"/>
      <c r="I18" s="47">
        <f>0.1*(Horaires356731011[[#This Row],[Heures de nuit]]+Horaires356731011[[#This Row],[heures jour dimanche]]+Horaires356731011[[#This Row],[heures jour fériés]])</f>
        <v>0</v>
      </c>
      <c r="J18" s="48">
        <f>(MOD(Horaires356731011[[#This Row],[Fin]]-Horaires356731011[[#This Row],[début]],1)-MOD(Horaires356731011[[#This Row],[PNP Fin]]-Horaires356731011[[#This Row],[PNP Début]],1))*24</f>
        <v>0</v>
      </c>
      <c r="K18" s="49">
        <f>IF(Horaires356731011[[#This Row],[PNP Début]]=0,0,IF(Horaires356731011[[#This Row],[PNP Début]]&lt;Horaires356731011[[#This Row],[début]],1,0)+Horaires356731011[[#This Row],[PNP Début]])</f>
        <v>0</v>
      </c>
      <c r="L18" s="50">
        <f>IF(Horaires356731011[[#This Row],[PNP Fin]]=0,0,IF(Horaires356731011[[#This Row],[PNP Fin]]&lt;Horaires356731011[[#This Row],[début]],1,0)+Horaires356731011[[#This Row],[PNP Fin]])</f>
        <v>0</v>
      </c>
      <c r="M18" s="50">
        <f>IF(Horaires356731011[[#This Row],[Fin]]&lt;Horaires356731011[[#This Row],[début]],1,0)+Horaires356731011[[#This Row],[Fin]]</f>
        <v>0</v>
      </c>
      <c r="N18" s="41">
        <f>MAX(0,MIN(Horaires356731011[[#This Row],[Fin corrigée si nuit]],fin_nuit)-MAX(Horaires356731011[[#This Row],[début]],deb_nuit))*24</f>
        <v>0</v>
      </c>
      <c r="O18" s="51">
        <f>(MAX(0,MIN(Horaires356731011[[#This Row],[Fin corrigée si nuit]],fin_nuit)-MAX(Horaires356731011[[#This Row],[début]],deb_nuit))-IF(Horaires356731011[[#This Row],[PNP Début]]=0,0,MIN(Horaires356731011[[#This Row],[PNP Fin corrigée]],fin_nuit)-MAX(Horaires356731011[[#This Row],[PNP Début corrigé]],deb_nuit)))*24</f>
        <v>0</v>
      </c>
      <c r="P18" s="51">
        <f>(IF(WEEKDAY(Horaires356731011[[#This Row],[Date]],2)=7,MAX(0,MIN(fin_dimJF,Horaires356731011[[#This Row],[Fin corrigée si nuit]])-MAX(deb_dimJF,Horaires356731011[[#This Row],[début]])),0)+IF(WEEKDAY(Horaires356731011[[#This Row],[Date]],2)=6,MAX(0,Horaires356731011[[#This Row],[Fin corrigée si nuit]]-(1+deb_dimJF)),0))*24</f>
        <v>0</v>
      </c>
      <c r="Q18" s="5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18" s="51">
        <f>(IF(COUNTIF(JF,Horaires356731011[[#This Row],[Date]]),MAX(0,MIN(fin_dimJF,Horaires356731011[[#This Row],[Fin corrigée si nuit]])-MAX(deb_dimJF,Horaires356731011[[#This Row],[début]])),0)+IF(COUNTIF(JF,Horaires356731011[[#This Row],[Date]]+1),MAX(0,Horaires356731011[[#This Row],[Fin corrigée si nuit]]-(1+deb_dimJF)),0))*24</f>
        <v>0</v>
      </c>
      <c r="S18" s="51">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19" spans="1:19" x14ac:dyDescent="0.35">
      <c r="A19" s="9"/>
      <c r="B19" s="1"/>
      <c r="C19" s="16"/>
      <c r="D19" s="16"/>
      <c r="E19" s="3"/>
      <c r="F19" s="3"/>
      <c r="G19" s="17"/>
      <c r="H19" s="17"/>
      <c r="I19" s="47">
        <f>0.1*(Horaires356731011[[#This Row],[Heures de nuit]]+Horaires356731011[[#This Row],[heures jour dimanche]]+Horaires356731011[[#This Row],[heures jour fériés]])</f>
        <v>0</v>
      </c>
      <c r="J19" s="48">
        <f>(MOD(Horaires356731011[[#This Row],[Fin]]-Horaires356731011[[#This Row],[début]],1)-MOD(Horaires356731011[[#This Row],[PNP Fin]]-Horaires356731011[[#This Row],[PNP Début]],1))*24</f>
        <v>0</v>
      </c>
      <c r="K19" s="49">
        <f>IF(Horaires356731011[[#This Row],[PNP Début]]=0,0,IF(Horaires356731011[[#This Row],[PNP Début]]&lt;Horaires356731011[[#This Row],[début]],1,0)+Horaires356731011[[#This Row],[PNP Début]])</f>
        <v>0</v>
      </c>
      <c r="L19" s="50">
        <f>IF(Horaires356731011[[#This Row],[PNP Fin]]=0,0,IF(Horaires356731011[[#This Row],[PNP Fin]]&lt;Horaires356731011[[#This Row],[début]],1,0)+Horaires356731011[[#This Row],[PNP Fin]])</f>
        <v>0</v>
      </c>
      <c r="M19" s="50">
        <f>IF(Horaires356731011[[#This Row],[Fin]]&lt;Horaires356731011[[#This Row],[début]],1,0)+Horaires356731011[[#This Row],[Fin]]</f>
        <v>0</v>
      </c>
      <c r="N19" s="41">
        <f>MAX(0,MIN(Horaires356731011[[#This Row],[Fin corrigée si nuit]],fin_nuit)-MAX(Horaires356731011[[#This Row],[début]],deb_nuit))*24</f>
        <v>0</v>
      </c>
      <c r="O19" s="51">
        <f>(MAX(0,MIN(Horaires356731011[[#This Row],[Fin corrigée si nuit]],fin_nuit)-MAX(Horaires356731011[[#This Row],[début]],deb_nuit))-IF(Horaires356731011[[#This Row],[PNP Début]]=0,0,MIN(Horaires356731011[[#This Row],[PNP Fin corrigée]],fin_nuit)-MAX(Horaires356731011[[#This Row],[PNP Début corrigé]],deb_nuit)))*24</f>
        <v>0</v>
      </c>
      <c r="P19" s="51">
        <f>(IF(WEEKDAY(Horaires356731011[[#This Row],[Date]],2)=7,MAX(0,MIN(fin_dimJF,Horaires356731011[[#This Row],[Fin corrigée si nuit]])-MAX(deb_dimJF,Horaires356731011[[#This Row],[début]])),0)+IF(WEEKDAY(Horaires356731011[[#This Row],[Date]],2)=6,MAX(0,Horaires356731011[[#This Row],[Fin corrigée si nuit]]-(1+deb_dimJF)),0))*24</f>
        <v>0</v>
      </c>
      <c r="Q19" s="5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19" s="51">
        <f>(IF(COUNTIF(JF,Horaires356731011[[#This Row],[Date]]),MAX(0,MIN(fin_dimJF,Horaires356731011[[#This Row],[Fin corrigée si nuit]])-MAX(deb_dimJF,Horaires356731011[[#This Row],[début]])),0)+IF(COUNTIF(JF,Horaires356731011[[#This Row],[Date]]+1),MAX(0,Horaires356731011[[#This Row],[Fin corrigée si nuit]]-(1+deb_dimJF)),0))*24</f>
        <v>0</v>
      </c>
      <c r="S19" s="51">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0" spans="1:19" x14ac:dyDescent="0.35">
      <c r="A20" s="9"/>
      <c r="B20" s="1"/>
      <c r="C20" s="16"/>
      <c r="D20" s="16"/>
      <c r="E20" s="17"/>
      <c r="F20" s="17"/>
      <c r="G20" s="17"/>
      <c r="H20" s="17"/>
      <c r="I20" s="47">
        <f>0.1*(Horaires356731011[[#This Row],[Heures de nuit]]+Horaires356731011[[#This Row],[heures jour dimanche]]+Horaires356731011[[#This Row],[heures jour fériés]])</f>
        <v>0</v>
      </c>
      <c r="J20" s="48">
        <f>(MOD(Horaires356731011[[#This Row],[Fin]]-Horaires356731011[[#This Row],[début]],1)-MOD(Horaires356731011[[#This Row],[PNP Fin]]-Horaires356731011[[#This Row],[PNP Début]],1))*24</f>
        <v>0</v>
      </c>
      <c r="K20" s="49">
        <f>IF(Horaires356731011[[#This Row],[PNP Début]]=0,0,IF(Horaires356731011[[#This Row],[PNP Début]]&lt;Horaires356731011[[#This Row],[début]],1,0)+Horaires356731011[[#This Row],[PNP Début]])</f>
        <v>0</v>
      </c>
      <c r="L20" s="50">
        <f>IF(Horaires356731011[[#This Row],[PNP Fin]]=0,0,IF(Horaires356731011[[#This Row],[PNP Fin]]&lt;Horaires356731011[[#This Row],[début]],1,0)+Horaires356731011[[#This Row],[PNP Fin]])</f>
        <v>0</v>
      </c>
      <c r="M20" s="50">
        <f>IF(Horaires356731011[[#This Row],[Fin]]&lt;Horaires356731011[[#This Row],[début]],1,0)+Horaires356731011[[#This Row],[Fin]]</f>
        <v>0</v>
      </c>
      <c r="N20" s="41">
        <f>MAX(0,MIN(Horaires356731011[[#This Row],[Fin corrigée si nuit]],fin_nuit)-MAX(Horaires356731011[[#This Row],[début]],deb_nuit))*24</f>
        <v>0</v>
      </c>
      <c r="O20" s="51">
        <f>(MAX(0,MIN(Horaires356731011[[#This Row],[Fin corrigée si nuit]],fin_nuit)-MAX(Horaires356731011[[#This Row],[début]],deb_nuit))-IF(Horaires356731011[[#This Row],[PNP Début]]=0,0,MIN(Horaires356731011[[#This Row],[PNP Fin corrigée]],fin_nuit)-MAX(Horaires356731011[[#This Row],[PNP Début corrigé]],deb_nuit)))*24</f>
        <v>0</v>
      </c>
      <c r="P20" s="51">
        <f>(IF(WEEKDAY(Horaires356731011[[#This Row],[Date]],2)=7,MAX(0,MIN(fin_dimJF,Horaires356731011[[#This Row],[Fin corrigée si nuit]])-MAX(deb_dimJF,Horaires356731011[[#This Row],[début]])),0)+IF(WEEKDAY(Horaires356731011[[#This Row],[Date]],2)=6,MAX(0,Horaires356731011[[#This Row],[Fin corrigée si nuit]]-(1+deb_dimJF)),0))*24</f>
        <v>0</v>
      </c>
      <c r="Q20" s="51">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0" s="51">
        <f>(IF(COUNTIF(JF,Horaires356731011[[#This Row],[Date]]),MAX(0,MIN(fin_dimJF,Horaires356731011[[#This Row],[Fin corrigée si nuit]])-MAX(deb_dimJF,Horaires356731011[[#This Row],[début]])),0)+IF(COUNTIF(JF,Horaires356731011[[#This Row],[Date]]+1),MAX(0,Horaires356731011[[#This Row],[Fin corrigée si nuit]]-(1+deb_dimJF)),0))*24</f>
        <v>0</v>
      </c>
      <c r="S20" s="51">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1" spans="1:19" x14ac:dyDescent="0.35">
      <c r="A21" s="9"/>
      <c r="B21" s="10"/>
      <c r="C21" s="18"/>
      <c r="D21" s="18"/>
      <c r="E21" s="3"/>
      <c r="F21" s="3"/>
      <c r="G21" s="19"/>
      <c r="H21" s="19"/>
      <c r="I21" s="52">
        <f>0.1*(Horaires356731011[[#This Row],[Heures de nuit]]+Horaires356731011[[#This Row],[heures jour dimanche]]+Horaires356731011[[#This Row],[heures jour fériés]])</f>
        <v>0</v>
      </c>
      <c r="J21" s="53">
        <f>(MOD(Horaires356731011[[#This Row],[Fin]]-Horaires356731011[[#This Row],[début]],1)-MOD(Horaires356731011[[#This Row],[PNP Fin]]-Horaires356731011[[#This Row],[PNP Début]],1))*24</f>
        <v>0</v>
      </c>
      <c r="K21" s="54">
        <f>IF(Horaires356731011[[#This Row],[PNP Début]]=0,0,IF(Horaires356731011[[#This Row],[PNP Début]]&lt;Horaires356731011[[#This Row],[début]],1,0)+Horaires356731011[[#This Row],[PNP Début]])</f>
        <v>0</v>
      </c>
      <c r="L21" s="55">
        <f>IF(Horaires356731011[[#This Row],[PNP Fin]]=0,0,IF(Horaires356731011[[#This Row],[PNP Fin]]&lt;Horaires356731011[[#This Row],[début]],1,0)+Horaires356731011[[#This Row],[PNP Fin]])</f>
        <v>0</v>
      </c>
      <c r="M21" s="55">
        <f>IF(Horaires356731011[[#This Row],[Fin]]&lt;Horaires356731011[[#This Row],[début]],1,0)+Horaires356731011[[#This Row],[Fin]]</f>
        <v>0</v>
      </c>
      <c r="N21" s="41">
        <f>MAX(0,MIN(Horaires356731011[[#This Row],[Fin corrigée si nuit]],fin_nuit)-MAX(Horaires356731011[[#This Row],[début]],deb_nuit))*24</f>
        <v>0</v>
      </c>
      <c r="O21" s="56">
        <f>(MAX(0,MIN(Horaires356731011[[#This Row],[Fin corrigée si nuit]],fin_nuit)-MAX(Horaires356731011[[#This Row],[début]],deb_nuit))-IF(Horaires356731011[[#This Row],[PNP Début]]=0,0,MIN(Horaires356731011[[#This Row],[PNP Fin corrigée]],fin_nuit)-MAX(Horaires356731011[[#This Row],[PNP Début corrigé]],deb_nuit)))*24</f>
        <v>0</v>
      </c>
      <c r="P21" s="56">
        <f>(IF(WEEKDAY(Horaires356731011[[#This Row],[Date]],2)=7,MAX(0,MIN(fin_dimJF,Horaires356731011[[#This Row],[Fin corrigée si nuit]])-MAX(deb_dimJF,Horaires356731011[[#This Row],[début]])),0)+IF(WEEKDAY(Horaires356731011[[#This Row],[Date]],2)=6,MAX(0,Horaires356731011[[#This Row],[Fin corrigée si nuit]]-(1+deb_dimJF)),0))*24</f>
        <v>0</v>
      </c>
      <c r="Q21" s="56">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1" s="56">
        <f>(IF(COUNTIF(JF,Horaires356731011[[#This Row],[Date]]),MAX(0,MIN(fin_dimJF,Horaires356731011[[#This Row],[Fin corrigée si nuit]])-MAX(deb_dimJF,Horaires356731011[[#This Row],[début]])),0)+IF(COUNTIF(JF,Horaires356731011[[#This Row],[Date]]+1),MAX(0,Horaires356731011[[#This Row],[Fin corrigée si nuit]]-(1+deb_dimJF)),0))*24</f>
        <v>0</v>
      </c>
      <c r="S21" s="56">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2" spans="1:19" x14ac:dyDescent="0.35">
      <c r="A22" s="9"/>
      <c r="B22" s="1"/>
      <c r="C22" s="18"/>
      <c r="D22" s="18"/>
      <c r="E22" s="3"/>
      <c r="F22" s="3"/>
      <c r="G22" s="3"/>
      <c r="H22" s="3"/>
      <c r="I22" s="57">
        <f>0.1*(Horaires356731011[[#This Row],[Heures de nuit]]+Horaires356731011[[#This Row],[heures jour dimanche]]+Horaires356731011[[#This Row],[heures jour fériés]])</f>
        <v>0</v>
      </c>
      <c r="J22" s="58">
        <f>(MOD(Horaires356731011[[#This Row],[Fin]]-Horaires356731011[[#This Row],[début]],1)-MOD(Horaires356731011[[#This Row],[PNP Fin]]-Horaires356731011[[#This Row],[PNP Début]],1))*24</f>
        <v>0</v>
      </c>
      <c r="K22" s="59">
        <f>IF(Horaires356731011[[#This Row],[PNP Début]]=0,0,IF(Horaires356731011[[#This Row],[PNP Début]]&lt;Horaires356731011[[#This Row],[début]],1,0)+Horaires356731011[[#This Row],[PNP Début]])</f>
        <v>0</v>
      </c>
      <c r="L22" s="60">
        <f>IF(Horaires356731011[[#This Row],[PNP Fin]]=0,0,IF(Horaires356731011[[#This Row],[PNP Fin]]&lt;Horaires356731011[[#This Row],[début]],1,0)+Horaires356731011[[#This Row],[PNP Fin]])</f>
        <v>0</v>
      </c>
      <c r="M22" s="60">
        <f>IF(Horaires356731011[[#This Row],[Fin]]&lt;Horaires356731011[[#This Row],[début]],1,0)+Horaires356731011[[#This Row],[Fin]]</f>
        <v>0</v>
      </c>
      <c r="N22" s="61">
        <f>MAX(0,MIN(Horaires356731011[[#This Row],[Fin corrigée si nuit]],fin_nuit)-MAX(Horaires356731011[[#This Row],[début]],deb_nuit))*24</f>
        <v>0</v>
      </c>
      <c r="O22" s="62">
        <f>(MAX(0,MIN(Horaires356731011[[#This Row],[Fin corrigée si nuit]],fin_nuit)-MAX(Horaires356731011[[#This Row],[début]],deb_nuit))-IF(Horaires356731011[[#This Row],[PNP Début]]=0,0,MIN(Horaires356731011[[#This Row],[PNP Fin corrigée]],fin_nuit)-MAX(Horaires356731011[[#This Row],[PNP Début corrigé]],deb_nuit)))*24</f>
        <v>0</v>
      </c>
      <c r="P22" s="62">
        <f>(IF(WEEKDAY(Horaires356731011[[#This Row],[Date]],2)=7,MAX(0,MIN(fin_dimJF,Horaires356731011[[#This Row],[Fin corrigée si nuit]])-MAX(deb_dimJF,Horaires356731011[[#This Row],[début]])),0)+IF(WEEKDAY(Horaires356731011[[#This Row],[Date]],2)=6,MAX(0,Horaires356731011[[#This Row],[Fin corrigée si nuit]]-(1+deb_dimJF)),0))*24</f>
        <v>0</v>
      </c>
      <c r="Q22"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2" s="62">
        <f>(IF(COUNTIF(JF,Horaires356731011[[#This Row],[Date]]),MAX(0,MIN(fin_dimJF,Horaires356731011[[#This Row],[Fin corrigée si nuit]])-MAX(deb_dimJF,Horaires356731011[[#This Row],[début]])),0)+IF(COUNTIF(JF,Horaires356731011[[#This Row],[Date]]+1),MAX(0,Horaires356731011[[#This Row],[Fin corrigée si nuit]]-(1+deb_dimJF)),0))*24</f>
        <v>0</v>
      </c>
      <c r="S22"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3" spans="1:19" x14ac:dyDescent="0.35">
      <c r="A23" s="9"/>
      <c r="B23" s="1"/>
      <c r="C23" s="18"/>
      <c r="D23" s="18"/>
      <c r="E23" s="3"/>
      <c r="F23" s="3"/>
      <c r="G23" s="3"/>
      <c r="H23" s="3"/>
      <c r="I23" s="57">
        <f>0.1*(Horaires356731011[[#This Row],[Heures de nuit]]+Horaires356731011[[#This Row],[heures jour dimanche]]+Horaires356731011[[#This Row],[heures jour fériés]])</f>
        <v>0</v>
      </c>
      <c r="J23" s="58">
        <f>(MOD(Horaires356731011[[#This Row],[Fin]]-Horaires356731011[[#This Row],[début]],1)-MOD(Horaires356731011[[#This Row],[PNP Fin]]-Horaires356731011[[#This Row],[PNP Début]],1))*24</f>
        <v>0</v>
      </c>
      <c r="K23" s="59">
        <f>IF(Horaires356731011[[#This Row],[PNP Début]]=0,0,IF(Horaires356731011[[#This Row],[PNP Début]]&lt;Horaires356731011[[#This Row],[début]],1,0)+Horaires356731011[[#This Row],[PNP Début]])</f>
        <v>0</v>
      </c>
      <c r="L23" s="60">
        <f>IF(Horaires356731011[[#This Row],[PNP Fin]]=0,0,IF(Horaires356731011[[#This Row],[PNP Fin]]&lt;Horaires356731011[[#This Row],[début]],1,0)+Horaires356731011[[#This Row],[PNP Fin]])</f>
        <v>0</v>
      </c>
      <c r="M23" s="60">
        <f>IF(Horaires356731011[[#This Row],[Fin]]&lt;Horaires356731011[[#This Row],[début]],1,0)+Horaires356731011[[#This Row],[Fin]]</f>
        <v>0</v>
      </c>
      <c r="N23" s="61">
        <f>MAX(0,MIN(Horaires356731011[[#This Row],[Fin corrigée si nuit]],fin_nuit)-MAX(Horaires356731011[[#This Row],[début]],deb_nuit))*24</f>
        <v>0</v>
      </c>
      <c r="O23" s="62">
        <f>(MAX(0,MIN(Horaires356731011[[#This Row],[Fin corrigée si nuit]],fin_nuit)-MAX(Horaires356731011[[#This Row],[début]],deb_nuit))-IF(Horaires356731011[[#This Row],[PNP Début]]=0,0,MIN(Horaires356731011[[#This Row],[PNP Fin corrigée]],fin_nuit)-MAX(Horaires356731011[[#This Row],[PNP Début corrigé]],deb_nuit)))*24</f>
        <v>0</v>
      </c>
      <c r="P23" s="62">
        <f>(IF(WEEKDAY(Horaires356731011[[#This Row],[Date]],2)=7,MAX(0,MIN(fin_dimJF,Horaires356731011[[#This Row],[Fin corrigée si nuit]])-MAX(deb_dimJF,Horaires356731011[[#This Row],[début]])),0)+IF(WEEKDAY(Horaires356731011[[#This Row],[Date]],2)=6,MAX(0,Horaires356731011[[#This Row],[Fin corrigée si nuit]]-(1+deb_dimJF)),0))*24</f>
        <v>0</v>
      </c>
      <c r="Q23"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3" s="62">
        <f>(IF(COUNTIF(JF,Horaires356731011[[#This Row],[Date]]),MAX(0,MIN(fin_dimJF,Horaires356731011[[#This Row],[Fin corrigée si nuit]])-MAX(deb_dimJF,Horaires356731011[[#This Row],[début]])),0)+IF(COUNTIF(JF,Horaires356731011[[#This Row],[Date]]+1),MAX(0,Horaires356731011[[#This Row],[Fin corrigée si nuit]]-(1+deb_dimJF)),0))*24</f>
        <v>0</v>
      </c>
      <c r="S23"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4" spans="1:19" x14ac:dyDescent="0.35">
      <c r="A24" s="9"/>
      <c r="B24" s="1"/>
      <c r="C24" s="2"/>
      <c r="D24" s="2"/>
      <c r="E24" s="3"/>
      <c r="F24" s="3"/>
      <c r="G24" s="3"/>
      <c r="H24" s="3"/>
      <c r="I24" s="57">
        <f>0.1*(Horaires356731011[[#This Row],[Heures de nuit]]+Horaires356731011[[#This Row],[heures jour dimanche]]+Horaires356731011[[#This Row],[heures jour fériés]])</f>
        <v>0</v>
      </c>
      <c r="J24" s="58">
        <f>(MOD(Horaires356731011[[#This Row],[Fin]]-Horaires356731011[[#This Row],[début]],1)-MOD(Horaires356731011[[#This Row],[PNP Fin]]-Horaires356731011[[#This Row],[PNP Début]],1))*24</f>
        <v>0</v>
      </c>
      <c r="K24" s="59">
        <f>IF(Horaires356731011[[#This Row],[PNP Début]]=0,0,IF(Horaires356731011[[#This Row],[PNP Début]]&lt;Horaires356731011[[#This Row],[début]],1,0)+Horaires356731011[[#This Row],[PNP Début]])</f>
        <v>0</v>
      </c>
      <c r="L24" s="60">
        <f>IF(Horaires356731011[[#This Row],[PNP Fin]]=0,0,IF(Horaires356731011[[#This Row],[PNP Fin]]&lt;Horaires356731011[[#This Row],[début]],1,0)+Horaires356731011[[#This Row],[PNP Fin]])</f>
        <v>0</v>
      </c>
      <c r="M24" s="60">
        <f>IF(Horaires356731011[[#This Row],[Fin]]&lt;Horaires356731011[[#This Row],[début]],1,0)+Horaires356731011[[#This Row],[Fin]]</f>
        <v>0</v>
      </c>
      <c r="N24" s="61">
        <f>MAX(0,MIN(Horaires356731011[[#This Row],[Fin corrigée si nuit]],fin_nuit)-MAX(Horaires356731011[[#This Row],[début]],deb_nuit))*24</f>
        <v>0</v>
      </c>
      <c r="O24" s="62">
        <f>(MAX(0,MIN(Horaires356731011[[#This Row],[Fin corrigée si nuit]],fin_nuit)-MAX(Horaires356731011[[#This Row],[début]],deb_nuit))-IF(Horaires356731011[[#This Row],[PNP Début]]=0,0,MIN(Horaires356731011[[#This Row],[PNP Fin corrigée]],fin_nuit)-MAX(Horaires356731011[[#This Row],[PNP Début corrigé]],deb_nuit)))*24</f>
        <v>0</v>
      </c>
      <c r="P24" s="62">
        <f>(IF(WEEKDAY(Horaires356731011[[#This Row],[Date]],2)=7,MAX(0,MIN(fin_dimJF,Horaires356731011[[#This Row],[Fin corrigée si nuit]])-MAX(deb_dimJF,Horaires356731011[[#This Row],[début]])),0)+IF(WEEKDAY(Horaires356731011[[#This Row],[Date]],2)=6,MAX(0,Horaires356731011[[#This Row],[Fin corrigée si nuit]]-(1+deb_dimJF)),0))*24</f>
        <v>0</v>
      </c>
      <c r="Q24"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4" s="62">
        <f>(IF(COUNTIF(JF,Horaires356731011[[#This Row],[Date]]),MAX(0,MIN(fin_dimJF,Horaires356731011[[#This Row],[Fin corrigée si nuit]])-MAX(deb_dimJF,Horaires356731011[[#This Row],[début]])),0)+IF(COUNTIF(JF,Horaires356731011[[#This Row],[Date]]+1),MAX(0,Horaires356731011[[#This Row],[Fin corrigée si nuit]]-(1+deb_dimJF)),0))*24</f>
        <v>0</v>
      </c>
      <c r="S24"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5" spans="1:19" x14ac:dyDescent="0.35">
      <c r="A25" s="9"/>
      <c r="B25" s="1"/>
      <c r="C25" s="2"/>
      <c r="D25" s="2"/>
      <c r="E25" s="3"/>
      <c r="F25" s="3"/>
      <c r="G25" s="3"/>
      <c r="H25" s="3"/>
      <c r="I25" s="57">
        <f>0.1*(Horaires356731011[[#This Row],[Heures de nuit]]+Horaires356731011[[#This Row],[heures jour dimanche]]+Horaires356731011[[#This Row],[heures jour fériés]])</f>
        <v>0</v>
      </c>
      <c r="J25" s="58">
        <f>(MOD(Horaires356731011[[#This Row],[Fin]]-Horaires356731011[[#This Row],[début]],1)-MOD(Horaires356731011[[#This Row],[PNP Fin]]-Horaires356731011[[#This Row],[PNP Début]],1))*24</f>
        <v>0</v>
      </c>
      <c r="K25" s="59">
        <f>IF(Horaires356731011[[#This Row],[PNP Début]]=0,0,IF(Horaires356731011[[#This Row],[PNP Début]]&lt;Horaires356731011[[#This Row],[début]],1,0)+Horaires356731011[[#This Row],[PNP Début]])</f>
        <v>0</v>
      </c>
      <c r="L25" s="60">
        <f>IF(Horaires356731011[[#This Row],[PNP Fin]]=0,0,IF(Horaires356731011[[#This Row],[PNP Fin]]&lt;Horaires356731011[[#This Row],[début]],1,0)+Horaires356731011[[#This Row],[PNP Fin]])</f>
        <v>0</v>
      </c>
      <c r="M25" s="60">
        <f>IF(Horaires356731011[[#This Row],[Fin]]&lt;Horaires356731011[[#This Row],[début]],1,0)+Horaires356731011[[#This Row],[Fin]]</f>
        <v>0</v>
      </c>
      <c r="N25" s="61">
        <f>MAX(0,MIN(Horaires356731011[[#This Row],[Fin corrigée si nuit]],fin_nuit)-MAX(Horaires356731011[[#This Row],[début]],deb_nuit))*24</f>
        <v>0</v>
      </c>
      <c r="O25" s="62">
        <f>(MAX(0,MIN(Horaires356731011[[#This Row],[Fin corrigée si nuit]],fin_nuit)-MAX(Horaires356731011[[#This Row],[début]],deb_nuit))-IF(Horaires356731011[[#This Row],[PNP Début]]=0,0,MIN(Horaires356731011[[#This Row],[PNP Fin corrigée]],fin_nuit)-MAX(Horaires356731011[[#This Row],[PNP Début corrigé]],deb_nuit)))*24</f>
        <v>0</v>
      </c>
      <c r="P25" s="62">
        <f>(IF(WEEKDAY(Horaires356731011[[#This Row],[Date]],2)=7,MAX(0,MIN(fin_dimJF,Horaires356731011[[#This Row],[Fin corrigée si nuit]])-MAX(deb_dimJF,Horaires356731011[[#This Row],[début]])),0)+IF(WEEKDAY(Horaires356731011[[#This Row],[Date]],2)=6,MAX(0,Horaires356731011[[#This Row],[Fin corrigée si nuit]]-(1+deb_dimJF)),0))*24</f>
        <v>0</v>
      </c>
      <c r="Q25"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5" s="62">
        <f>(IF(COUNTIF(JF,Horaires356731011[[#This Row],[Date]]),MAX(0,MIN(fin_dimJF,Horaires356731011[[#This Row],[Fin corrigée si nuit]])-MAX(deb_dimJF,Horaires356731011[[#This Row],[début]])),0)+IF(COUNTIF(JF,Horaires356731011[[#This Row],[Date]]+1),MAX(0,Horaires356731011[[#This Row],[Fin corrigée si nuit]]-(1+deb_dimJF)),0))*24</f>
        <v>0</v>
      </c>
      <c r="S25"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6" spans="1:19" ht="21" customHeight="1" x14ac:dyDescent="0.35">
      <c r="A26" s="9"/>
      <c r="B26" s="1"/>
      <c r="C26" s="2"/>
      <c r="D26" s="2"/>
      <c r="E26" s="3"/>
      <c r="F26" s="3"/>
      <c r="G26" s="3"/>
      <c r="H26" s="3"/>
      <c r="I26" s="57">
        <f>0.1*(Horaires356731011[[#This Row],[Heures de nuit]]+Horaires356731011[[#This Row],[heures jour dimanche]]+Horaires356731011[[#This Row],[heures jour fériés]])</f>
        <v>0</v>
      </c>
      <c r="J26" s="58">
        <f>(MOD(Horaires356731011[[#This Row],[Fin]]-Horaires356731011[[#This Row],[début]],1)-MOD(Horaires356731011[[#This Row],[PNP Fin]]-Horaires356731011[[#This Row],[PNP Début]],1))*24</f>
        <v>0</v>
      </c>
      <c r="K26" s="59">
        <f>IF(Horaires356731011[[#This Row],[PNP Début]]=0,0,IF(Horaires356731011[[#This Row],[PNP Début]]&lt;Horaires356731011[[#This Row],[début]],1,0)+Horaires356731011[[#This Row],[PNP Début]])</f>
        <v>0</v>
      </c>
      <c r="L26" s="60">
        <f>IF(Horaires356731011[[#This Row],[PNP Fin]]=0,0,IF(Horaires356731011[[#This Row],[PNP Fin]]&lt;Horaires356731011[[#This Row],[début]],1,0)+Horaires356731011[[#This Row],[PNP Fin]])</f>
        <v>0</v>
      </c>
      <c r="M26" s="60">
        <f>IF(Horaires356731011[[#This Row],[Fin]]&lt;Horaires356731011[[#This Row],[début]],1,0)+Horaires356731011[[#This Row],[Fin]]</f>
        <v>0</v>
      </c>
      <c r="N26" s="61">
        <f>MAX(0,MIN(Horaires356731011[[#This Row],[Fin corrigée si nuit]],fin_nuit)-MAX(Horaires356731011[[#This Row],[début]],deb_nuit))*24</f>
        <v>0</v>
      </c>
      <c r="O26" s="62">
        <f>(MAX(0,MIN(Horaires356731011[[#This Row],[Fin corrigée si nuit]],fin_nuit)-MAX(Horaires356731011[[#This Row],[début]],deb_nuit))-IF(Horaires356731011[[#This Row],[PNP Début]]=0,0,MIN(Horaires356731011[[#This Row],[PNP Fin corrigée]],fin_nuit)-MAX(Horaires356731011[[#This Row],[PNP Début corrigé]],deb_nuit)))*24</f>
        <v>0</v>
      </c>
      <c r="P26" s="62">
        <f>(IF(WEEKDAY(Horaires356731011[[#This Row],[Date]],2)=7,MAX(0,MIN(fin_dimJF,Horaires356731011[[#This Row],[Fin corrigée si nuit]])-MAX(deb_dimJF,Horaires356731011[[#This Row],[début]])),0)+IF(WEEKDAY(Horaires356731011[[#This Row],[Date]],2)=6,MAX(0,Horaires356731011[[#This Row],[Fin corrigée si nuit]]-(1+deb_dimJF)),0))*24</f>
        <v>0</v>
      </c>
      <c r="Q26"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6" s="62">
        <f>(IF(COUNTIF(JF,Horaires356731011[[#This Row],[Date]]),MAX(0,MIN(fin_dimJF,Horaires356731011[[#This Row],[Fin corrigée si nuit]])-MAX(deb_dimJF,Horaires356731011[[#This Row],[début]])),0)+IF(COUNTIF(JF,Horaires356731011[[#This Row],[Date]]+1),MAX(0,Horaires356731011[[#This Row],[Fin corrigée si nuit]]-(1+deb_dimJF)),0))*24</f>
        <v>0</v>
      </c>
      <c r="S26"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7" spans="1:19" x14ac:dyDescent="0.35">
      <c r="A27" s="9"/>
      <c r="B27" s="1"/>
      <c r="C27" s="2"/>
      <c r="D27" s="2"/>
      <c r="E27" s="3"/>
      <c r="F27" s="3"/>
      <c r="G27" s="3"/>
      <c r="H27" s="3"/>
      <c r="I27" s="57">
        <f>0.1*(Horaires356731011[[#This Row],[Heures de nuit]]+Horaires356731011[[#This Row],[heures jour dimanche]]+Horaires356731011[[#This Row],[heures jour fériés]])</f>
        <v>0</v>
      </c>
      <c r="J27" s="58">
        <f>(MOD(Horaires356731011[[#This Row],[Fin]]-Horaires356731011[[#This Row],[début]],1)-MOD(Horaires356731011[[#This Row],[PNP Fin]]-Horaires356731011[[#This Row],[PNP Début]],1))*24</f>
        <v>0</v>
      </c>
      <c r="K27" s="59">
        <f>IF(Horaires356731011[[#This Row],[PNP Début]]=0,0,IF(Horaires356731011[[#This Row],[PNP Début]]&lt;Horaires356731011[[#This Row],[début]],1,0)+Horaires356731011[[#This Row],[PNP Début]])</f>
        <v>0</v>
      </c>
      <c r="L27" s="60">
        <f>IF(Horaires356731011[[#This Row],[PNP Fin]]=0,0,IF(Horaires356731011[[#This Row],[PNP Fin]]&lt;Horaires356731011[[#This Row],[début]],1,0)+Horaires356731011[[#This Row],[PNP Fin]])</f>
        <v>0</v>
      </c>
      <c r="M27" s="60">
        <f>IF(Horaires356731011[[#This Row],[Fin]]&lt;Horaires356731011[[#This Row],[début]],1,0)+Horaires356731011[[#This Row],[Fin]]</f>
        <v>0</v>
      </c>
      <c r="N27" s="61">
        <f>MAX(0,MIN(Horaires356731011[[#This Row],[Fin corrigée si nuit]],fin_nuit)-MAX(Horaires356731011[[#This Row],[début]],deb_nuit))*24</f>
        <v>0</v>
      </c>
      <c r="O27" s="62">
        <f>(MAX(0,MIN(Horaires356731011[[#This Row],[Fin corrigée si nuit]],fin_nuit)-MAX(Horaires356731011[[#This Row],[début]],deb_nuit))-IF(Horaires356731011[[#This Row],[PNP Début]]=0,0,MIN(Horaires356731011[[#This Row],[PNP Fin corrigée]],fin_nuit)-MAX(Horaires356731011[[#This Row],[PNP Début corrigé]],deb_nuit)))*24</f>
        <v>0</v>
      </c>
      <c r="P27" s="62">
        <f>(IF(WEEKDAY(Horaires356731011[[#This Row],[Date]],2)=7,MAX(0,MIN(fin_dimJF,Horaires356731011[[#This Row],[Fin corrigée si nuit]])-MAX(deb_dimJF,Horaires356731011[[#This Row],[début]])),0)+IF(WEEKDAY(Horaires356731011[[#This Row],[Date]],2)=6,MAX(0,Horaires356731011[[#This Row],[Fin corrigée si nuit]]-(1+deb_dimJF)),0))*24</f>
        <v>0</v>
      </c>
      <c r="Q27"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7" s="62">
        <f>(IF(COUNTIF(JF,Horaires356731011[[#This Row],[Date]]),MAX(0,MIN(fin_dimJF,Horaires356731011[[#This Row],[Fin corrigée si nuit]])-MAX(deb_dimJF,Horaires356731011[[#This Row],[début]])),0)+IF(COUNTIF(JF,Horaires356731011[[#This Row],[Date]]+1),MAX(0,Horaires356731011[[#This Row],[Fin corrigée si nuit]]-(1+deb_dimJF)),0))*24</f>
        <v>0</v>
      </c>
      <c r="S27"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8" spans="1:19" x14ac:dyDescent="0.35">
      <c r="A28" s="9"/>
      <c r="B28" s="1"/>
      <c r="C28" s="2"/>
      <c r="D28" s="2"/>
      <c r="E28" s="3"/>
      <c r="F28" s="3"/>
      <c r="G28" s="3"/>
      <c r="H28" s="3"/>
      <c r="I28" s="57">
        <f>0.1*(Horaires356731011[[#This Row],[Heures de nuit]]+Horaires356731011[[#This Row],[heures jour dimanche]]+Horaires356731011[[#This Row],[heures jour fériés]])</f>
        <v>0</v>
      </c>
      <c r="J28" s="58">
        <f>(MOD(Horaires356731011[[#This Row],[Fin]]-Horaires356731011[[#This Row],[début]],1)-MOD(Horaires356731011[[#This Row],[PNP Fin]]-Horaires356731011[[#This Row],[PNP Début]],1))*24</f>
        <v>0</v>
      </c>
      <c r="K28" s="59">
        <f>IF(Horaires356731011[[#This Row],[PNP Début]]=0,0,IF(Horaires356731011[[#This Row],[PNP Début]]&lt;Horaires356731011[[#This Row],[début]],1,0)+Horaires356731011[[#This Row],[PNP Début]])</f>
        <v>0</v>
      </c>
      <c r="L28" s="60">
        <f>IF(Horaires356731011[[#This Row],[PNP Fin]]=0,0,IF(Horaires356731011[[#This Row],[PNP Fin]]&lt;Horaires356731011[[#This Row],[début]],1,0)+Horaires356731011[[#This Row],[PNP Fin]])</f>
        <v>0</v>
      </c>
      <c r="M28" s="60">
        <f>IF(Horaires356731011[[#This Row],[Fin]]&lt;Horaires356731011[[#This Row],[début]],1,0)+Horaires356731011[[#This Row],[Fin]]</f>
        <v>0</v>
      </c>
      <c r="N28" s="61">
        <f>MAX(0,MIN(Horaires356731011[[#This Row],[Fin corrigée si nuit]],fin_nuit)-MAX(Horaires356731011[[#This Row],[début]],deb_nuit))*24</f>
        <v>0</v>
      </c>
      <c r="O28" s="62">
        <f>(MAX(0,MIN(Horaires356731011[[#This Row],[Fin corrigée si nuit]],fin_nuit)-MAX(Horaires356731011[[#This Row],[début]],deb_nuit))-IF(Horaires356731011[[#This Row],[PNP Début]]=0,0,MIN(Horaires356731011[[#This Row],[PNP Fin corrigée]],fin_nuit)-MAX(Horaires356731011[[#This Row],[PNP Début corrigé]],deb_nuit)))*24</f>
        <v>0</v>
      </c>
      <c r="P28" s="62">
        <f>(IF(WEEKDAY(Horaires356731011[[#This Row],[Date]],2)=7,MAX(0,MIN(fin_dimJF,Horaires356731011[[#This Row],[Fin corrigée si nuit]])-MAX(deb_dimJF,Horaires356731011[[#This Row],[début]])),0)+IF(WEEKDAY(Horaires356731011[[#This Row],[Date]],2)=6,MAX(0,Horaires356731011[[#This Row],[Fin corrigée si nuit]]-(1+deb_dimJF)),0))*24</f>
        <v>0</v>
      </c>
      <c r="Q28"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8" s="62">
        <f>(IF(COUNTIF(JF,Horaires356731011[[#This Row],[Date]]),MAX(0,MIN(fin_dimJF,Horaires356731011[[#This Row],[Fin corrigée si nuit]])-MAX(deb_dimJF,Horaires356731011[[#This Row],[début]])),0)+IF(COUNTIF(JF,Horaires356731011[[#This Row],[Date]]+1),MAX(0,Horaires356731011[[#This Row],[Fin corrigée si nuit]]-(1+deb_dimJF)),0))*24</f>
        <v>0</v>
      </c>
      <c r="S28"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29" spans="1:19" x14ac:dyDescent="0.35">
      <c r="A29" s="9"/>
      <c r="B29" s="1"/>
      <c r="C29" s="2"/>
      <c r="D29" s="2"/>
      <c r="E29" s="3"/>
      <c r="F29" s="3"/>
      <c r="G29" s="3"/>
      <c r="H29" s="3"/>
      <c r="I29" s="57">
        <f>0.1*(Horaires356731011[[#This Row],[Heures de nuit]]+Horaires356731011[[#This Row],[heures jour dimanche]]+Horaires356731011[[#This Row],[heures jour fériés]])</f>
        <v>0</v>
      </c>
      <c r="J29" s="58">
        <f>(MOD(Horaires356731011[[#This Row],[Fin]]-Horaires356731011[[#This Row],[début]],1)-MOD(Horaires356731011[[#This Row],[PNP Fin]]-Horaires356731011[[#This Row],[PNP Début]],1))*24</f>
        <v>0</v>
      </c>
      <c r="K29" s="59">
        <f>IF(Horaires356731011[[#This Row],[PNP Début]]=0,0,IF(Horaires356731011[[#This Row],[PNP Début]]&lt;Horaires356731011[[#This Row],[début]],1,0)+Horaires356731011[[#This Row],[PNP Début]])</f>
        <v>0</v>
      </c>
      <c r="L29" s="60">
        <f>IF(Horaires356731011[[#This Row],[PNP Fin]]=0,0,IF(Horaires356731011[[#This Row],[PNP Fin]]&lt;Horaires356731011[[#This Row],[début]],1,0)+Horaires356731011[[#This Row],[PNP Fin]])</f>
        <v>0</v>
      </c>
      <c r="M29" s="60">
        <f>IF(Horaires356731011[[#This Row],[Fin]]&lt;Horaires356731011[[#This Row],[début]],1,0)+Horaires356731011[[#This Row],[Fin]]</f>
        <v>0</v>
      </c>
      <c r="N29" s="61">
        <f>MAX(0,MIN(Horaires356731011[[#This Row],[Fin corrigée si nuit]],fin_nuit)-MAX(Horaires356731011[[#This Row],[début]],deb_nuit))*24</f>
        <v>0</v>
      </c>
      <c r="O29" s="62">
        <f>(MAX(0,MIN(Horaires356731011[[#This Row],[Fin corrigée si nuit]],fin_nuit)-MAX(Horaires356731011[[#This Row],[début]],deb_nuit))-IF(Horaires356731011[[#This Row],[PNP Début]]=0,0,MIN(Horaires356731011[[#This Row],[PNP Fin corrigée]],fin_nuit)-MAX(Horaires356731011[[#This Row],[PNP Début corrigé]],deb_nuit)))*24</f>
        <v>0</v>
      </c>
      <c r="P29" s="62">
        <f>(IF(WEEKDAY(Horaires356731011[[#This Row],[Date]],2)=7,MAX(0,MIN(fin_dimJF,Horaires356731011[[#This Row],[Fin corrigée si nuit]])-MAX(deb_dimJF,Horaires356731011[[#This Row],[début]])),0)+IF(WEEKDAY(Horaires356731011[[#This Row],[Date]],2)=6,MAX(0,Horaires356731011[[#This Row],[Fin corrigée si nuit]]-(1+deb_dimJF)),0))*24</f>
        <v>0</v>
      </c>
      <c r="Q29"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29" s="62">
        <f>(IF(COUNTIF(JF,Horaires356731011[[#This Row],[Date]]),MAX(0,MIN(fin_dimJF,Horaires356731011[[#This Row],[Fin corrigée si nuit]])-MAX(deb_dimJF,Horaires356731011[[#This Row],[début]])),0)+IF(COUNTIF(JF,Horaires356731011[[#This Row],[Date]]+1),MAX(0,Horaires356731011[[#This Row],[Fin corrigée si nuit]]-(1+deb_dimJF)),0))*24</f>
        <v>0</v>
      </c>
      <c r="S29"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0" spans="1:19" x14ac:dyDescent="0.35">
      <c r="A30" s="9"/>
      <c r="B30" s="1"/>
      <c r="C30" s="2"/>
      <c r="D30" s="2"/>
      <c r="E30" s="3"/>
      <c r="F30" s="3"/>
      <c r="G30" s="3"/>
      <c r="H30" s="3"/>
      <c r="I30" s="57">
        <f>0.1*(Horaires356731011[[#This Row],[Heures de nuit]]+Horaires356731011[[#This Row],[heures jour dimanche]]+Horaires356731011[[#This Row],[heures jour fériés]])</f>
        <v>0</v>
      </c>
      <c r="J30" s="58">
        <f>(MOD(Horaires356731011[[#This Row],[Fin]]-Horaires356731011[[#This Row],[début]],1)-MOD(Horaires356731011[[#This Row],[PNP Fin]]-Horaires356731011[[#This Row],[PNP Début]],1))*24</f>
        <v>0</v>
      </c>
      <c r="K30" s="59">
        <f>IF(Horaires356731011[[#This Row],[PNP Début]]=0,0,IF(Horaires356731011[[#This Row],[PNP Début]]&lt;Horaires356731011[[#This Row],[début]],1,0)+Horaires356731011[[#This Row],[PNP Début]])</f>
        <v>0</v>
      </c>
      <c r="L30" s="60">
        <f>IF(Horaires356731011[[#This Row],[PNP Fin]]=0,0,IF(Horaires356731011[[#This Row],[PNP Fin]]&lt;Horaires356731011[[#This Row],[début]],1,0)+Horaires356731011[[#This Row],[PNP Fin]])</f>
        <v>0</v>
      </c>
      <c r="M30" s="60">
        <f>IF(Horaires356731011[[#This Row],[Fin]]&lt;Horaires356731011[[#This Row],[début]],1,0)+Horaires356731011[[#This Row],[Fin]]</f>
        <v>0</v>
      </c>
      <c r="N30" s="61">
        <f>MAX(0,MIN(Horaires356731011[[#This Row],[Fin corrigée si nuit]],fin_nuit)-MAX(Horaires356731011[[#This Row],[début]],deb_nuit))*24</f>
        <v>0</v>
      </c>
      <c r="O30" s="62">
        <f>(MAX(0,MIN(Horaires356731011[[#This Row],[Fin corrigée si nuit]],fin_nuit)-MAX(Horaires356731011[[#This Row],[début]],deb_nuit))-IF(Horaires356731011[[#This Row],[PNP Début]]=0,0,MIN(Horaires356731011[[#This Row],[PNP Fin corrigée]],fin_nuit)-MAX(Horaires356731011[[#This Row],[PNP Début corrigé]],deb_nuit)))*24</f>
        <v>0</v>
      </c>
      <c r="P30" s="62">
        <f>(IF(WEEKDAY(Horaires356731011[[#This Row],[Date]],2)=7,MAX(0,MIN(fin_dimJF,Horaires356731011[[#This Row],[Fin corrigée si nuit]])-MAX(deb_dimJF,Horaires356731011[[#This Row],[début]])),0)+IF(WEEKDAY(Horaires356731011[[#This Row],[Date]],2)=6,MAX(0,Horaires356731011[[#This Row],[Fin corrigée si nuit]]-(1+deb_dimJF)),0))*24</f>
        <v>0</v>
      </c>
      <c r="Q30"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0" s="62">
        <f>(IF(COUNTIF(JF,Horaires356731011[[#This Row],[Date]]),MAX(0,MIN(fin_dimJF,Horaires356731011[[#This Row],[Fin corrigée si nuit]])-MAX(deb_dimJF,Horaires356731011[[#This Row],[début]])),0)+IF(COUNTIF(JF,Horaires356731011[[#This Row],[Date]]+1),MAX(0,Horaires356731011[[#This Row],[Fin corrigée si nuit]]-(1+deb_dimJF)),0))*24</f>
        <v>0</v>
      </c>
      <c r="S30"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1" spans="1:19" x14ac:dyDescent="0.35">
      <c r="A31" s="9"/>
      <c r="B31" s="1"/>
      <c r="C31" s="2"/>
      <c r="D31" s="2"/>
      <c r="E31" s="3"/>
      <c r="F31" s="3"/>
      <c r="G31" s="3"/>
      <c r="H31" s="3"/>
      <c r="I31" s="57">
        <f>0.1*(Horaires356731011[[#This Row],[Heures de nuit]]+Horaires356731011[[#This Row],[heures jour dimanche]]+Horaires356731011[[#This Row],[heures jour fériés]])</f>
        <v>0</v>
      </c>
      <c r="J31" s="58">
        <f>(MOD(Horaires356731011[[#This Row],[Fin]]-Horaires356731011[[#This Row],[début]],1)-MOD(Horaires356731011[[#This Row],[PNP Fin]]-Horaires356731011[[#This Row],[PNP Début]],1))*24</f>
        <v>0</v>
      </c>
      <c r="K31" s="59">
        <f>IF(Horaires356731011[[#This Row],[PNP Début]]=0,0,IF(Horaires356731011[[#This Row],[PNP Début]]&lt;Horaires356731011[[#This Row],[début]],1,0)+Horaires356731011[[#This Row],[PNP Début]])</f>
        <v>0</v>
      </c>
      <c r="L31" s="60">
        <f>IF(Horaires356731011[[#This Row],[PNP Fin]]=0,0,IF(Horaires356731011[[#This Row],[PNP Fin]]&lt;Horaires356731011[[#This Row],[début]],1,0)+Horaires356731011[[#This Row],[PNP Fin]])</f>
        <v>0</v>
      </c>
      <c r="M31" s="60">
        <f>IF(Horaires356731011[[#This Row],[Fin]]&lt;Horaires356731011[[#This Row],[début]],1,0)+Horaires356731011[[#This Row],[Fin]]</f>
        <v>0</v>
      </c>
      <c r="N31" s="61">
        <f>MAX(0,MIN(Horaires356731011[[#This Row],[Fin corrigée si nuit]],fin_nuit)-MAX(Horaires356731011[[#This Row],[début]],deb_nuit))*24</f>
        <v>0</v>
      </c>
      <c r="O31" s="62">
        <f>(MAX(0,MIN(Horaires356731011[[#This Row],[Fin corrigée si nuit]],fin_nuit)-MAX(Horaires356731011[[#This Row],[début]],deb_nuit))-IF(Horaires356731011[[#This Row],[PNP Début]]=0,0,MIN(Horaires356731011[[#This Row],[PNP Fin corrigée]],fin_nuit)-MAX(Horaires356731011[[#This Row],[PNP Début corrigé]],deb_nuit)))*24</f>
        <v>0</v>
      </c>
      <c r="P31" s="62">
        <f>(IF(WEEKDAY(Horaires356731011[[#This Row],[Date]],2)=7,MAX(0,MIN(fin_dimJF,Horaires356731011[[#This Row],[Fin corrigée si nuit]])-MAX(deb_dimJF,Horaires356731011[[#This Row],[début]])),0)+IF(WEEKDAY(Horaires356731011[[#This Row],[Date]],2)=6,MAX(0,Horaires356731011[[#This Row],[Fin corrigée si nuit]]-(1+deb_dimJF)),0))*24</f>
        <v>0</v>
      </c>
      <c r="Q31"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1" s="62">
        <f>(IF(COUNTIF(JF,Horaires356731011[[#This Row],[Date]]),MAX(0,MIN(fin_dimJF,Horaires356731011[[#This Row],[Fin corrigée si nuit]])-MAX(deb_dimJF,Horaires356731011[[#This Row],[début]])),0)+IF(COUNTIF(JF,Horaires356731011[[#This Row],[Date]]+1),MAX(0,Horaires356731011[[#This Row],[Fin corrigée si nuit]]-(1+deb_dimJF)),0))*24</f>
        <v>0</v>
      </c>
      <c r="S31"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2" spans="1:19" ht="14.5" customHeight="1" x14ac:dyDescent="0.35">
      <c r="A32" s="9"/>
      <c r="B32" s="1"/>
      <c r="C32" s="2"/>
      <c r="D32" s="2"/>
      <c r="E32" s="3"/>
      <c r="F32" s="3"/>
      <c r="G32" s="3"/>
      <c r="H32" s="3"/>
      <c r="I32" s="57">
        <f>0.1*(Horaires356731011[[#This Row],[Heures de nuit]]+Horaires356731011[[#This Row],[heures jour dimanche]]+Horaires356731011[[#This Row],[heures jour fériés]])</f>
        <v>0</v>
      </c>
      <c r="J32" s="58">
        <f>(MOD(Horaires356731011[[#This Row],[Fin]]-Horaires356731011[[#This Row],[début]],1)-MOD(Horaires356731011[[#This Row],[PNP Fin]]-Horaires356731011[[#This Row],[PNP Début]],1))*24</f>
        <v>0</v>
      </c>
      <c r="K32" s="59">
        <f>IF(Horaires356731011[[#This Row],[PNP Début]]=0,0,IF(Horaires356731011[[#This Row],[PNP Début]]&lt;Horaires356731011[[#This Row],[début]],1,0)+Horaires356731011[[#This Row],[PNP Début]])</f>
        <v>0</v>
      </c>
      <c r="L32" s="60">
        <f>IF(Horaires356731011[[#This Row],[PNP Fin]]=0,0,IF(Horaires356731011[[#This Row],[PNP Fin]]&lt;Horaires356731011[[#This Row],[début]],1,0)+Horaires356731011[[#This Row],[PNP Fin]])</f>
        <v>0</v>
      </c>
      <c r="M32" s="60">
        <f>IF(Horaires356731011[[#This Row],[Fin]]&lt;Horaires356731011[[#This Row],[début]],1,0)+Horaires356731011[[#This Row],[Fin]]</f>
        <v>0</v>
      </c>
      <c r="N32" s="61">
        <f>MAX(0,MIN(Horaires356731011[[#This Row],[Fin corrigée si nuit]],fin_nuit)-MAX(Horaires356731011[[#This Row],[début]],deb_nuit))*24</f>
        <v>0</v>
      </c>
      <c r="O32" s="62">
        <f>(MAX(0,MIN(Horaires356731011[[#This Row],[Fin corrigée si nuit]],fin_nuit)-MAX(Horaires356731011[[#This Row],[début]],deb_nuit))-IF(Horaires356731011[[#This Row],[PNP Début]]=0,0,MIN(Horaires356731011[[#This Row],[PNP Fin corrigée]],fin_nuit)-MAX(Horaires356731011[[#This Row],[PNP Début corrigé]],deb_nuit)))*24</f>
        <v>0</v>
      </c>
      <c r="P32" s="62">
        <f>(IF(WEEKDAY(Horaires356731011[[#This Row],[Date]],2)=7,MAX(0,MIN(fin_dimJF,Horaires356731011[[#This Row],[Fin corrigée si nuit]])-MAX(deb_dimJF,Horaires356731011[[#This Row],[début]])),0)+IF(WEEKDAY(Horaires356731011[[#This Row],[Date]],2)=6,MAX(0,Horaires356731011[[#This Row],[Fin corrigée si nuit]]-(1+deb_dimJF)),0))*24</f>
        <v>0</v>
      </c>
      <c r="Q32"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2" s="62">
        <f>(IF(COUNTIF(JF,Horaires356731011[[#This Row],[Date]]),MAX(0,MIN(fin_dimJF,Horaires356731011[[#This Row],[Fin corrigée si nuit]])-MAX(deb_dimJF,Horaires356731011[[#This Row],[début]])),0)+IF(COUNTIF(JF,Horaires356731011[[#This Row],[Date]]+1),MAX(0,Horaires356731011[[#This Row],[Fin corrigée si nuit]]-(1+deb_dimJF)),0))*24</f>
        <v>0</v>
      </c>
      <c r="S32"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3" spans="1:19" x14ac:dyDescent="0.35">
      <c r="A33" s="9"/>
      <c r="B33" s="1"/>
      <c r="C33" s="2"/>
      <c r="D33" s="2"/>
      <c r="E33" s="3"/>
      <c r="F33" s="3"/>
      <c r="G33" s="3"/>
      <c r="H33" s="3"/>
      <c r="I33" s="57">
        <f>0.1*(Horaires356731011[[#This Row],[Heures de nuit]]+Horaires356731011[[#This Row],[heures jour dimanche]]+Horaires356731011[[#This Row],[heures jour fériés]])</f>
        <v>0</v>
      </c>
      <c r="J33" s="58">
        <f>(MOD(Horaires356731011[[#This Row],[Fin]]-Horaires356731011[[#This Row],[début]],1)-MOD(Horaires356731011[[#This Row],[PNP Fin]]-Horaires356731011[[#This Row],[PNP Début]],1))*24</f>
        <v>0</v>
      </c>
      <c r="K33" s="59">
        <f>IF(Horaires356731011[[#This Row],[PNP Début]]=0,0,IF(Horaires356731011[[#This Row],[PNP Début]]&lt;Horaires356731011[[#This Row],[début]],1,0)+Horaires356731011[[#This Row],[PNP Début]])</f>
        <v>0</v>
      </c>
      <c r="L33" s="60">
        <f>IF(Horaires356731011[[#This Row],[PNP Fin]]=0,0,IF(Horaires356731011[[#This Row],[PNP Fin]]&lt;Horaires356731011[[#This Row],[début]],1,0)+Horaires356731011[[#This Row],[PNP Fin]])</f>
        <v>0</v>
      </c>
      <c r="M33" s="60">
        <f>IF(Horaires356731011[[#This Row],[Fin]]&lt;Horaires356731011[[#This Row],[début]],1,0)+Horaires356731011[[#This Row],[Fin]]</f>
        <v>0</v>
      </c>
      <c r="N33" s="61">
        <f>MAX(0,MIN(Horaires356731011[[#This Row],[Fin corrigée si nuit]],fin_nuit)-MAX(Horaires356731011[[#This Row],[début]],deb_nuit))*24</f>
        <v>0</v>
      </c>
      <c r="O33" s="62">
        <f>(MAX(0,MIN(Horaires356731011[[#This Row],[Fin corrigée si nuit]],fin_nuit)-MAX(Horaires356731011[[#This Row],[début]],deb_nuit))-IF(Horaires356731011[[#This Row],[PNP Début]]=0,0,MIN(Horaires356731011[[#This Row],[PNP Fin corrigée]],fin_nuit)-MAX(Horaires356731011[[#This Row],[PNP Début corrigé]],deb_nuit)))*24</f>
        <v>0</v>
      </c>
      <c r="P33" s="62">
        <f>(IF(WEEKDAY(Horaires356731011[[#This Row],[Date]],2)=7,MAX(0,MIN(fin_dimJF,Horaires356731011[[#This Row],[Fin corrigée si nuit]])-MAX(deb_dimJF,Horaires356731011[[#This Row],[début]])),0)+IF(WEEKDAY(Horaires356731011[[#This Row],[Date]],2)=6,MAX(0,Horaires356731011[[#This Row],[Fin corrigée si nuit]]-(1+deb_dimJF)),0))*24</f>
        <v>0</v>
      </c>
      <c r="Q33"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3" s="62">
        <f>(IF(COUNTIF(JF,Horaires356731011[[#This Row],[Date]]),MAX(0,MIN(fin_dimJF,Horaires356731011[[#This Row],[Fin corrigée si nuit]])-MAX(deb_dimJF,Horaires356731011[[#This Row],[début]])),0)+IF(COUNTIF(JF,Horaires356731011[[#This Row],[Date]]+1),MAX(0,Horaires356731011[[#This Row],[Fin corrigée si nuit]]-(1+deb_dimJF)),0))*24</f>
        <v>0</v>
      </c>
      <c r="S33"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4" spans="1:19" x14ac:dyDescent="0.35">
      <c r="A34" s="9"/>
      <c r="B34" s="1"/>
      <c r="C34" s="2"/>
      <c r="D34" s="2"/>
      <c r="E34" s="3"/>
      <c r="F34" s="3"/>
      <c r="G34" s="3"/>
      <c r="H34" s="3"/>
      <c r="I34" s="57">
        <f>0.1*(Horaires356731011[[#This Row],[Heures de nuit]]+Horaires356731011[[#This Row],[heures jour dimanche]]+Horaires356731011[[#This Row],[heures jour fériés]])</f>
        <v>0</v>
      </c>
      <c r="J34" s="58">
        <f>(MOD(Horaires356731011[[#This Row],[Fin]]-Horaires356731011[[#This Row],[début]],1)-MOD(Horaires356731011[[#This Row],[PNP Fin]]-Horaires356731011[[#This Row],[PNP Début]],1))*24</f>
        <v>0</v>
      </c>
      <c r="K34" s="59">
        <f>IF(Horaires356731011[[#This Row],[PNP Début]]=0,0,IF(Horaires356731011[[#This Row],[PNP Début]]&lt;Horaires356731011[[#This Row],[début]],1,0)+Horaires356731011[[#This Row],[PNP Début]])</f>
        <v>0</v>
      </c>
      <c r="L34" s="60">
        <f>IF(Horaires356731011[[#This Row],[PNP Fin]]=0,0,IF(Horaires356731011[[#This Row],[PNP Fin]]&lt;Horaires356731011[[#This Row],[début]],1,0)+Horaires356731011[[#This Row],[PNP Fin]])</f>
        <v>0</v>
      </c>
      <c r="M34" s="60">
        <f>IF(Horaires356731011[[#This Row],[Fin]]&lt;Horaires356731011[[#This Row],[début]],1,0)+Horaires356731011[[#This Row],[Fin]]</f>
        <v>0</v>
      </c>
      <c r="N34" s="61">
        <f>MAX(0,MIN(Horaires356731011[[#This Row],[Fin corrigée si nuit]],fin_nuit)-MAX(Horaires356731011[[#This Row],[début]],deb_nuit))*24</f>
        <v>0</v>
      </c>
      <c r="O34" s="62">
        <f>(MAX(0,MIN(Horaires356731011[[#This Row],[Fin corrigée si nuit]],fin_nuit)-MAX(Horaires356731011[[#This Row],[début]],deb_nuit))-IF(Horaires356731011[[#This Row],[PNP Début]]=0,0,MIN(Horaires356731011[[#This Row],[PNP Fin corrigée]],fin_nuit)-MAX(Horaires356731011[[#This Row],[PNP Début corrigé]],deb_nuit)))*24</f>
        <v>0</v>
      </c>
      <c r="P34" s="62">
        <f>(IF(WEEKDAY(Horaires356731011[[#This Row],[Date]],2)=7,MAX(0,MIN(fin_dimJF,Horaires356731011[[#This Row],[Fin corrigée si nuit]])-MAX(deb_dimJF,Horaires356731011[[#This Row],[début]])),0)+IF(WEEKDAY(Horaires356731011[[#This Row],[Date]],2)=6,MAX(0,Horaires356731011[[#This Row],[Fin corrigée si nuit]]-(1+deb_dimJF)),0))*24</f>
        <v>0</v>
      </c>
      <c r="Q34"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4" s="62">
        <f>(IF(COUNTIF(JF,Horaires356731011[[#This Row],[Date]]),MAX(0,MIN(fin_dimJF,Horaires356731011[[#This Row],[Fin corrigée si nuit]])-MAX(deb_dimJF,Horaires356731011[[#This Row],[début]])),0)+IF(COUNTIF(JF,Horaires356731011[[#This Row],[Date]]+1),MAX(0,Horaires356731011[[#This Row],[Fin corrigée si nuit]]-(1+deb_dimJF)),0))*24</f>
        <v>0</v>
      </c>
      <c r="S34"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5" spans="1:19" x14ac:dyDescent="0.35">
      <c r="A35" s="9"/>
      <c r="B35" s="1"/>
      <c r="C35" s="2"/>
      <c r="D35" s="2"/>
      <c r="E35" s="3"/>
      <c r="F35" s="3"/>
      <c r="G35" s="3"/>
      <c r="H35" s="3"/>
      <c r="I35" s="57">
        <f>0.1*(Horaires356731011[[#This Row],[Heures de nuit]]+Horaires356731011[[#This Row],[heures jour dimanche]]+Horaires356731011[[#This Row],[heures jour fériés]])</f>
        <v>0</v>
      </c>
      <c r="J35" s="58">
        <f>(MOD(Horaires356731011[[#This Row],[Fin]]-Horaires356731011[[#This Row],[début]],1)-MOD(Horaires356731011[[#This Row],[PNP Fin]]-Horaires356731011[[#This Row],[PNP Début]],1))*24</f>
        <v>0</v>
      </c>
      <c r="K35" s="59">
        <f>IF(Horaires356731011[[#This Row],[PNP Début]]=0,0,IF(Horaires356731011[[#This Row],[PNP Début]]&lt;Horaires356731011[[#This Row],[début]],1,0)+Horaires356731011[[#This Row],[PNP Début]])</f>
        <v>0</v>
      </c>
      <c r="L35" s="60">
        <f>IF(Horaires356731011[[#This Row],[PNP Fin]]=0,0,IF(Horaires356731011[[#This Row],[PNP Fin]]&lt;Horaires356731011[[#This Row],[début]],1,0)+Horaires356731011[[#This Row],[PNP Fin]])</f>
        <v>0</v>
      </c>
      <c r="M35" s="60">
        <f>IF(Horaires356731011[[#This Row],[Fin]]&lt;Horaires356731011[[#This Row],[début]],1,0)+Horaires356731011[[#This Row],[Fin]]</f>
        <v>0</v>
      </c>
      <c r="N35" s="61">
        <f>MAX(0,MIN(Horaires356731011[[#This Row],[Fin corrigée si nuit]],fin_nuit)-MAX(Horaires356731011[[#This Row],[début]],deb_nuit))*24</f>
        <v>0</v>
      </c>
      <c r="O35" s="62">
        <f>(MAX(0,MIN(Horaires356731011[[#This Row],[Fin corrigée si nuit]],fin_nuit)-MAX(Horaires356731011[[#This Row],[début]],deb_nuit))-IF(Horaires356731011[[#This Row],[PNP Début]]=0,0,MIN(Horaires356731011[[#This Row],[PNP Fin corrigée]],fin_nuit)-MAX(Horaires356731011[[#This Row],[PNP Début corrigé]],deb_nuit)))*24</f>
        <v>0</v>
      </c>
      <c r="P35" s="62">
        <f>(IF(WEEKDAY(Horaires356731011[[#This Row],[Date]],2)=7,MAX(0,MIN(fin_dimJF,Horaires356731011[[#This Row],[Fin corrigée si nuit]])-MAX(deb_dimJF,Horaires356731011[[#This Row],[début]])),0)+IF(WEEKDAY(Horaires356731011[[#This Row],[Date]],2)=6,MAX(0,Horaires356731011[[#This Row],[Fin corrigée si nuit]]-(1+deb_dimJF)),0))*24</f>
        <v>0</v>
      </c>
      <c r="Q35"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5" s="62">
        <f>(IF(COUNTIF(JF,Horaires356731011[[#This Row],[Date]]),MAX(0,MIN(fin_dimJF,Horaires356731011[[#This Row],[Fin corrigée si nuit]])-MAX(deb_dimJF,Horaires356731011[[#This Row],[début]])),0)+IF(COUNTIF(JF,Horaires356731011[[#This Row],[Date]]+1),MAX(0,Horaires356731011[[#This Row],[Fin corrigée si nuit]]-(1+deb_dimJF)),0))*24</f>
        <v>0</v>
      </c>
      <c r="S35"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6" spans="1:19" x14ac:dyDescent="0.35">
      <c r="A36" s="9"/>
      <c r="B36" s="1"/>
      <c r="C36" s="2"/>
      <c r="D36" s="2"/>
      <c r="E36" s="3"/>
      <c r="F36" s="3"/>
      <c r="G36" s="3"/>
      <c r="H36" s="3"/>
      <c r="I36" s="57">
        <f>0.1*(Horaires356731011[[#This Row],[Heures de nuit]]+Horaires356731011[[#This Row],[heures jour dimanche]]+Horaires356731011[[#This Row],[heures jour fériés]])</f>
        <v>0</v>
      </c>
      <c r="J36" s="58">
        <f>(MOD(Horaires356731011[[#This Row],[Fin]]-Horaires356731011[[#This Row],[début]],1)-MOD(Horaires356731011[[#This Row],[PNP Fin]]-Horaires356731011[[#This Row],[PNP Début]],1))*24</f>
        <v>0</v>
      </c>
      <c r="K36" s="59">
        <f>IF(Horaires356731011[[#This Row],[PNP Début]]=0,0,IF(Horaires356731011[[#This Row],[PNP Début]]&lt;Horaires356731011[[#This Row],[début]],1,0)+Horaires356731011[[#This Row],[PNP Début]])</f>
        <v>0</v>
      </c>
      <c r="L36" s="60">
        <f>IF(Horaires356731011[[#This Row],[PNP Fin]]=0,0,IF(Horaires356731011[[#This Row],[PNP Fin]]&lt;Horaires356731011[[#This Row],[début]],1,0)+Horaires356731011[[#This Row],[PNP Fin]])</f>
        <v>0</v>
      </c>
      <c r="M36" s="60">
        <f>IF(Horaires356731011[[#This Row],[Fin]]&lt;Horaires356731011[[#This Row],[début]],1,0)+Horaires356731011[[#This Row],[Fin]]</f>
        <v>0</v>
      </c>
      <c r="N36" s="61">
        <f>MAX(0,MIN(Horaires356731011[[#This Row],[Fin corrigée si nuit]],fin_nuit)-MAX(Horaires356731011[[#This Row],[début]],deb_nuit))*24</f>
        <v>0</v>
      </c>
      <c r="O36" s="62">
        <f>(MAX(0,MIN(Horaires356731011[[#This Row],[Fin corrigée si nuit]],fin_nuit)-MAX(Horaires356731011[[#This Row],[début]],deb_nuit))-IF(Horaires356731011[[#This Row],[PNP Début]]=0,0,MIN(Horaires356731011[[#This Row],[PNP Fin corrigée]],fin_nuit)-MAX(Horaires356731011[[#This Row],[PNP Début corrigé]],deb_nuit)))*24</f>
        <v>0</v>
      </c>
      <c r="P36" s="62">
        <f>(IF(WEEKDAY(Horaires356731011[[#This Row],[Date]],2)=7,MAX(0,MIN(fin_dimJF,Horaires356731011[[#This Row],[Fin corrigée si nuit]])-MAX(deb_dimJF,Horaires356731011[[#This Row],[début]])),0)+IF(WEEKDAY(Horaires356731011[[#This Row],[Date]],2)=6,MAX(0,Horaires356731011[[#This Row],[Fin corrigée si nuit]]-(1+deb_dimJF)),0))*24</f>
        <v>0</v>
      </c>
      <c r="Q36"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6" s="62">
        <f>(IF(COUNTIF(JF,Horaires356731011[[#This Row],[Date]]),MAX(0,MIN(fin_dimJF,Horaires356731011[[#This Row],[Fin corrigée si nuit]])-MAX(deb_dimJF,Horaires356731011[[#This Row],[début]])),0)+IF(COUNTIF(JF,Horaires356731011[[#This Row],[Date]]+1),MAX(0,Horaires356731011[[#This Row],[Fin corrigée si nuit]]-(1+deb_dimJF)),0))*24</f>
        <v>0</v>
      </c>
      <c r="S36"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7" spans="1:19" x14ac:dyDescent="0.35">
      <c r="A37" s="9"/>
      <c r="B37" s="1"/>
      <c r="C37" s="2"/>
      <c r="D37" s="2"/>
      <c r="E37" s="3"/>
      <c r="F37" s="3"/>
      <c r="G37" s="3"/>
      <c r="H37" s="3"/>
      <c r="I37" s="57">
        <f>0.1*(Horaires356731011[[#This Row],[Heures de nuit]]+Horaires356731011[[#This Row],[heures jour dimanche]]+Horaires356731011[[#This Row],[heures jour fériés]])</f>
        <v>0</v>
      </c>
      <c r="J37" s="58">
        <f>(MOD(Horaires356731011[[#This Row],[Fin]]-Horaires356731011[[#This Row],[début]],1)-MOD(Horaires356731011[[#This Row],[PNP Fin]]-Horaires356731011[[#This Row],[PNP Début]],1))*24</f>
        <v>0</v>
      </c>
      <c r="K37" s="59">
        <f>IF(Horaires356731011[[#This Row],[PNP Début]]=0,0,IF(Horaires356731011[[#This Row],[PNP Début]]&lt;Horaires356731011[[#This Row],[début]],1,0)+Horaires356731011[[#This Row],[PNP Début]])</f>
        <v>0</v>
      </c>
      <c r="L37" s="60">
        <f>IF(Horaires356731011[[#This Row],[PNP Fin]]=0,0,IF(Horaires356731011[[#This Row],[PNP Fin]]&lt;Horaires356731011[[#This Row],[début]],1,0)+Horaires356731011[[#This Row],[PNP Fin]])</f>
        <v>0</v>
      </c>
      <c r="M37" s="60">
        <f>IF(Horaires356731011[[#This Row],[Fin]]&lt;Horaires356731011[[#This Row],[début]],1,0)+Horaires356731011[[#This Row],[Fin]]</f>
        <v>0</v>
      </c>
      <c r="N37" s="61">
        <f>MAX(0,MIN(Horaires356731011[[#This Row],[Fin corrigée si nuit]],fin_nuit)-MAX(Horaires356731011[[#This Row],[début]],deb_nuit))*24</f>
        <v>0</v>
      </c>
      <c r="O37" s="62">
        <f>(MAX(0,MIN(Horaires356731011[[#This Row],[Fin corrigée si nuit]],fin_nuit)-MAX(Horaires356731011[[#This Row],[début]],deb_nuit))-IF(Horaires356731011[[#This Row],[PNP Début]]=0,0,MIN(Horaires356731011[[#This Row],[PNP Fin corrigée]],fin_nuit)-MAX(Horaires356731011[[#This Row],[PNP Début corrigé]],deb_nuit)))*24</f>
        <v>0</v>
      </c>
      <c r="P37" s="62">
        <f>(IF(WEEKDAY(Horaires356731011[[#This Row],[Date]],2)=7,MAX(0,MIN(fin_dimJF,Horaires356731011[[#This Row],[Fin corrigée si nuit]])-MAX(deb_dimJF,Horaires356731011[[#This Row],[début]])),0)+IF(WEEKDAY(Horaires356731011[[#This Row],[Date]],2)=6,MAX(0,Horaires356731011[[#This Row],[Fin corrigée si nuit]]-(1+deb_dimJF)),0))*24</f>
        <v>0</v>
      </c>
      <c r="Q37"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7" s="62">
        <f>(IF(COUNTIF(JF,Horaires356731011[[#This Row],[Date]]),MAX(0,MIN(fin_dimJF,Horaires356731011[[#This Row],[Fin corrigée si nuit]])-MAX(deb_dimJF,Horaires356731011[[#This Row],[début]])),0)+IF(COUNTIF(JF,Horaires356731011[[#This Row],[Date]]+1),MAX(0,Horaires356731011[[#This Row],[Fin corrigée si nuit]]-(1+deb_dimJF)),0))*24</f>
        <v>0</v>
      </c>
      <c r="S37"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8" spans="1:19" x14ac:dyDescent="0.35">
      <c r="A38" s="9"/>
      <c r="B38" s="1"/>
      <c r="C38" s="2"/>
      <c r="D38" s="2"/>
      <c r="E38" s="3"/>
      <c r="F38" s="3"/>
      <c r="G38" s="3"/>
      <c r="H38" s="3"/>
      <c r="I38" s="57">
        <f>0.1*(Horaires356731011[[#This Row],[Heures de nuit]]+Horaires356731011[[#This Row],[heures jour dimanche]]+Horaires356731011[[#This Row],[heures jour fériés]])</f>
        <v>0</v>
      </c>
      <c r="J38" s="58">
        <f>(MOD(Horaires356731011[[#This Row],[Fin]]-Horaires356731011[[#This Row],[début]],1)-MOD(Horaires356731011[[#This Row],[PNP Fin]]-Horaires356731011[[#This Row],[PNP Début]],1))*24</f>
        <v>0</v>
      </c>
      <c r="K38" s="59">
        <f>IF(Horaires356731011[[#This Row],[PNP Début]]=0,0,IF(Horaires356731011[[#This Row],[PNP Début]]&lt;Horaires356731011[[#This Row],[début]],1,0)+Horaires356731011[[#This Row],[PNP Début]])</f>
        <v>0</v>
      </c>
      <c r="L38" s="60">
        <f>IF(Horaires356731011[[#This Row],[PNP Fin]]=0,0,IF(Horaires356731011[[#This Row],[PNP Fin]]&lt;Horaires356731011[[#This Row],[début]],1,0)+Horaires356731011[[#This Row],[PNP Fin]])</f>
        <v>0</v>
      </c>
      <c r="M38" s="60">
        <f>IF(Horaires356731011[[#This Row],[Fin]]&lt;Horaires356731011[[#This Row],[début]],1,0)+Horaires356731011[[#This Row],[Fin]]</f>
        <v>0</v>
      </c>
      <c r="N38" s="61">
        <f>MAX(0,MIN(Horaires356731011[[#This Row],[Fin corrigée si nuit]],fin_nuit)-MAX(Horaires356731011[[#This Row],[début]],deb_nuit))*24</f>
        <v>0</v>
      </c>
      <c r="O38" s="62">
        <f>(MAX(0,MIN(Horaires356731011[[#This Row],[Fin corrigée si nuit]],fin_nuit)-MAX(Horaires356731011[[#This Row],[début]],deb_nuit))-IF(Horaires356731011[[#This Row],[PNP Début]]=0,0,MIN(Horaires356731011[[#This Row],[PNP Fin corrigée]],fin_nuit)-MAX(Horaires356731011[[#This Row],[PNP Début corrigé]],deb_nuit)))*24</f>
        <v>0</v>
      </c>
      <c r="P38" s="62">
        <f>(IF(WEEKDAY(Horaires356731011[[#This Row],[Date]],2)=7,MAX(0,MIN(fin_dimJF,Horaires356731011[[#This Row],[Fin corrigée si nuit]])-MAX(deb_dimJF,Horaires356731011[[#This Row],[début]])),0)+IF(WEEKDAY(Horaires356731011[[#This Row],[Date]],2)=6,MAX(0,Horaires356731011[[#This Row],[Fin corrigée si nuit]]-(1+deb_dimJF)),0))*24</f>
        <v>0</v>
      </c>
      <c r="Q38"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8" s="62">
        <f>(IF(COUNTIF(JF,Horaires356731011[[#This Row],[Date]]),MAX(0,MIN(fin_dimJF,Horaires356731011[[#This Row],[Fin corrigée si nuit]])-MAX(deb_dimJF,Horaires356731011[[#This Row],[début]])),0)+IF(COUNTIF(JF,Horaires356731011[[#This Row],[Date]]+1),MAX(0,Horaires356731011[[#This Row],[Fin corrigée si nuit]]-(1+deb_dimJF)),0))*24</f>
        <v>0</v>
      </c>
      <c r="S38"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39" spans="1:19" x14ac:dyDescent="0.35">
      <c r="A39" s="9"/>
      <c r="B39" s="1"/>
      <c r="C39" s="2"/>
      <c r="D39" s="2"/>
      <c r="E39" s="3"/>
      <c r="F39" s="3"/>
      <c r="G39" s="3"/>
      <c r="H39" s="3"/>
      <c r="I39" s="57">
        <f>0.1*(Horaires356731011[[#This Row],[Heures de nuit]]+Horaires356731011[[#This Row],[heures jour dimanche]]+Horaires356731011[[#This Row],[heures jour fériés]])</f>
        <v>0</v>
      </c>
      <c r="J39" s="58">
        <f>(MOD(Horaires356731011[[#This Row],[Fin]]-Horaires356731011[[#This Row],[début]],1)-MOD(Horaires356731011[[#This Row],[PNP Fin]]-Horaires356731011[[#This Row],[PNP Début]],1))*24</f>
        <v>0</v>
      </c>
      <c r="K39" s="59">
        <f>IF(Horaires356731011[[#This Row],[PNP Début]]=0,0,IF(Horaires356731011[[#This Row],[PNP Début]]&lt;Horaires356731011[[#This Row],[début]],1,0)+Horaires356731011[[#This Row],[PNP Début]])</f>
        <v>0</v>
      </c>
      <c r="L39" s="60">
        <f>IF(Horaires356731011[[#This Row],[PNP Fin]]=0,0,IF(Horaires356731011[[#This Row],[PNP Fin]]&lt;Horaires356731011[[#This Row],[début]],1,0)+Horaires356731011[[#This Row],[PNP Fin]])</f>
        <v>0</v>
      </c>
      <c r="M39" s="60">
        <f>IF(Horaires356731011[[#This Row],[Fin]]&lt;Horaires356731011[[#This Row],[début]],1,0)+Horaires356731011[[#This Row],[Fin]]</f>
        <v>0</v>
      </c>
      <c r="N39" s="61">
        <f>MAX(0,MIN(Horaires356731011[[#This Row],[Fin corrigée si nuit]],fin_nuit)-MAX(Horaires356731011[[#This Row],[début]],deb_nuit))*24</f>
        <v>0</v>
      </c>
      <c r="O39" s="62">
        <f>(MAX(0,MIN(Horaires356731011[[#This Row],[Fin corrigée si nuit]],fin_nuit)-MAX(Horaires356731011[[#This Row],[début]],deb_nuit))-IF(Horaires356731011[[#This Row],[PNP Début]]=0,0,MIN(Horaires356731011[[#This Row],[PNP Fin corrigée]],fin_nuit)-MAX(Horaires356731011[[#This Row],[PNP Début corrigé]],deb_nuit)))*24</f>
        <v>0</v>
      </c>
      <c r="P39" s="62">
        <f>(IF(WEEKDAY(Horaires356731011[[#This Row],[Date]],2)=7,MAX(0,MIN(fin_dimJF,Horaires356731011[[#This Row],[Fin corrigée si nuit]])-MAX(deb_dimJF,Horaires356731011[[#This Row],[début]])),0)+IF(WEEKDAY(Horaires356731011[[#This Row],[Date]],2)=6,MAX(0,Horaires356731011[[#This Row],[Fin corrigée si nuit]]-(1+deb_dimJF)),0))*24</f>
        <v>0</v>
      </c>
      <c r="Q39"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39" s="62">
        <f>(IF(COUNTIF(JF,Horaires356731011[[#This Row],[Date]]),MAX(0,MIN(fin_dimJF,Horaires356731011[[#This Row],[Fin corrigée si nuit]])-MAX(deb_dimJF,Horaires356731011[[#This Row],[début]])),0)+IF(COUNTIF(JF,Horaires356731011[[#This Row],[Date]]+1),MAX(0,Horaires356731011[[#This Row],[Fin corrigée si nuit]]-(1+deb_dimJF)),0))*24</f>
        <v>0</v>
      </c>
      <c r="S39"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0" spans="1:19" x14ac:dyDescent="0.35">
      <c r="A40" s="9"/>
      <c r="B40" s="1"/>
      <c r="C40" s="2"/>
      <c r="D40" s="2"/>
      <c r="E40" s="3"/>
      <c r="F40" s="3"/>
      <c r="G40" s="3"/>
      <c r="H40" s="3"/>
      <c r="I40" s="57">
        <f>0.1*(Horaires356731011[[#This Row],[Heures de nuit]]+Horaires356731011[[#This Row],[heures jour dimanche]]+Horaires356731011[[#This Row],[heures jour fériés]])</f>
        <v>0</v>
      </c>
      <c r="J40" s="58">
        <f>(MOD(Horaires356731011[[#This Row],[Fin]]-Horaires356731011[[#This Row],[début]],1)-MOD(Horaires356731011[[#This Row],[PNP Fin]]-Horaires356731011[[#This Row],[PNP Début]],1))*24</f>
        <v>0</v>
      </c>
      <c r="K40" s="59">
        <f>IF(Horaires356731011[[#This Row],[PNP Début]]=0,0,IF(Horaires356731011[[#This Row],[PNP Début]]&lt;Horaires356731011[[#This Row],[début]],1,0)+Horaires356731011[[#This Row],[PNP Début]])</f>
        <v>0</v>
      </c>
      <c r="L40" s="60">
        <f>IF(Horaires356731011[[#This Row],[PNP Fin]]=0,0,IF(Horaires356731011[[#This Row],[PNP Fin]]&lt;Horaires356731011[[#This Row],[début]],1,0)+Horaires356731011[[#This Row],[PNP Fin]])</f>
        <v>0</v>
      </c>
      <c r="M40" s="60">
        <f>IF(Horaires356731011[[#This Row],[Fin]]&lt;Horaires356731011[[#This Row],[début]],1,0)+Horaires356731011[[#This Row],[Fin]]</f>
        <v>0</v>
      </c>
      <c r="N40" s="61">
        <f>MAX(0,MIN(Horaires356731011[[#This Row],[Fin corrigée si nuit]],fin_nuit)-MAX(Horaires356731011[[#This Row],[début]],deb_nuit))*24</f>
        <v>0</v>
      </c>
      <c r="O40" s="62">
        <f>(MAX(0,MIN(Horaires356731011[[#This Row],[Fin corrigée si nuit]],fin_nuit)-MAX(Horaires356731011[[#This Row],[début]],deb_nuit))-IF(Horaires356731011[[#This Row],[PNP Début]]=0,0,MIN(Horaires356731011[[#This Row],[PNP Fin corrigée]],fin_nuit)-MAX(Horaires356731011[[#This Row],[PNP Début corrigé]],deb_nuit)))*24</f>
        <v>0</v>
      </c>
      <c r="P40" s="62">
        <f>(IF(WEEKDAY(Horaires356731011[[#This Row],[Date]],2)=7,MAX(0,MIN(fin_dimJF,Horaires356731011[[#This Row],[Fin corrigée si nuit]])-MAX(deb_dimJF,Horaires356731011[[#This Row],[début]])),0)+IF(WEEKDAY(Horaires356731011[[#This Row],[Date]],2)=6,MAX(0,Horaires356731011[[#This Row],[Fin corrigée si nuit]]-(1+deb_dimJF)),0))*24</f>
        <v>0</v>
      </c>
      <c r="Q40"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0" s="62">
        <f>(IF(COUNTIF(JF,Horaires356731011[[#This Row],[Date]]),MAX(0,MIN(fin_dimJF,Horaires356731011[[#This Row],[Fin corrigée si nuit]])-MAX(deb_dimJF,Horaires356731011[[#This Row],[début]])),0)+IF(COUNTIF(JF,Horaires356731011[[#This Row],[Date]]+1),MAX(0,Horaires356731011[[#This Row],[Fin corrigée si nuit]]-(1+deb_dimJF)),0))*24</f>
        <v>0</v>
      </c>
      <c r="S40"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1" spans="1:19" x14ac:dyDescent="0.35">
      <c r="A41" s="9"/>
      <c r="B41" s="1"/>
      <c r="C41" s="2"/>
      <c r="D41" s="2"/>
      <c r="E41" s="3"/>
      <c r="F41" s="3"/>
      <c r="G41" s="3"/>
      <c r="H41" s="3"/>
      <c r="I41" s="57">
        <f>0.1*(Horaires356731011[[#This Row],[Heures de nuit]]+Horaires356731011[[#This Row],[heures jour dimanche]]+Horaires356731011[[#This Row],[heures jour fériés]])</f>
        <v>0</v>
      </c>
      <c r="J41" s="58">
        <f>(MOD(Horaires356731011[[#This Row],[Fin]]-Horaires356731011[[#This Row],[début]],1)-MOD(Horaires356731011[[#This Row],[PNP Fin]]-Horaires356731011[[#This Row],[PNP Début]],1))*24</f>
        <v>0</v>
      </c>
      <c r="K41" s="59">
        <f>IF(Horaires356731011[[#This Row],[PNP Début]]=0,0,IF(Horaires356731011[[#This Row],[PNP Début]]&lt;Horaires356731011[[#This Row],[début]],1,0)+Horaires356731011[[#This Row],[PNP Début]])</f>
        <v>0</v>
      </c>
      <c r="L41" s="60">
        <f>IF(Horaires356731011[[#This Row],[PNP Fin]]=0,0,IF(Horaires356731011[[#This Row],[PNP Fin]]&lt;Horaires356731011[[#This Row],[début]],1,0)+Horaires356731011[[#This Row],[PNP Fin]])</f>
        <v>0</v>
      </c>
      <c r="M41" s="60">
        <f>IF(Horaires356731011[[#This Row],[Fin]]&lt;Horaires356731011[[#This Row],[début]],1,0)+Horaires356731011[[#This Row],[Fin]]</f>
        <v>0</v>
      </c>
      <c r="N41" s="61">
        <f>MAX(0,MIN(Horaires356731011[[#This Row],[Fin corrigée si nuit]],fin_nuit)-MAX(Horaires356731011[[#This Row],[début]],deb_nuit))*24</f>
        <v>0</v>
      </c>
      <c r="O41" s="62">
        <f>(MAX(0,MIN(Horaires356731011[[#This Row],[Fin corrigée si nuit]],fin_nuit)-MAX(Horaires356731011[[#This Row],[début]],deb_nuit))-IF(Horaires356731011[[#This Row],[PNP Début]]=0,0,MIN(Horaires356731011[[#This Row],[PNP Fin corrigée]],fin_nuit)-MAX(Horaires356731011[[#This Row],[PNP Début corrigé]],deb_nuit)))*24</f>
        <v>0</v>
      </c>
      <c r="P41" s="62">
        <f>(IF(WEEKDAY(Horaires356731011[[#This Row],[Date]],2)=7,MAX(0,MIN(fin_dimJF,Horaires356731011[[#This Row],[Fin corrigée si nuit]])-MAX(deb_dimJF,Horaires356731011[[#This Row],[début]])),0)+IF(WEEKDAY(Horaires356731011[[#This Row],[Date]],2)=6,MAX(0,Horaires356731011[[#This Row],[Fin corrigée si nuit]]-(1+deb_dimJF)),0))*24</f>
        <v>0</v>
      </c>
      <c r="Q41"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1" s="62">
        <f>(IF(COUNTIF(JF,Horaires356731011[[#This Row],[Date]]),MAX(0,MIN(fin_dimJF,Horaires356731011[[#This Row],[Fin corrigée si nuit]])-MAX(deb_dimJF,Horaires356731011[[#This Row],[début]])),0)+IF(COUNTIF(JF,Horaires356731011[[#This Row],[Date]]+1),MAX(0,Horaires356731011[[#This Row],[Fin corrigée si nuit]]-(1+deb_dimJF)),0))*24</f>
        <v>0</v>
      </c>
      <c r="S41"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2" spans="1:19" x14ac:dyDescent="0.35">
      <c r="A42" s="9"/>
      <c r="B42" s="1"/>
      <c r="C42" s="2"/>
      <c r="D42" s="2"/>
      <c r="E42" s="3"/>
      <c r="F42" s="3"/>
      <c r="G42" s="3"/>
      <c r="H42" s="3"/>
      <c r="I42" s="57">
        <f>0.1*(Horaires356731011[[#This Row],[Heures de nuit]]+Horaires356731011[[#This Row],[heures jour dimanche]]+Horaires356731011[[#This Row],[heures jour fériés]])</f>
        <v>0</v>
      </c>
      <c r="J42" s="58">
        <f>(MOD(Horaires356731011[[#This Row],[Fin]]-Horaires356731011[[#This Row],[début]],1)-MOD(Horaires356731011[[#This Row],[PNP Fin]]-Horaires356731011[[#This Row],[PNP Début]],1))*24</f>
        <v>0</v>
      </c>
      <c r="K42" s="59">
        <f>IF(Horaires356731011[[#This Row],[PNP Début]]=0,0,IF(Horaires356731011[[#This Row],[PNP Début]]&lt;Horaires356731011[[#This Row],[début]],1,0)+Horaires356731011[[#This Row],[PNP Début]])</f>
        <v>0</v>
      </c>
      <c r="L42" s="60">
        <f>IF(Horaires356731011[[#This Row],[PNP Fin]]=0,0,IF(Horaires356731011[[#This Row],[PNP Fin]]&lt;Horaires356731011[[#This Row],[début]],1,0)+Horaires356731011[[#This Row],[PNP Fin]])</f>
        <v>0</v>
      </c>
      <c r="M42" s="60">
        <f>IF(Horaires356731011[[#This Row],[Fin]]&lt;Horaires356731011[[#This Row],[début]],1,0)+Horaires356731011[[#This Row],[Fin]]</f>
        <v>0</v>
      </c>
      <c r="N42" s="61">
        <f>MAX(0,MIN(Horaires356731011[[#This Row],[Fin corrigée si nuit]],fin_nuit)-MAX(Horaires356731011[[#This Row],[début]],deb_nuit))*24</f>
        <v>0</v>
      </c>
      <c r="O42" s="62">
        <f>(MAX(0,MIN(Horaires356731011[[#This Row],[Fin corrigée si nuit]],fin_nuit)-MAX(Horaires356731011[[#This Row],[début]],deb_nuit))-IF(Horaires356731011[[#This Row],[PNP Début]]=0,0,MIN(Horaires356731011[[#This Row],[PNP Fin corrigée]],fin_nuit)-MAX(Horaires356731011[[#This Row],[PNP Début corrigé]],deb_nuit)))*24</f>
        <v>0</v>
      </c>
      <c r="P42" s="62">
        <f>(IF(WEEKDAY(Horaires356731011[[#This Row],[Date]],2)=7,MAX(0,MIN(fin_dimJF,Horaires356731011[[#This Row],[Fin corrigée si nuit]])-MAX(deb_dimJF,Horaires356731011[[#This Row],[début]])),0)+IF(WEEKDAY(Horaires356731011[[#This Row],[Date]],2)=6,MAX(0,Horaires356731011[[#This Row],[Fin corrigée si nuit]]-(1+deb_dimJF)),0))*24</f>
        <v>0</v>
      </c>
      <c r="Q42"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2" s="62">
        <f>(IF(COUNTIF(JF,Horaires356731011[[#This Row],[Date]]),MAX(0,MIN(fin_dimJF,Horaires356731011[[#This Row],[Fin corrigée si nuit]])-MAX(deb_dimJF,Horaires356731011[[#This Row],[début]])),0)+IF(COUNTIF(JF,Horaires356731011[[#This Row],[Date]]+1),MAX(0,Horaires356731011[[#This Row],[Fin corrigée si nuit]]-(1+deb_dimJF)),0))*24</f>
        <v>0</v>
      </c>
      <c r="S42"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3" spans="1:19" x14ac:dyDescent="0.35">
      <c r="A43" s="9"/>
      <c r="B43" s="1"/>
      <c r="C43" s="2"/>
      <c r="D43" s="2"/>
      <c r="E43" s="3"/>
      <c r="F43" s="3"/>
      <c r="G43" s="3"/>
      <c r="H43" s="3"/>
      <c r="I43" s="57">
        <f>0.1*(Horaires356731011[[#This Row],[Heures de nuit]]+Horaires356731011[[#This Row],[heures jour dimanche]]+Horaires356731011[[#This Row],[heures jour fériés]])</f>
        <v>0</v>
      </c>
      <c r="J43" s="58">
        <f>(MOD(Horaires356731011[[#This Row],[Fin]]-Horaires356731011[[#This Row],[début]],1)-MOD(Horaires356731011[[#This Row],[PNP Fin]]-Horaires356731011[[#This Row],[PNP Début]],1))*24</f>
        <v>0</v>
      </c>
      <c r="K43" s="59">
        <f>IF(Horaires356731011[[#This Row],[PNP Début]]=0,0,IF(Horaires356731011[[#This Row],[PNP Début]]&lt;Horaires356731011[[#This Row],[début]],1,0)+Horaires356731011[[#This Row],[PNP Début]])</f>
        <v>0</v>
      </c>
      <c r="L43" s="60">
        <f>IF(Horaires356731011[[#This Row],[PNP Fin]]=0,0,IF(Horaires356731011[[#This Row],[PNP Fin]]&lt;Horaires356731011[[#This Row],[début]],1,0)+Horaires356731011[[#This Row],[PNP Fin]])</f>
        <v>0</v>
      </c>
      <c r="M43" s="60">
        <f>IF(Horaires356731011[[#This Row],[Fin]]&lt;Horaires356731011[[#This Row],[début]],1,0)+Horaires356731011[[#This Row],[Fin]]</f>
        <v>0</v>
      </c>
      <c r="N43" s="61">
        <f>MAX(0,MIN(Horaires356731011[[#This Row],[Fin corrigée si nuit]],fin_nuit)-MAX(Horaires356731011[[#This Row],[début]],deb_nuit))*24</f>
        <v>0</v>
      </c>
      <c r="O43" s="62">
        <f>(MAX(0,MIN(Horaires356731011[[#This Row],[Fin corrigée si nuit]],fin_nuit)-MAX(Horaires356731011[[#This Row],[début]],deb_nuit))-IF(Horaires356731011[[#This Row],[PNP Début]]=0,0,MIN(Horaires356731011[[#This Row],[PNP Fin corrigée]],fin_nuit)-MAX(Horaires356731011[[#This Row],[PNP Début corrigé]],deb_nuit)))*24</f>
        <v>0</v>
      </c>
      <c r="P43" s="62">
        <f>(IF(WEEKDAY(Horaires356731011[[#This Row],[Date]],2)=7,MAX(0,MIN(fin_dimJF,Horaires356731011[[#This Row],[Fin corrigée si nuit]])-MAX(deb_dimJF,Horaires356731011[[#This Row],[début]])),0)+IF(WEEKDAY(Horaires356731011[[#This Row],[Date]],2)=6,MAX(0,Horaires356731011[[#This Row],[Fin corrigée si nuit]]-(1+deb_dimJF)),0))*24</f>
        <v>0</v>
      </c>
      <c r="Q43"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3" s="62">
        <f>(IF(COUNTIF(JF,Horaires356731011[[#This Row],[Date]]),MAX(0,MIN(fin_dimJF,Horaires356731011[[#This Row],[Fin corrigée si nuit]])-MAX(deb_dimJF,Horaires356731011[[#This Row],[début]])),0)+IF(COUNTIF(JF,Horaires356731011[[#This Row],[Date]]+1),MAX(0,Horaires356731011[[#This Row],[Fin corrigée si nuit]]-(1+deb_dimJF)),0))*24</f>
        <v>0</v>
      </c>
      <c r="S43"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4" spans="1:19" x14ac:dyDescent="0.35">
      <c r="A44" s="9"/>
      <c r="B44" s="1"/>
      <c r="C44" s="2"/>
      <c r="D44" s="2"/>
      <c r="E44" s="3"/>
      <c r="F44" s="3"/>
      <c r="G44" s="3"/>
      <c r="H44" s="3"/>
      <c r="I44" s="57">
        <f>0.1*(Horaires356731011[[#This Row],[Heures de nuit]]+Horaires356731011[[#This Row],[heures jour dimanche]]+Horaires356731011[[#This Row],[heures jour fériés]])</f>
        <v>0</v>
      </c>
      <c r="J44" s="58">
        <f>(MOD(Horaires356731011[[#This Row],[Fin]]-Horaires356731011[[#This Row],[début]],1)-MOD(Horaires356731011[[#This Row],[PNP Fin]]-Horaires356731011[[#This Row],[PNP Début]],1))*24</f>
        <v>0</v>
      </c>
      <c r="K44" s="59">
        <f>IF(Horaires356731011[[#This Row],[PNP Début]]=0,0,IF(Horaires356731011[[#This Row],[PNP Début]]&lt;Horaires356731011[[#This Row],[début]],1,0)+Horaires356731011[[#This Row],[PNP Début]])</f>
        <v>0</v>
      </c>
      <c r="L44" s="60">
        <f>IF(Horaires356731011[[#This Row],[PNP Fin]]=0,0,IF(Horaires356731011[[#This Row],[PNP Fin]]&lt;Horaires356731011[[#This Row],[début]],1,0)+Horaires356731011[[#This Row],[PNP Fin]])</f>
        <v>0</v>
      </c>
      <c r="M44" s="60">
        <f>IF(Horaires356731011[[#This Row],[Fin]]&lt;Horaires356731011[[#This Row],[début]],1,0)+Horaires356731011[[#This Row],[Fin]]</f>
        <v>0</v>
      </c>
      <c r="N44" s="61">
        <f>MAX(0,MIN(Horaires356731011[[#This Row],[Fin corrigée si nuit]],fin_nuit)-MAX(Horaires356731011[[#This Row],[début]],deb_nuit))*24</f>
        <v>0</v>
      </c>
      <c r="O44" s="62">
        <f>(MAX(0,MIN(Horaires356731011[[#This Row],[Fin corrigée si nuit]],fin_nuit)-MAX(Horaires356731011[[#This Row],[début]],deb_nuit))-IF(Horaires356731011[[#This Row],[PNP Début]]=0,0,MIN(Horaires356731011[[#This Row],[PNP Fin corrigée]],fin_nuit)-MAX(Horaires356731011[[#This Row],[PNP Début corrigé]],deb_nuit)))*24</f>
        <v>0</v>
      </c>
      <c r="P44" s="62">
        <f>(IF(WEEKDAY(Horaires356731011[[#This Row],[Date]],2)=7,MAX(0,MIN(fin_dimJF,Horaires356731011[[#This Row],[Fin corrigée si nuit]])-MAX(deb_dimJF,Horaires356731011[[#This Row],[début]])),0)+IF(WEEKDAY(Horaires356731011[[#This Row],[Date]],2)=6,MAX(0,Horaires356731011[[#This Row],[Fin corrigée si nuit]]-(1+deb_dimJF)),0))*24</f>
        <v>0</v>
      </c>
      <c r="Q44"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4" s="62">
        <f>(IF(COUNTIF(JF,Horaires356731011[[#This Row],[Date]]),MAX(0,MIN(fin_dimJF,Horaires356731011[[#This Row],[Fin corrigée si nuit]])-MAX(deb_dimJF,Horaires356731011[[#This Row],[début]])),0)+IF(COUNTIF(JF,Horaires356731011[[#This Row],[Date]]+1),MAX(0,Horaires356731011[[#This Row],[Fin corrigée si nuit]]-(1+deb_dimJF)),0))*24</f>
        <v>0</v>
      </c>
      <c r="S44"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5" spans="1:19" x14ac:dyDescent="0.35">
      <c r="A45" s="9"/>
      <c r="B45" s="1"/>
      <c r="C45" s="2"/>
      <c r="D45" s="2"/>
      <c r="E45" s="3"/>
      <c r="F45" s="3"/>
      <c r="G45" s="3"/>
      <c r="H45" s="3"/>
      <c r="I45" s="57">
        <f>0.1*(Horaires356731011[[#This Row],[Heures de nuit]]+Horaires356731011[[#This Row],[heures jour dimanche]]+Horaires356731011[[#This Row],[heures jour fériés]])</f>
        <v>0</v>
      </c>
      <c r="J45" s="58">
        <f>(MOD(Horaires356731011[[#This Row],[Fin]]-Horaires356731011[[#This Row],[début]],1)-MOD(Horaires356731011[[#This Row],[PNP Fin]]-Horaires356731011[[#This Row],[PNP Début]],1))*24</f>
        <v>0</v>
      </c>
      <c r="K45" s="59">
        <f>IF(Horaires356731011[[#This Row],[PNP Début]]=0,0,IF(Horaires356731011[[#This Row],[PNP Début]]&lt;Horaires356731011[[#This Row],[début]],1,0)+Horaires356731011[[#This Row],[PNP Début]])</f>
        <v>0</v>
      </c>
      <c r="L45" s="60">
        <f>IF(Horaires356731011[[#This Row],[PNP Fin]]=0,0,IF(Horaires356731011[[#This Row],[PNP Fin]]&lt;Horaires356731011[[#This Row],[début]],1,0)+Horaires356731011[[#This Row],[PNP Fin]])</f>
        <v>0</v>
      </c>
      <c r="M45" s="60">
        <f>IF(Horaires356731011[[#This Row],[Fin]]&lt;Horaires356731011[[#This Row],[début]],1,0)+Horaires356731011[[#This Row],[Fin]]</f>
        <v>0</v>
      </c>
      <c r="N45" s="61">
        <f>MAX(0,MIN(Horaires356731011[[#This Row],[Fin corrigée si nuit]],fin_nuit)-MAX(Horaires356731011[[#This Row],[début]],deb_nuit))*24</f>
        <v>0</v>
      </c>
      <c r="O45" s="62">
        <f>(MAX(0,MIN(Horaires356731011[[#This Row],[Fin corrigée si nuit]],fin_nuit)-MAX(Horaires356731011[[#This Row],[début]],deb_nuit))-IF(Horaires356731011[[#This Row],[PNP Début]]=0,0,MIN(Horaires356731011[[#This Row],[PNP Fin corrigée]],fin_nuit)-MAX(Horaires356731011[[#This Row],[PNP Début corrigé]],deb_nuit)))*24</f>
        <v>0</v>
      </c>
      <c r="P45" s="62">
        <f>(IF(WEEKDAY(Horaires356731011[[#This Row],[Date]],2)=7,MAX(0,MIN(fin_dimJF,Horaires356731011[[#This Row],[Fin corrigée si nuit]])-MAX(deb_dimJF,Horaires356731011[[#This Row],[début]])),0)+IF(WEEKDAY(Horaires356731011[[#This Row],[Date]],2)=6,MAX(0,Horaires356731011[[#This Row],[Fin corrigée si nuit]]-(1+deb_dimJF)),0))*24</f>
        <v>0</v>
      </c>
      <c r="Q45"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5" s="62">
        <f>(IF(COUNTIF(JF,Horaires356731011[[#This Row],[Date]]),MAX(0,MIN(fin_dimJF,Horaires356731011[[#This Row],[Fin corrigée si nuit]])-MAX(deb_dimJF,Horaires356731011[[#This Row],[début]])),0)+IF(COUNTIF(JF,Horaires356731011[[#This Row],[Date]]+1),MAX(0,Horaires356731011[[#This Row],[Fin corrigée si nuit]]-(1+deb_dimJF)),0))*24</f>
        <v>0</v>
      </c>
      <c r="S45"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6" spans="1:19" x14ac:dyDescent="0.35">
      <c r="A46" s="9"/>
      <c r="B46" s="1"/>
      <c r="C46" s="2"/>
      <c r="D46" s="2"/>
      <c r="E46" s="3"/>
      <c r="F46" s="3"/>
      <c r="G46" s="3"/>
      <c r="H46" s="3"/>
      <c r="I46" s="57">
        <f>0.1*(Horaires356731011[[#This Row],[Heures de nuit]]+Horaires356731011[[#This Row],[heures jour dimanche]]+Horaires356731011[[#This Row],[heures jour fériés]])</f>
        <v>0</v>
      </c>
      <c r="J46" s="58">
        <f>(MOD(Horaires356731011[[#This Row],[Fin]]-Horaires356731011[[#This Row],[début]],1)-MOD(Horaires356731011[[#This Row],[PNP Fin]]-Horaires356731011[[#This Row],[PNP Début]],1))*24</f>
        <v>0</v>
      </c>
      <c r="K46" s="59">
        <f>IF(Horaires356731011[[#This Row],[PNP Début]]=0,0,IF(Horaires356731011[[#This Row],[PNP Début]]&lt;Horaires356731011[[#This Row],[début]],1,0)+Horaires356731011[[#This Row],[PNP Début]])</f>
        <v>0</v>
      </c>
      <c r="L46" s="60">
        <f>IF(Horaires356731011[[#This Row],[PNP Fin]]=0,0,IF(Horaires356731011[[#This Row],[PNP Fin]]&lt;Horaires356731011[[#This Row],[début]],1,0)+Horaires356731011[[#This Row],[PNP Fin]])</f>
        <v>0</v>
      </c>
      <c r="M46" s="60">
        <f>IF(Horaires356731011[[#This Row],[Fin]]&lt;Horaires356731011[[#This Row],[début]],1,0)+Horaires356731011[[#This Row],[Fin]]</f>
        <v>0</v>
      </c>
      <c r="N46" s="61">
        <f>MAX(0,MIN(Horaires356731011[[#This Row],[Fin corrigée si nuit]],fin_nuit)-MAX(Horaires356731011[[#This Row],[début]],deb_nuit))*24</f>
        <v>0</v>
      </c>
      <c r="O46" s="62">
        <f>(MAX(0,MIN(Horaires356731011[[#This Row],[Fin corrigée si nuit]],fin_nuit)-MAX(Horaires356731011[[#This Row],[début]],deb_nuit))-IF(Horaires356731011[[#This Row],[PNP Début]]=0,0,MIN(Horaires356731011[[#This Row],[PNP Fin corrigée]],fin_nuit)-MAX(Horaires356731011[[#This Row],[PNP Début corrigé]],deb_nuit)))*24</f>
        <v>0</v>
      </c>
      <c r="P46" s="62">
        <f>(IF(WEEKDAY(Horaires356731011[[#This Row],[Date]],2)=7,MAX(0,MIN(fin_dimJF,Horaires356731011[[#This Row],[Fin corrigée si nuit]])-MAX(deb_dimJF,Horaires356731011[[#This Row],[début]])),0)+IF(WEEKDAY(Horaires356731011[[#This Row],[Date]],2)=6,MAX(0,Horaires356731011[[#This Row],[Fin corrigée si nuit]]-(1+deb_dimJF)),0))*24</f>
        <v>0</v>
      </c>
      <c r="Q46"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6" s="62">
        <f>(IF(COUNTIF(JF,Horaires356731011[[#This Row],[Date]]),MAX(0,MIN(fin_dimJF,Horaires356731011[[#This Row],[Fin corrigée si nuit]])-MAX(deb_dimJF,Horaires356731011[[#This Row],[début]])),0)+IF(COUNTIF(JF,Horaires356731011[[#This Row],[Date]]+1),MAX(0,Horaires356731011[[#This Row],[Fin corrigée si nuit]]-(1+deb_dimJF)),0))*24</f>
        <v>0</v>
      </c>
      <c r="S46"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7" spans="1:19" x14ac:dyDescent="0.35">
      <c r="A47" s="9"/>
      <c r="B47" s="1"/>
      <c r="C47" s="2"/>
      <c r="D47" s="2"/>
      <c r="E47" s="3"/>
      <c r="F47" s="3"/>
      <c r="G47" s="3"/>
      <c r="H47" s="3"/>
      <c r="I47" s="57">
        <f>0.1*(Horaires356731011[[#This Row],[Heures de nuit]]+Horaires356731011[[#This Row],[heures jour dimanche]]+Horaires356731011[[#This Row],[heures jour fériés]])</f>
        <v>0</v>
      </c>
      <c r="J47" s="58">
        <f>(MOD(Horaires356731011[[#This Row],[Fin]]-Horaires356731011[[#This Row],[début]],1)-MOD(Horaires356731011[[#This Row],[PNP Fin]]-Horaires356731011[[#This Row],[PNP Début]],1))*24</f>
        <v>0</v>
      </c>
      <c r="K47" s="59">
        <f>IF(Horaires356731011[[#This Row],[PNP Début]]=0,0,IF(Horaires356731011[[#This Row],[PNP Début]]&lt;Horaires356731011[[#This Row],[début]],1,0)+Horaires356731011[[#This Row],[PNP Début]])</f>
        <v>0</v>
      </c>
      <c r="L47" s="60">
        <f>IF(Horaires356731011[[#This Row],[PNP Fin]]=0,0,IF(Horaires356731011[[#This Row],[PNP Fin]]&lt;Horaires356731011[[#This Row],[début]],1,0)+Horaires356731011[[#This Row],[PNP Fin]])</f>
        <v>0</v>
      </c>
      <c r="M47" s="60">
        <f>IF(Horaires356731011[[#This Row],[Fin]]&lt;Horaires356731011[[#This Row],[début]],1,0)+Horaires356731011[[#This Row],[Fin]]</f>
        <v>0</v>
      </c>
      <c r="N47" s="61">
        <f>MAX(0,MIN(Horaires356731011[[#This Row],[Fin corrigée si nuit]],fin_nuit)-MAX(Horaires356731011[[#This Row],[début]],deb_nuit))*24</f>
        <v>0</v>
      </c>
      <c r="O47" s="62">
        <f>(MAX(0,MIN(Horaires356731011[[#This Row],[Fin corrigée si nuit]],fin_nuit)-MAX(Horaires356731011[[#This Row],[début]],deb_nuit))-IF(Horaires356731011[[#This Row],[PNP Début]]=0,0,MIN(Horaires356731011[[#This Row],[PNP Fin corrigée]],fin_nuit)-MAX(Horaires356731011[[#This Row],[PNP Début corrigé]],deb_nuit)))*24</f>
        <v>0</v>
      </c>
      <c r="P47" s="62">
        <f>(IF(WEEKDAY(Horaires356731011[[#This Row],[Date]],2)=7,MAX(0,MIN(fin_dimJF,Horaires356731011[[#This Row],[Fin corrigée si nuit]])-MAX(deb_dimJF,Horaires356731011[[#This Row],[début]])),0)+IF(WEEKDAY(Horaires356731011[[#This Row],[Date]],2)=6,MAX(0,Horaires356731011[[#This Row],[Fin corrigée si nuit]]-(1+deb_dimJF)),0))*24</f>
        <v>0</v>
      </c>
      <c r="Q47"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7" s="62">
        <f>(IF(COUNTIF(JF,Horaires356731011[[#This Row],[Date]]),MAX(0,MIN(fin_dimJF,Horaires356731011[[#This Row],[Fin corrigée si nuit]])-MAX(deb_dimJF,Horaires356731011[[#This Row],[début]])),0)+IF(COUNTIF(JF,Horaires356731011[[#This Row],[Date]]+1),MAX(0,Horaires356731011[[#This Row],[Fin corrigée si nuit]]-(1+deb_dimJF)),0))*24</f>
        <v>0</v>
      </c>
      <c r="S47"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8" spans="1:19" x14ac:dyDescent="0.35">
      <c r="A48" s="9"/>
      <c r="B48" s="1"/>
      <c r="C48" s="2"/>
      <c r="D48" s="2"/>
      <c r="E48" s="3"/>
      <c r="F48" s="3"/>
      <c r="G48" s="3"/>
      <c r="H48" s="3"/>
      <c r="I48" s="57">
        <f>0.1*(Horaires356731011[[#This Row],[Heures de nuit]]+Horaires356731011[[#This Row],[heures jour dimanche]]+Horaires356731011[[#This Row],[heures jour fériés]])</f>
        <v>0</v>
      </c>
      <c r="J48" s="58">
        <f>(MOD(Horaires356731011[[#This Row],[Fin]]-Horaires356731011[[#This Row],[début]],1)-MOD(Horaires356731011[[#This Row],[PNP Fin]]-Horaires356731011[[#This Row],[PNP Début]],1))*24</f>
        <v>0</v>
      </c>
      <c r="K48" s="59">
        <f>IF(Horaires356731011[[#This Row],[PNP Début]]=0,0,IF(Horaires356731011[[#This Row],[PNP Début]]&lt;Horaires356731011[[#This Row],[début]],1,0)+Horaires356731011[[#This Row],[PNP Début]])</f>
        <v>0</v>
      </c>
      <c r="L48" s="60">
        <f>IF(Horaires356731011[[#This Row],[PNP Fin]]=0,0,IF(Horaires356731011[[#This Row],[PNP Fin]]&lt;Horaires356731011[[#This Row],[début]],1,0)+Horaires356731011[[#This Row],[PNP Fin]])</f>
        <v>0</v>
      </c>
      <c r="M48" s="60">
        <f>IF(Horaires356731011[[#This Row],[Fin]]&lt;Horaires356731011[[#This Row],[début]],1,0)+Horaires356731011[[#This Row],[Fin]]</f>
        <v>0</v>
      </c>
      <c r="N48" s="61">
        <f>MAX(0,MIN(Horaires356731011[[#This Row],[Fin corrigée si nuit]],fin_nuit)-MAX(Horaires356731011[[#This Row],[début]],deb_nuit))*24</f>
        <v>0</v>
      </c>
      <c r="O48" s="62">
        <f>(MAX(0,MIN(Horaires356731011[[#This Row],[Fin corrigée si nuit]],fin_nuit)-MAX(Horaires356731011[[#This Row],[début]],deb_nuit))-IF(Horaires356731011[[#This Row],[PNP Début]]=0,0,MIN(Horaires356731011[[#This Row],[PNP Fin corrigée]],fin_nuit)-MAX(Horaires356731011[[#This Row],[PNP Début corrigé]],deb_nuit)))*24</f>
        <v>0</v>
      </c>
      <c r="P48" s="62">
        <f>(IF(WEEKDAY(Horaires356731011[[#This Row],[Date]],2)=7,MAX(0,MIN(fin_dimJF,Horaires356731011[[#This Row],[Fin corrigée si nuit]])-MAX(deb_dimJF,Horaires356731011[[#This Row],[début]])),0)+IF(WEEKDAY(Horaires356731011[[#This Row],[Date]],2)=6,MAX(0,Horaires356731011[[#This Row],[Fin corrigée si nuit]]-(1+deb_dimJF)),0))*24</f>
        <v>0</v>
      </c>
      <c r="Q48"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8" s="62">
        <f>(IF(COUNTIF(JF,Horaires356731011[[#This Row],[Date]]),MAX(0,MIN(fin_dimJF,Horaires356731011[[#This Row],[Fin corrigée si nuit]])-MAX(deb_dimJF,Horaires356731011[[#This Row],[début]])),0)+IF(COUNTIF(JF,Horaires356731011[[#This Row],[Date]]+1),MAX(0,Horaires356731011[[#This Row],[Fin corrigée si nuit]]-(1+deb_dimJF)),0))*24</f>
        <v>0</v>
      </c>
      <c r="S48"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49" spans="1:19" ht="15" thickBot="1" x14ac:dyDescent="0.4">
      <c r="A49" s="9"/>
      <c r="B49" s="1"/>
      <c r="C49" s="2"/>
      <c r="D49" s="2"/>
      <c r="E49" s="3"/>
      <c r="F49" s="3"/>
      <c r="G49" s="3"/>
      <c r="H49" s="3"/>
      <c r="I49" s="57">
        <f>0.1*(Horaires356731011[[#This Row],[Heures de nuit]]+Horaires356731011[[#This Row],[heures jour dimanche]]+Horaires356731011[[#This Row],[heures jour fériés]])</f>
        <v>0</v>
      </c>
      <c r="J49" s="58">
        <f>(MOD(Horaires356731011[[#This Row],[Fin]]-Horaires356731011[[#This Row],[début]],1)-MOD(Horaires356731011[[#This Row],[PNP Fin]]-Horaires356731011[[#This Row],[PNP Début]],1))*24</f>
        <v>0</v>
      </c>
      <c r="K49" s="59">
        <f>IF(Horaires356731011[[#This Row],[PNP Début]]=0,0,IF(Horaires356731011[[#This Row],[PNP Début]]&lt;Horaires356731011[[#This Row],[début]],1,0)+Horaires356731011[[#This Row],[PNP Début]])</f>
        <v>0</v>
      </c>
      <c r="L49" s="60">
        <f>IF(Horaires356731011[[#This Row],[PNP Fin]]=0,0,IF(Horaires356731011[[#This Row],[PNP Fin]]&lt;Horaires356731011[[#This Row],[début]],1,0)+Horaires356731011[[#This Row],[PNP Fin]])</f>
        <v>0</v>
      </c>
      <c r="M49" s="60">
        <f>IF(Horaires356731011[[#This Row],[Fin]]&lt;Horaires356731011[[#This Row],[début]],1,0)+Horaires356731011[[#This Row],[Fin]]</f>
        <v>0</v>
      </c>
      <c r="N49" s="61">
        <f>MAX(0,MIN(Horaires356731011[[#This Row],[Fin corrigée si nuit]],fin_nuit)-MAX(Horaires356731011[[#This Row],[début]],deb_nuit))*24</f>
        <v>0</v>
      </c>
      <c r="O49" s="62">
        <f>(MAX(0,MIN(Horaires356731011[[#This Row],[Fin corrigée si nuit]],fin_nuit)-MAX(Horaires356731011[[#This Row],[début]],deb_nuit))-IF(Horaires356731011[[#This Row],[PNP Début]]=0,0,MIN(Horaires356731011[[#This Row],[PNP Fin corrigée]],fin_nuit)-MAX(Horaires356731011[[#This Row],[PNP Début corrigé]],deb_nuit)))*24</f>
        <v>0</v>
      </c>
      <c r="P49" s="62">
        <f>(IF(WEEKDAY(Horaires356731011[[#This Row],[Date]],2)=7,MAX(0,MIN(fin_dimJF,Horaires356731011[[#This Row],[Fin corrigée si nuit]])-MAX(deb_dimJF,Horaires356731011[[#This Row],[début]])),0)+IF(WEEKDAY(Horaires356731011[[#This Row],[Date]],2)=6,MAX(0,Horaires356731011[[#This Row],[Fin corrigée si nuit]]-(1+deb_dimJF)),0))*24</f>
        <v>0</v>
      </c>
      <c r="Q49" s="62">
        <f>(IF(WEEKDAY(Horaires356731011[[#This Row],[Date]],2)=7,MAX(0,MIN(fin_dimJF,Horaires356731011[[#This Row],[Fin corrigée si nuit]])-MAX(deb_dimJF,Horaires356731011[[#This Row],[début]])),0)+IF(WEEKDAY(Horaires356731011[[#This Row],[Date]],2)=6,MAX(0,Horaires356731011[[#This Row],[Fin corrigée si nuit]]-(1+deb_dimJF)),0))*24-
(IF(WEEKDAY(Horaires356731011[[#This Row],[Date]],2)=7,MAX(0,MIN(fin_dimJF,Horaires356731011[[#This Row],[PNP Fin corrigée]])-MAX(deb_dimJF,Horaires356731011[[#This Row],[PNP Début corrigé]])),0)+IF(WEEKDAY(Horaires356731011[[#This Row],[Date]],2)=6,MAX(0,Horaires356731011[[#This Row],[PNP Fin corrigée]]-(1+deb_dimJF)),0))*24</f>
        <v>0</v>
      </c>
      <c r="R49" s="62">
        <f>(IF(COUNTIF(JF,Horaires356731011[[#This Row],[Date]]),MAX(0,MIN(fin_dimJF,Horaires356731011[[#This Row],[Fin corrigée si nuit]])-MAX(deb_dimJF,Horaires356731011[[#This Row],[début]])),0)+IF(COUNTIF(JF,Horaires356731011[[#This Row],[Date]]+1),MAX(0,Horaires356731011[[#This Row],[Fin corrigée si nuit]]-(1+deb_dimJF)),0))*24</f>
        <v>0</v>
      </c>
      <c r="S49" s="62">
        <f>(IF(COUNTIF(JF,Horaires356731011[[#This Row],[Date]]),MAX(0,MIN(fin_dimJF,Horaires356731011[[#This Row],[Fin corrigée si nuit]])-MAX(deb_dimJF,Horaires356731011[[#This Row],[début]])),0)+IF(COUNTIF(JF,Horaires356731011[[#This Row],[Date]]+1),MAX(0,Horaires356731011[[#This Row],[Fin corrigée si nuit]]-(1+deb_dimJF)),0))*24-
(IF(COUNTIF(JF,Horaires356731011[[#This Row],[Date]]),MAX(0,MIN(fin_dimJF,Horaires356731011[[#This Row],[PNP Fin corrigée]])-MAX(deb_dimJF,Horaires356731011[[#This Row],[PNP Début corrigé]])),0)+IF(COUNTIF(JF,Horaires356731011[[#This Row],[Date]]+1),MAX(0,Horaires356731011[[#This Row],[PNP Fin corrigée]]-(1+deb_dimJF)),0))*24</f>
        <v>0</v>
      </c>
    </row>
    <row r="50" spans="1:19" ht="16" thickBot="1" x14ac:dyDescent="0.4">
      <c r="A50" s="63"/>
      <c r="B50" s="25"/>
      <c r="C50" s="25"/>
      <c r="D50" s="25"/>
      <c r="E50" s="106" t="s">
        <v>32</v>
      </c>
      <c r="F50" s="107"/>
      <c r="G50" s="107"/>
      <c r="H50" s="108"/>
      <c r="I50" s="64">
        <f>SUM(Horaires356731011[Majoration])</f>
        <v>0</v>
      </c>
      <c r="J50" s="65">
        <f>SUM(Horaires356731011[Heures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allowBlank="1" showInputMessage="1" showErrorMessage="1" error="Tapez les heures sous le format_x000a_00:00" sqref="K12:N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rintOptions horizontalCentered="1"/>
  <pageMargins left="0" right="0" top="0" bottom="0" header="0" footer="0"/>
  <pageSetup paperSize="9"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S60"/>
  <sheetViews>
    <sheetView workbookViewId="0">
      <selection activeCell="Y7" sqref="Y7"/>
    </sheetView>
  </sheetViews>
  <sheetFormatPr baseColWidth="10" defaultRowHeight="14.5" x14ac:dyDescent="0.35"/>
  <cols>
    <col min="1" max="1" width="21.36328125" customWidth="1"/>
    <col min="2" max="2" width="12.90625" customWidth="1"/>
    <col min="3" max="3" width="8.90625" customWidth="1"/>
    <col min="4" max="4" width="7.453125" customWidth="1"/>
    <col min="5" max="5" width="7" customWidth="1"/>
    <col min="6" max="6" width="6.81640625" customWidth="1"/>
    <col min="7" max="7" width="7" customWidth="1"/>
    <col min="8" max="8" width="7.81640625" customWidth="1"/>
    <col min="9" max="9" width="10.81640625" customWidth="1"/>
    <col min="10" max="10" width="10.453125" style="21" customWidth="1"/>
    <col min="11" max="11" width="11.54296875" hidden="1" customWidth="1"/>
    <col min="12" max="19" width="10.90625" hidden="1" customWidth="1"/>
  </cols>
  <sheetData>
    <row r="1" spans="1:19" ht="15.65" customHeight="1" x14ac:dyDescent="0.35">
      <c r="A1" s="96" t="s">
        <v>64</v>
      </c>
      <c r="B1" s="96"/>
      <c r="C1" s="22"/>
      <c r="D1" s="22"/>
      <c r="E1" s="23"/>
      <c r="F1" s="23"/>
      <c r="G1" s="23"/>
      <c r="H1" s="24" t="s">
        <v>39</v>
      </c>
      <c r="I1" s="24"/>
      <c r="J1" s="24"/>
      <c r="K1" s="22"/>
      <c r="L1" s="22"/>
      <c r="M1" s="22"/>
      <c r="N1" s="22"/>
      <c r="O1" s="25"/>
      <c r="P1" s="25"/>
      <c r="Q1" s="25"/>
      <c r="R1" s="25"/>
      <c r="S1" s="25"/>
    </row>
    <row r="2" spans="1:19" ht="14.4" customHeight="1" x14ac:dyDescent="0.35">
      <c r="A2" s="96"/>
      <c r="B2" s="96"/>
      <c r="C2" s="22"/>
      <c r="D2" s="22"/>
      <c r="E2" s="22"/>
      <c r="F2" s="22"/>
      <c r="G2" s="22"/>
      <c r="H2" s="22"/>
      <c r="I2" s="22"/>
      <c r="J2" s="26"/>
      <c r="K2" s="22"/>
      <c r="L2" s="22"/>
      <c r="M2" s="22"/>
      <c r="N2" s="22"/>
      <c r="O2" s="25"/>
      <c r="P2" s="25"/>
      <c r="Q2" s="25"/>
      <c r="R2" s="25"/>
      <c r="S2" s="25"/>
    </row>
    <row r="3" spans="1:19" ht="14.4" customHeight="1" x14ac:dyDescent="0.35">
      <c r="A3" s="104" t="s">
        <v>41</v>
      </c>
      <c r="B3" s="104"/>
      <c r="C3" s="104"/>
      <c r="D3" s="104"/>
      <c r="E3" s="104"/>
      <c r="F3" s="104"/>
      <c r="G3" s="104"/>
      <c r="H3" s="104"/>
      <c r="I3" s="104"/>
      <c r="J3" s="104"/>
      <c r="K3" s="22"/>
      <c r="L3" s="22"/>
      <c r="M3" s="22"/>
      <c r="N3" s="22"/>
      <c r="O3" s="25"/>
      <c r="P3" s="25"/>
      <c r="Q3" s="25"/>
      <c r="R3" s="25"/>
      <c r="S3" s="25"/>
    </row>
    <row r="4" spans="1:19" ht="19.25" customHeight="1" thickBot="1" x14ac:dyDescent="0.4">
      <c r="A4" s="105"/>
      <c r="B4" s="105"/>
      <c r="C4" s="105"/>
      <c r="D4" s="105"/>
      <c r="E4" s="105"/>
      <c r="F4" s="105"/>
      <c r="G4" s="105"/>
      <c r="H4" s="105"/>
      <c r="I4" s="105"/>
      <c r="J4" s="105"/>
      <c r="K4" s="25"/>
      <c r="L4" s="25"/>
      <c r="M4" s="25"/>
      <c r="N4" s="25"/>
      <c r="O4" s="25"/>
      <c r="P4" s="25"/>
      <c r="Q4" s="25"/>
      <c r="R4" s="25"/>
      <c r="S4" s="25"/>
    </row>
    <row r="5" spans="1:19" ht="19.75" customHeight="1" x14ac:dyDescent="0.35">
      <c r="A5" s="102"/>
      <c r="B5" s="103"/>
      <c r="C5" s="27" t="s">
        <v>40</v>
      </c>
      <c r="D5" s="97" t="s">
        <v>50</v>
      </c>
      <c r="E5" s="98"/>
      <c r="F5" s="98"/>
      <c r="G5" s="99" t="s">
        <v>24</v>
      </c>
      <c r="H5" s="99"/>
      <c r="I5" s="100"/>
      <c r="J5" s="101"/>
      <c r="K5" s="25"/>
      <c r="L5" s="25"/>
      <c r="M5" s="25"/>
      <c r="N5" s="25"/>
      <c r="O5" s="25"/>
      <c r="P5" s="25"/>
      <c r="Q5" s="25"/>
      <c r="R5" s="25"/>
      <c r="S5" s="25"/>
    </row>
    <row r="6" spans="1:19" ht="9.65" customHeight="1" x14ac:dyDescent="0.35">
      <c r="A6" s="28"/>
      <c r="B6" s="29"/>
      <c r="C6" s="29"/>
      <c r="D6" s="29"/>
      <c r="E6" s="29"/>
      <c r="F6" s="29"/>
      <c r="G6" s="29"/>
      <c r="H6" s="29"/>
      <c r="I6" s="29"/>
      <c r="J6" s="30"/>
      <c r="K6" s="25"/>
      <c r="L6" s="25"/>
      <c r="M6" s="25"/>
      <c r="N6" s="25"/>
      <c r="O6" s="25"/>
      <c r="P6" s="25"/>
      <c r="Q6" s="25"/>
      <c r="R6" s="25"/>
      <c r="S6" s="25"/>
    </row>
    <row r="7" spans="1:19" ht="15" thickBot="1" x14ac:dyDescent="0.4">
      <c r="A7" s="67" t="s">
        <v>25</v>
      </c>
      <c r="B7" s="20">
        <v>1688</v>
      </c>
      <c r="C7" s="31" t="s">
        <v>26</v>
      </c>
      <c r="D7" s="31"/>
      <c r="E7" s="20" t="s">
        <v>42</v>
      </c>
      <c r="F7" s="31"/>
      <c r="G7" s="31"/>
      <c r="H7" s="31"/>
      <c r="I7" s="31"/>
      <c r="J7" s="32"/>
      <c r="K7" s="25"/>
      <c r="L7" s="25"/>
      <c r="M7" s="25"/>
      <c r="N7" s="25"/>
      <c r="O7" s="25"/>
      <c r="P7" s="25"/>
      <c r="Q7" s="25"/>
      <c r="R7" s="25"/>
      <c r="S7" s="25"/>
    </row>
    <row r="8" spans="1:19" ht="9.65" customHeight="1" x14ac:dyDescent="0.35">
      <c r="A8" s="25"/>
      <c r="B8" s="25"/>
      <c r="C8" s="25"/>
      <c r="D8" s="25"/>
      <c r="E8" s="25"/>
      <c r="F8" s="25"/>
      <c r="G8" s="25"/>
      <c r="H8" s="25"/>
      <c r="I8" s="25"/>
      <c r="J8" s="26"/>
      <c r="K8" s="25"/>
      <c r="L8" s="25"/>
      <c r="M8" s="25"/>
      <c r="N8" s="25"/>
      <c r="O8" s="25"/>
      <c r="P8" s="25"/>
      <c r="Q8" s="25"/>
      <c r="R8" s="25"/>
      <c r="S8" s="25"/>
    </row>
    <row r="9" spans="1:19" ht="16.75" customHeight="1" x14ac:dyDescent="0.35">
      <c r="A9" s="120" t="s">
        <v>2</v>
      </c>
      <c r="B9" s="120" t="s">
        <v>3</v>
      </c>
      <c r="C9" s="120" t="s">
        <v>4</v>
      </c>
      <c r="D9" s="120"/>
      <c r="E9" s="121" t="s">
        <v>27</v>
      </c>
      <c r="F9" s="121"/>
      <c r="G9" s="121"/>
      <c r="H9" s="121"/>
      <c r="I9" s="122" t="s">
        <v>23</v>
      </c>
      <c r="J9" s="123" t="s">
        <v>28</v>
      </c>
      <c r="K9" s="25"/>
      <c r="L9" s="25"/>
      <c r="M9" s="25"/>
      <c r="N9" s="25"/>
      <c r="O9" s="25"/>
      <c r="P9" s="25"/>
      <c r="Q9" s="25"/>
      <c r="R9" s="25"/>
      <c r="S9" s="25"/>
    </row>
    <row r="10" spans="1:19" x14ac:dyDescent="0.35">
      <c r="A10" s="120"/>
      <c r="B10" s="120"/>
      <c r="C10" s="124" t="s">
        <v>5</v>
      </c>
      <c r="D10" s="124" t="s">
        <v>6</v>
      </c>
      <c r="E10" s="121" t="s">
        <v>29</v>
      </c>
      <c r="F10" s="121"/>
      <c r="G10" s="121" t="s">
        <v>30</v>
      </c>
      <c r="H10" s="121"/>
      <c r="I10" s="122"/>
      <c r="J10" s="123"/>
      <c r="K10" s="25"/>
      <c r="L10" s="25"/>
      <c r="M10" s="25"/>
      <c r="N10" s="25"/>
      <c r="O10" s="25"/>
      <c r="P10" s="25"/>
      <c r="Q10" s="25"/>
      <c r="R10" s="25"/>
      <c r="S10" s="25"/>
    </row>
    <row r="11" spans="1:19" x14ac:dyDescent="0.35">
      <c r="A11" s="120"/>
      <c r="B11" s="120"/>
      <c r="C11" s="124"/>
      <c r="D11" s="124"/>
      <c r="E11" s="73" t="s">
        <v>31</v>
      </c>
      <c r="F11" s="73" t="s">
        <v>6</v>
      </c>
      <c r="G11" s="73" t="s">
        <v>31</v>
      </c>
      <c r="H11" s="73" t="s">
        <v>6</v>
      </c>
      <c r="I11" s="122"/>
      <c r="J11" s="123"/>
      <c r="K11" s="33"/>
      <c r="L11" s="25"/>
      <c r="M11" s="25"/>
      <c r="N11" s="25"/>
      <c r="O11" s="25"/>
      <c r="P11" s="25"/>
      <c r="Q11" s="25"/>
      <c r="R11" s="25"/>
      <c r="S11" s="25"/>
    </row>
    <row r="12" spans="1:19" s="12" customFormat="1" ht="43.5" hidden="1" x14ac:dyDescent="0.35">
      <c r="A12" s="34" t="s">
        <v>2</v>
      </c>
      <c r="B12" s="35" t="s">
        <v>3</v>
      </c>
      <c r="C12" s="35" t="s">
        <v>5</v>
      </c>
      <c r="D12" s="35" t="s">
        <v>6</v>
      </c>
      <c r="E12" s="35" t="s">
        <v>10</v>
      </c>
      <c r="F12" s="35" t="s">
        <v>11</v>
      </c>
      <c r="G12" s="35" t="s">
        <v>12</v>
      </c>
      <c r="H12" s="35" t="s">
        <v>13</v>
      </c>
      <c r="I12" s="36" t="s">
        <v>23</v>
      </c>
      <c r="J12" s="35" t="s">
        <v>14</v>
      </c>
      <c r="K12" s="35" t="s">
        <v>20</v>
      </c>
      <c r="L12" s="35" t="s">
        <v>21</v>
      </c>
      <c r="M12" s="35" t="s">
        <v>19</v>
      </c>
      <c r="N12" s="35" t="s">
        <v>35</v>
      </c>
      <c r="O12" s="35" t="s">
        <v>22</v>
      </c>
      <c r="P12" s="35" t="s">
        <v>7</v>
      </c>
      <c r="Q12" s="35" t="s">
        <v>36</v>
      </c>
      <c r="R12" s="37" t="s">
        <v>8</v>
      </c>
      <c r="S12" s="37" t="s">
        <v>37</v>
      </c>
    </row>
    <row r="13" spans="1:19" x14ac:dyDescent="0.35">
      <c r="A13" s="9"/>
      <c r="B13" s="1"/>
      <c r="C13" s="2"/>
      <c r="D13" s="2"/>
      <c r="E13" s="3"/>
      <c r="F13" s="3"/>
      <c r="G13" s="3"/>
      <c r="H13" s="3"/>
      <c r="I13" s="38">
        <f>0.1*(Horaires3567348[[#This Row],[Heures de nuit]]+Horaires3567348[[#This Row],[heures jour dimanche]]+Horaires3567348[[#This Row],[heures jour fériés]])</f>
        <v>0</v>
      </c>
      <c r="J13" s="39">
        <f>(MOD(Horaires3567348[[#This Row],[Fin]]-Horaires3567348[[#This Row],[début]],1)-MOD(Horaires3567348[[#This Row],[PNP Fin]]-Horaires3567348[[#This Row],[PNP Début]],1))*24</f>
        <v>0</v>
      </c>
      <c r="K13" s="40">
        <f>IF(Horaires3567348[[#This Row],[PNP Début]]=0,0,IF(Horaires3567348[[#This Row],[PNP Début]]&lt;Horaires3567348[[#This Row],[début]],1,0)+Horaires3567348[[#This Row],[PNP Début]])</f>
        <v>0</v>
      </c>
      <c r="L13" s="40">
        <f>IF(Horaires3567348[[#This Row],[PNP Fin]]=0,0,IF(Horaires3567348[[#This Row],[PNP Fin]]&lt;Horaires3567348[[#This Row],[début]],1,0)+Horaires3567348[[#This Row],[PNP Fin]])</f>
        <v>0</v>
      </c>
      <c r="M13" s="40">
        <f>IF(Horaires3567348[[#This Row],[Fin]]&lt;Horaires3567348[[#This Row],[début]],1,0)+Horaires3567348[[#This Row],[Fin]]</f>
        <v>0</v>
      </c>
      <c r="N13" s="41">
        <f>MAX(0,MIN(Horaires3567348[[#This Row],[Fin corrigée si nuit]],fin_nuit)-MAX(Horaires3567348[[#This Row],[début]],deb_nuit))*24</f>
        <v>0</v>
      </c>
      <c r="O13" s="41">
        <f>(MAX(0,MIN(Horaires3567348[[#This Row],[Fin corrigée si nuit]],fin_nuit)-MAX(Horaires3567348[[#This Row],[début]],deb_nuit))-IF(Horaires3567348[[#This Row],[PNP Début]]=0,0,MIN(Horaires3567348[[#This Row],[PNP Fin corrigée]],fin_nuit)-MAX(Horaires3567348[[#This Row],[PNP Début corrigé]],deb_nuit)))*24</f>
        <v>0</v>
      </c>
      <c r="P13" s="41">
        <f>(IF(WEEKDAY(Horaires3567348[[#This Row],[Date]],2)=7,MAX(0,MIN(fin_dimJF,Horaires3567348[[#This Row],[Fin corrigée si nuit]])-MAX(deb_dimJF,Horaires3567348[[#This Row],[début]])),0)+IF(WEEKDAY(Horaires3567348[[#This Row],[Date]],2)=6,MAX(0,Horaires3567348[[#This Row],[Fin corrigée si nuit]]-(1+deb_dimJF)),0))*24</f>
        <v>0</v>
      </c>
      <c r="Q13" s="4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13" s="42">
        <f>(IF(COUNTIF(JF,Horaires3567348[[#This Row],[Date]]),MAX(0,MIN(fin_dimJF,Horaires3567348[[#This Row],[Fin corrigée si nuit]])-MAX(deb_dimJF,Horaires3567348[[#This Row],[début]])),0)+IF(COUNTIF(JF,Horaires3567348[[#This Row],[Date]]+1),MAX(0,Horaires3567348[[#This Row],[Fin corrigée si nuit]]-(1+deb_dimJF)),0))*24</f>
        <v>0</v>
      </c>
      <c r="S13" s="4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14" spans="1:19" x14ac:dyDescent="0.35">
      <c r="A14" s="9"/>
      <c r="B14" s="1"/>
      <c r="C14" s="2"/>
      <c r="D14" s="2"/>
      <c r="E14" s="3"/>
      <c r="F14" s="3"/>
      <c r="G14" s="3"/>
      <c r="H14" s="3"/>
      <c r="I14" s="38">
        <f>0.1*(Horaires3567348[[#This Row],[Heures de nuit]]+Horaires3567348[[#This Row],[heures jour dimanche]]+Horaires3567348[[#This Row],[heures jour fériés]])</f>
        <v>0</v>
      </c>
      <c r="J14" s="39">
        <f>(MOD(Horaires3567348[[#This Row],[Fin]]-Horaires3567348[[#This Row],[début]],1)-MOD(Horaires3567348[[#This Row],[PNP Fin]]-Horaires3567348[[#This Row],[PNP Début]],1))*24</f>
        <v>0</v>
      </c>
      <c r="K14" s="40">
        <f>IF(Horaires3567348[[#This Row],[PNP Début]]=0,0,IF(Horaires3567348[[#This Row],[PNP Début]]&lt;Horaires3567348[[#This Row],[début]],1,0)+Horaires3567348[[#This Row],[PNP Début]])</f>
        <v>0</v>
      </c>
      <c r="L14" s="40">
        <f>IF(Horaires3567348[[#This Row],[PNP Fin]]=0,0,IF(Horaires3567348[[#This Row],[PNP Fin]]&lt;Horaires3567348[[#This Row],[début]],1,0)+Horaires3567348[[#This Row],[PNP Fin]])</f>
        <v>0</v>
      </c>
      <c r="M14" s="40">
        <f>IF(Horaires3567348[[#This Row],[Fin]]&lt;Horaires3567348[[#This Row],[début]],1,0)+Horaires3567348[[#This Row],[Fin]]</f>
        <v>0</v>
      </c>
      <c r="N14" s="41">
        <f>MAX(0,MIN(Horaires3567348[[#This Row],[Fin corrigée si nuit]],fin_nuit)-MAX(Horaires3567348[[#This Row],[début]],deb_nuit))*24</f>
        <v>0</v>
      </c>
      <c r="O14" s="41">
        <f>(MAX(0,MIN(Horaires3567348[[#This Row],[Fin corrigée si nuit]],fin_nuit)-MAX(Horaires3567348[[#This Row],[début]],deb_nuit))-IF(Horaires3567348[[#This Row],[PNP Début]]=0,0,MIN(Horaires3567348[[#This Row],[PNP Fin corrigée]],fin_nuit)-MAX(Horaires3567348[[#This Row],[PNP Début corrigé]],deb_nuit)))*24</f>
        <v>0</v>
      </c>
      <c r="P14" s="41">
        <f>(IF(WEEKDAY(Horaires3567348[[#This Row],[Date]],2)=7,MAX(0,MIN(fin_dimJF,Horaires3567348[[#This Row],[Fin corrigée si nuit]])-MAX(deb_dimJF,Horaires3567348[[#This Row],[début]])),0)+IF(WEEKDAY(Horaires3567348[[#This Row],[Date]],2)=6,MAX(0,Horaires3567348[[#This Row],[Fin corrigée si nuit]]-(1+deb_dimJF)),0))*24</f>
        <v>0</v>
      </c>
      <c r="Q14" s="4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14" s="42">
        <f>(IF(COUNTIF(JF,Horaires3567348[[#This Row],[Date]]),MAX(0,MIN(fin_dimJF,Horaires3567348[[#This Row],[Fin corrigée si nuit]])-MAX(deb_dimJF,Horaires3567348[[#This Row],[début]])),0)+IF(COUNTIF(JF,Horaires3567348[[#This Row],[Date]]+1),MAX(0,Horaires3567348[[#This Row],[Fin corrigée si nuit]]-(1+deb_dimJF)),0))*24</f>
        <v>0</v>
      </c>
      <c r="S14" s="4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15" spans="1:19" x14ac:dyDescent="0.35">
      <c r="A15" s="9"/>
      <c r="B15" s="1"/>
      <c r="C15" s="2"/>
      <c r="D15" s="2"/>
      <c r="E15" s="3"/>
      <c r="F15" s="3"/>
      <c r="G15" s="3"/>
      <c r="H15" s="3"/>
      <c r="I15" s="38">
        <f>0.1*(Horaires3567348[[#This Row],[Heures de nuit]]+Horaires3567348[[#This Row],[heures jour dimanche]]+Horaires3567348[[#This Row],[heures jour fériés]])</f>
        <v>0</v>
      </c>
      <c r="J15" s="39">
        <f>(MOD(Horaires3567348[[#This Row],[Fin]]-Horaires3567348[[#This Row],[début]],1)-MOD(Horaires3567348[[#This Row],[PNP Fin]]-Horaires3567348[[#This Row],[PNP Début]],1))*24</f>
        <v>0</v>
      </c>
      <c r="K15" s="40">
        <f>IF(Horaires3567348[[#This Row],[PNP Début]]=0,0,IF(Horaires3567348[[#This Row],[PNP Début]]&lt;Horaires3567348[[#This Row],[début]],1,0)+Horaires3567348[[#This Row],[PNP Début]])</f>
        <v>0</v>
      </c>
      <c r="L15" s="40">
        <f>IF(Horaires3567348[[#This Row],[PNP Fin]]=0,0,IF(Horaires3567348[[#This Row],[PNP Fin]]&lt;Horaires3567348[[#This Row],[début]],1,0)+Horaires3567348[[#This Row],[PNP Fin]])</f>
        <v>0</v>
      </c>
      <c r="M15" s="40">
        <f>IF(Horaires3567348[[#This Row],[Fin]]&lt;Horaires3567348[[#This Row],[début]],1,0)+Horaires3567348[[#This Row],[Fin]]</f>
        <v>0</v>
      </c>
      <c r="N15" s="41">
        <f>MAX(0,MIN(Horaires3567348[[#This Row],[Fin corrigée si nuit]],fin_nuit)-MAX(Horaires3567348[[#This Row],[début]],deb_nuit))*24</f>
        <v>0</v>
      </c>
      <c r="O15" s="41">
        <f>(MAX(0,MIN(Horaires3567348[[#This Row],[Fin corrigée si nuit]],fin_nuit)-MAX(Horaires3567348[[#This Row],[début]],deb_nuit))-IF(Horaires3567348[[#This Row],[PNP Début]]=0,0,MIN(Horaires3567348[[#This Row],[PNP Fin corrigée]],fin_nuit)-MAX(Horaires3567348[[#This Row],[PNP Début corrigé]],deb_nuit)))*24</f>
        <v>0</v>
      </c>
      <c r="P15" s="41">
        <f>(IF(WEEKDAY(Horaires3567348[[#This Row],[Date]],2)=7,MAX(0,MIN(fin_dimJF,Horaires3567348[[#This Row],[Fin corrigée si nuit]])-MAX(deb_dimJF,Horaires3567348[[#This Row],[début]])),0)+IF(WEEKDAY(Horaires3567348[[#This Row],[Date]],2)=6,MAX(0,Horaires3567348[[#This Row],[Fin corrigée si nuit]]-(1+deb_dimJF)),0))*24</f>
        <v>0</v>
      </c>
      <c r="Q15" s="4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15" s="42">
        <f>(IF(COUNTIF(JF,Horaires3567348[[#This Row],[Date]]),MAX(0,MIN(fin_dimJF,Horaires3567348[[#This Row],[Fin corrigée si nuit]])-MAX(deb_dimJF,Horaires3567348[[#This Row],[début]])),0)+IF(COUNTIF(JF,Horaires3567348[[#This Row],[Date]]+1),MAX(0,Horaires3567348[[#This Row],[Fin corrigée si nuit]]-(1+deb_dimJF)),0))*24</f>
        <v>0</v>
      </c>
      <c r="S15" s="4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16" spans="1:19" x14ac:dyDescent="0.35">
      <c r="A16" s="9"/>
      <c r="B16" s="10"/>
      <c r="C16" s="2"/>
      <c r="D16" s="2"/>
      <c r="E16" s="3"/>
      <c r="F16" s="3"/>
      <c r="G16" s="11"/>
      <c r="H16" s="11"/>
      <c r="I16" s="38">
        <f>0.1*(Horaires3567348[[#This Row],[Heures de nuit]]+Horaires3567348[[#This Row],[heures jour dimanche]]+Horaires3567348[[#This Row],[heures jour fériés]])</f>
        <v>0</v>
      </c>
      <c r="J16" s="43">
        <f>(MOD(Horaires3567348[[#This Row],[Fin]]-Horaires3567348[[#This Row],[début]],1)-MOD(Horaires3567348[[#This Row],[PNP Fin]]-Horaires3567348[[#This Row],[PNP Début]],1))*24</f>
        <v>0</v>
      </c>
      <c r="K16" s="40">
        <f>IF(Horaires3567348[[#This Row],[PNP Début]]=0,0,IF(Horaires3567348[[#This Row],[PNP Début]]&lt;Horaires3567348[[#This Row],[début]],1,0)+Horaires3567348[[#This Row],[PNP Début]])</f>
        <v>0</v>
      </c>
      <c r="L16" s="40">
        <f>IF(Horaires3567348[[#This Row],[PNP Fin]]=0,0,IF(Horaires3567348[[#This Row],[PNP Fin]]&lt;Horaires3567348[[#This Row],[début]],1,0)+Horaires3567348[[#This Row],[PNP Fin]])</f>
        <v>0</v>
      </c>
      <c r="M16" s="44">
        <f>IF(Horaires3567348[[#This Row],[Fin]]&lt;Horaires3567348[[#This Row],[début]],1,0)+Horaires3567348[[#This Row],[Fin]]</f>
        <v>0</v>
      </c>
      <c r="N16" s="41">
        <f>MAX(0,MIN(Horaires3567348[[#This Row],[Fin corrigée si nuit]],fin_nuit)-MAX(Horaires3567348[[#This Row],[début]],deb_nuit))*24</f>
        <v>0</v>
      </c>
      <c r="O16" s="45">
        <f>(MAX(0,MIN(Horaires3567348[[#This Row],[Fin corrigée si nuit]],fin_nuit)-MAX(Horaires3567348[[#This Row],[début]],deb_nuit))-IF(Horaires3567348[[#This Row],[PNP Début]]=0,0,MIN(Horaires3567348[[#This Row],[PNP Fin corrigée]],fin_nuit)-MAX(Horaires3567348[[#This Row],[PNP Début corrigé]],deb_nuit)))*24</f>
        <v>0</v>
      </c>
      <c r="P16" s="45">
        <f>(IF(WEEKDAY(Horaires3567348[[#This Row],[Date]],2)=7,MAX(0,MIN(fin_dimJF,Horaires3567348[[#This Row],[Fin corrigée si nuit]])-MAX(deb_dimJF,Horaires3567348[[#This Row],[début]])),0)+IF(WEEKDAY(Horaires3567348[[#This Row],[Date]],2)=6,MAX(0,Horaires3567348[[#This Row],[Fin corrigée si nuit]]-(1+deb_dimJF)),0))*24</f>
        <v>0</v>
      </c>
      <c r="Q16" s="4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16" s="46">
        <f>(IF(COUNTIF(JF,Horaires3567348[[#This Row],[Date]]),MAX(0,MIN(fin_dimJF,Horaires3567348[[#This Row],[Fin corrigée si nuit]])-MAX(deb_dimJF,Horaires3567348[[#This Row],[début]])),0)+IF(COUNTIF(JF,Horaires3567348[[#This Row],[Date]]+1),MAX(0,Horaires3567348[[#This Row],[Fin corrigée si nuit]]-(1+deb_dimJF)),0))*24</f>
        <v>0</v>
      </c>
      <c r="S16" s="46">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17" spans="1:19" x14ac:dyDescent="0.35">
      <c r="A17" s="9"/>
      <c r="B17" s="1"/>
      <c r="C17" s="2"/>
      <c r="D17" s="2"/>
      <c r="E17" s="3"/>
      <c r="F17" s="3"/>
      <c r="G17" s="17"/>
      <c r="H17" s="17"/>
      <c r="I17" s="47">
        <f>0.1*(Horaires3567348[[#This Row],[Heures de nuit]]+Horaires3567348[[#This Row],[heures jour dimanche]]+Horaires3567348[[#This Row],[heures jour fériés]])</f>
        <v>0</v>
      </c>
      <c r="J17" s="48">
        <f>(MOD(Horaires3567348[[#This Row],[Fin]]-Horaires3567348[[#This Row],[début]],1)-MOD(Horaires3567348[[#This Row],[PNP Fin]]-Horaires3567348[[#This Row],[PNP Début]],1))*24</f>
        <v>0</v>
      </c>
      <c r="K17" s="49">
        <f>IF(Horaires3567348[[#This Row],[PNP Début]]=0,0,IF(Horaires3567348[[#This Row],[PNP Début]]&lt;Horaires3567348[[#This Row],[début]],1,0)+Horaires3567348[[#This Row],[PNP Début]])</f>
        <v>0</v>
      </c>
      <c r="L17" s="50">
        <f>IF(Horaires3567348[[#This Row],[PNP Fin]]=0,0,IF(Horaires3567348[[#This Row],[PNP Fin]]&lt;Horaires3567348[[#This Row],[début]],1,0)+Horaires3567348[[#This Row],[PNP Fin]])</f>
        <v>0</v>
      </c>
      <c r="M17" s="50">
        <f>IF(Horaires3567348[[#This Row],[Fin]]&lt;Horaires3567348[[#This Row],[début]],1,0)+Horaires3567348[[#This Row],[Fin]]</f>
        <v>0</v>
      </c>
      <c r="N17" s="41">
        <f>MAX(0,MIN(Horaires3567348[[#This Row],[Fin corrigée si nuit]],fin_nuit)-MAX(Horaires3567348[[#This Row],[début]],deb_nuit))*24</f>
        <v>0</v>
      </c>
      <c r="O17" s="51">
        <f>(MAX(0,MIN(Horaires3567348[[#This Row],[Fin corrigée si nuit]],fin_nuit)-MAX(Horaires3567348[[#This Row],[début]],deb_nuit))-IF(Horaires3567348[[#This Row],[PNP Début]]=0,0,MIN(Horaires3567348[[#This Row],[PNP Fin corrigée]],fin_nuit)-MAX(Horaires3567348[[#This Row],[PNP Début corrigé]],deb_nuit)))*24</f>
        <v>0</v>
      </c>
      <c r="P17" s="51">
        <f>(IF(WEEKDAY(Horaires3567348[[#This Row],[Date]],2)=7,MAX(0,MIN(fin_dimJF,Horaires3567348[[#This Row],[Fin corrigée si nuit]])-MAX(deb_dimJF,Horaires3567348[[#This Row],[début]])),0)+IF(WEEKDAY(Horaires3567348[[#This Row],[Date]],2)=6,MAX(0,Horaires3567348[[#This Row],[Fin corrigée si nuit]]-(1+deb_dimJF)),0))*24</f>
        <v>0</v>
      </c>
      <c r="Q17" s="5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17" s="51">
        <f>(IF(COUNTIF(JF,Horaires3567348[[#This Row],[Date]]),MAX(0,MIN(fin_dimJF,Horaires3567348[[#This Row],[Fin corrigée si nuit]])-MAX(deb_dimJF,Horaires3567348[[#This Row],[début]])),0)+IF(COUNTIF(JF,Horaires3567348[[#This Row],[Date]]+1),MAX(0,Horaires3567348[[#This Row],[Fin corrigée si nuit]]-(1+deb_dimJF)),0))*24</f>
        <v>0</v>
      </c>
      <c r="S17" s="51">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18" spans="1:19" x14ac:dyDescent="0.35">
      <c r="A18" s="9"/>
      <c r="B18" s="69"/>
      <c r="C18" s="16"/>
      <c r="D18" s="16"/>
      <c r="E18" s="17"/>
      <c r="F18" s="17"/>
      <c r="G18" s="17"/>
      <c r="H18" s="17"/>
      <c r="I18" s="47">
        <f>0.1*(Horaires3567348[[#This Row],[Heures de nuit]]+Horaires3567348[[#This Row],[heures jour dimanche]]+Horaires3567348[[#This Row],[heures jour fériés]])</f>
        <v>0</v>
      </c>
      <c r="J18" s="48">
        <f>(MOD(Horaires3567348[[#This Row],[Fin]]-Horaires3567348[[#This Row],[début]],1)-MOD(Horaires3567348[[#This Row],[PNP Fin]]-Horaires3567348[[#This Row],[PNP Début]],1))*24</f>
        <v>0</v>
      </c>
      <c r="K18" s="49">
        <f>IF(Horaires3567348[[#This Row],[PNP Début]]=0,0,IF(Horaires3567348[[#This Row],[PNP Début]]&lt;Horaires3567348[[#This Row],[début]],1,0)+Horaires3567348[[#This Row],[PNP Début]])</f>
        <v>0</v>
      </c>
      <c r="L18" s="50">
        <f>IF(Horaires3567348[[#This Row],[PNP Fin]]=0,0,IF(Horaires3567348[[#This Row],[PNP Fin]]&lt;Horaires3567348[[#This Row],[début]],1,0)+Horaires3567348[[#This Row],[PNP Fin]])</f>
        <v>0</v>
      </c>
      <c r="M18" s="50">
        <f>IF(Horaires3567348[[#This Row],[Fin]]&lt;Horaires3567348[[#This Row],[début]],1,0)+Horaires3567348[[#This Row],[Fin]]</f>
        <v>0</v>
      </c>
      <c r="N18" s="41">
        <f>MAX(0,MIN(Horaires3567348[[#This Row],[Fin corrigée si nuit]],fin_nuit)-MAX(Horaires3567348[[#This Row],[début]],deb_nuit))*24</f>
        <v>0</v>
      </c>
      <c r="O18" s="51">
        <f>(MAX(0,MIN(Horaires3567348[[#This Row],[Fin corrigée si nuit]],fin_nuit)-MAX(Horaires3567348[[#This Row],[début]],deb_nuit))-IF(Horaires3567348[[#This Row],[PNP Début]]=0,0,MIN(Horaires3567348[[#This Row],[PNP Fin corrigée]],fin_nuit)-MAX(Horaires3567348[[#This Row],[PNP Début corrigé]],deb_nuit)))*24</f>
        <v>0</v>
      </c>
      <c r="P18" s="51">
        <f>(IF(WEEKDAY(Horaires3567348[[#This Row],[Date]],2)=7,MAX(0,MIN(fin_dimJF,Horaires3567348[[#This Row],[Fin corrigée si nuit]])-MAX(deb_dimJF,Horaires3567348[[#This Row],[début]])),0)+IF(WEEKDAY(Horaires3567348[[#This Row],[Date]],2)=6,MAX(0,Horaires3567348[[#This Row],[Fin corrigée si nuit]]-(1+deb_dimJF)),0))*24</f>
        <v>0</v>
      </c>
      <c r="Q18" s="5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18" s="51">
        <f>(IF(COUNTIF(JF,Horaires3567348[[#This Row],[Date]]),MAX(0,MIN(fin_dimJF,Horaires3567348[[#This Row],[Fin corrigée si nuit]])-MAX(deb_dimJF,Horaires3567348[[#This Row],[début]])),0)+IF(COUNTIF(JF,Horaires3567348[[#This Row],[Date]]+1),MAX(0,Horaires3567348[[#This Row],[Fin corrigée si nuit]]-(1+deb_dimJF)),0))*24</f>
        <v>0</v>
      </c>
      <c r="S18" s="51">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19" spans="1:19" x14ac:dyDescent="0.35">
      <c r="A19" s="9"/>
      <c r="B19" s="1"/>
      <c r="C19" s="16"/>
      <c r="D19" s="16"/>
      <c r="E19" s="3"/>
      <c r="F19" s="3"/>
      <c r="G19" s="17"/>
      <c r="H19" s="17"/>
      <c r="I19" s="47">
        <f>0.1*(Horaires3567348[[#This Row],[Heures de nuit]]+Horaires3567348[[#This Row],[heures jour dimanche]]+Horaires3567348[[#This Row],[heures jour fériés]])</f>
        <v>0</v>
      </c>
      <c r="J19" s="48">
        <f>(MOD(Horaires3567348[[#This Row],[Fin]]-Horaires3567348[[#This Row],[début]],1)-MOD(Horaires3567348[[#This Row],[PNP Fin]]-Horaires3567348[[#This Row],[PNP Début]],1))*24</f>
        <v>0</v>
      </c>
      <c r="K19" s="49">
        <f>IF(Horaires3567348[[#This Row],[PNP Début]]=0,0,IF(Horaires3567348[[#This Row],[PNP Début]]&lt;Horaires3567348[[#This Row],[début]],1,0)+Horaires3567348[[#This Row],[PNP Début]])</f>
        <v>0</v>
      </c>
      <c r="L19" s="50">
        <f>IF(Horaires3567348[[#This Row],[PNP Fin]]=0,0,IF(Horaires3567348[[#This Row],[PNP Fin]]&lt;Horaires3567348[[#This Row],[début]],1,0)+Horaires3567348[[#This Row],[PNP Fin]])</f>
        <v>0</v>
      </c>
      <c r="M19" s="50">
        <f>IF(Horaires3567348[[#This Row],[Fin]]&lt;Horaires3567348[[#This Row],[début]],1,0)+Horaires3567348[[#This Row],[Fin]]</f>
        <v>0</v>
      </c>
      <c r="N19" s="41">
        <f>MAX(0,MIN(Horaires3567348[[#This Row],[Fin corrigée si nuit]],fin_nuit)-MAX(Horaires3567348[[#This Row],[début]],deb_nuit))*24</f>
        <v>0</v>
      </c>
      <c r="O19" s="51">
        <f>(MAX(0,MIN(Horaires3567348[[#This Row],[Fin corrigée si nuit]],fin_nuit)-MAX(Horaires3567348[[#This Row],[début]],deb_nuit))-IF(Horaires3567348[[#This Row],[PNP Début]]=0,0,MIN(Horaires3567348[[#This Row],[PNP Fin corrigée]],fin_nuit)-MAX(Horaires3567348[[#This Row],[PNP Début corrigé]],deb_nuit)))*24</f>
        <v>0</v>
      </c>
      <c r="P19" s="51">
        <f>(IF(WEEKDAY(Horaires3567348[[#This Row],[Date]],2)=7,MAX(0,MIN(fin_dimJF,Horaires3567348[[#This Row],[Fin corrigée si nuit]])-MAX(deb_dimJF,Horaires3567348[[#This Row],[début]])),0)+IF(WEEKDAY(Horaires3567348[[#This Row],[Date]],2)=6,MAX(0,Horaires3567348[[#This Row],[Fin corrigée si nuit]]-(1+deb_dimJF)),0))*24</f>
        <v>0</v>
      </c>
      <c r="Q19" s="5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19" s="51">
        <f>(IF(COUNTIF(JF,Horaires3567348[[#This Row],[Date]]),MAX(0,MIN(fin_dimJF,Horaires3567348[[#This Row],[Fin corrigée si nuit]])-MAX(deb_dimJF,Horaires3567348[[#This Row],[début]])),0)+IF(COUNTIF(JF,Horaires3567348[[#This Row],[Date]]+1),MAX(0,Horaires3567348[[#This Row],[Fin corrigée si nuit]]-(1+deb_dimJF)),0))*24</f>
        <v>0</v>
      </c>
      <c r="S19" s="51">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0" spans="1:19" x14ac:dyDescent="0.35">
      <c r="A20" s="9"/>
      <c r="B20" s="1"/>
      <c r="C20" s="16"/>
      <c r="D20" s="16"/>
      <c r="E20" s="17"/>
      <c r="F20" s="17"/>
      <c r="G20" s="17"/>
      <c r="H20" s="17"/>
      <c r="I20" s="47">
        <f>0.1*(Horaires3567348[[#This Row],[Heures de nuit]]+Horaires3567348[[#This Row],[heures jour dimanche]]+Horaires3567348[[#This Row],[heures jour fériés]])</f>
        <v>0</v>
      </c>
      <c r="J20" s="48">
        <f>(MOD(Horaires3567348[[#This Row],[Fin]]-Horaires3567348[[#This Row],[début]],1)-MOD(Horaires3567348[[#This Row],[PNP Fin]]-Horaires3567348[[#This Row],[PNP Début]],1))*24</f>
        <v>0</v>
      </c>
      <c r="K20" s="49">
        <f>IF(Horaires3567348[[#This Row],[PNP Début]]=0,0,IF(Horaires3567348[[#This Row],[PNP Début]]&lt;Horaires3567348[[#This Row],[début]],1,0)+Horaires3567348[[#This Row],[PNP Début]])</f>
        <v>0</v>
      </c>
      <c r="L20" s="50">
        <f>IF(Horaires3567348[[#This Row],[PNP Fin]]=0,0,IF(Horaires3567348[[#This Row],[PNP Fin]]&lt;Horaires3567348[[#This Row],[début]],1,0)+Horaires3567348[[#This Row],[PNP Fin]])</f>
        <v>0</v>
      </c>
      <c r="M20" s="50">
        <f>IF(Horaires3567348[[#This Row],[Fin]]&lt;Horaires3567348[[#This Row],[début]],1,0)+Horaires3567348[[#This Row],[Fin]]</f>
        <v>0</v>
      </c>
      <c r="N20" s="41">
        <f>MAX(0,MIN(Horaires3567348[[#This Row],[Fin corrigée si nuit]],fin_nuit)-MAX(Horaires3567348[[#This Row],[début]],deb_nuit))*24</f>
        <v>0</v>
      </c>
      <c r="O20" s="51">
        <f>(MAX(0,MIN(Horaires3567348[[#This Row],[Fin corrigée si nuit]],fin_nuit)-MAX(Horaires3567348[[#This Row],[début]],deb_nuit))-IF(Horaires3567348[[#This Row],[PNP Début]]=0,0,MIN(Horaires3567348[[#This Row],[PNP Fin corrigée]],fin_nuit)-MAX(Horaires3567348[[#This Row],[PNP Début corrigé]],deb_nuit)))*24</f>
        <v>0</v>
      </c>
      <c r="P20" s="51">
        <f>(IF(WEEKDAY(Horaires3567348[[#This Row],[Date]],2)=7,MAX(0,MIN(fin_dimJF,Horaires3567348[[#This Row],[Fin corrigée si nuit]])-MAX(deb_dimJF,Horaires3567348[[#This Row],[début]])),0)+IF(WEEKDAY(Horaires3567348[[#This Row],[Date]],2)=6,MAX(0,Horaires3567348[[#This Row],[Fin corrigée si nuit]]-(1+deb_dimJF)),0))*24</f>
        <v>0</v>
      </c>
      <c r="Q20" s="51">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0" s="51">
        <f>(IF(COUNTIF(JF,Horaires3567348[[#This Row],[Date]]),MAX(0,MIN(fin_dimJF,Horaires3567348[[#This Row],[Fin corrigée si nuit]])-MAX(deb_dimJF,Horaires3567348[[#This Row],[début]])),0)+IF(COUNTIF(JF,Horaires3567348[[#This Row],[Date]]+1),MAX(0,Horaires3567348[[#This Row],[Fin corrigée si nuit]]-(1+deb_dimJF)),0))*24</f>
        <v>0</v>
      </c>
      <c r="S20" s="51">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1" spans="1:19" x14ac:dyDescent="0.35">
      <c r="A21" s="9"/>
      <c r="B21" s="10"/>
      <c r="C21" s="18"/>
      <c r="D21" s="18"/>
      <c r="E21" s="3"/>
      <c r="F21" s="3"/>
      <c r="G21" s="19"/>
      <c r="H21" s="19"/>
      <c r="I21" s="52">
        <f>0.1*(Horaires3567348[[#This Row],[Heures de nuit]]+Horaires3567348[[#This Row],[heures jour dimanche]]+Horaires3567348[[#This Row],[heures jour fériés]])</f>
        <v>0</v>
      </c>
      <c r="J21" s="53">
        <f>(MOD(Horaires3567348[[#This Row],[Fin]]-Horaires3567348[[#This Row],[début]],1)-MOD(Horaires3567348[[#This Row],[PNP Fin]]-Horaires3567348[[#This Row],[PNP Début]],1))*24</f>
        <v>0</v>
      </c>
      <c r="K21" s="54">
        <f>IF(Horaires3567348[[#This Row],[PNP Début]]=0,0,IF(Horaires3567348[[#This Row],[PNP Début]]&lt;Horaires3567348[[#This Row],[début]],1,0)+Horaires3567348[[#This Row],[PNP Début]])</f>
        <v>0</v>
      </c>
      <c r="L21" s="55">
        <f>IF(Horaires3567348[[#This Row],[PNP Fin]]=0,0,IF(Horaires3567348[[#This Row],[PNP Fin]]&lt;Horaires3567348[[#This Row],[début]],1,0)+Horaires3567348[[#This Row],[PNP Fin]])</f>
        <v>0</v>
      </c>
      <c r="M21" s="55">
        <f>IF(Horaires3567348[[#This Row],[Fin]]&lt;Horaires3567348[[#This Row],[début]],1,0)+Horaires3567348[[#This Row],[Fin]]</f>
        <v>0</v>
      </c>
      <c r="N21" s="41">
        <f>MAX(0,MIN(Horaires3567348[[#This Row],[Fin corrigée si nuit]],fin_nuit)-MAX(Horaires3567348[[#This Row],[début]],deb_nuit))*24</f>
        <v>0</v>
      </c>
      <c r="O21" s="56">
        <f>(MAX(0,MIN(Horaires3567348[[#This Row],[Fin corrigée si nuit]],fin_nuit)-MAX(Horaires3567348[[#This Row],[début]],deb_nuit))-IF(Horaires3567348[[#This Row],[PNP Début]]=0,0,MIN(Horaires3567348[[#This Row],[PNP Fin corrigée]],fin_nuit)-MAX(Horaires3567348[[#This Row],[PNP Début corrigé]],deb_nuit)))*24</f>
        <v>0</v>
      </c>
      <c r="P21" s="56">
        <f>(IF(WEEKDAY(Horaires3567348[[#This Row],[Date]],2)=7,MAX(0,MIN(fin_dimJF,Horaires3567348[[#This Row],[Fin corrigée si nuit]])-MAX(deb_dimJF,Horaires3567348[[#This Row],[début]])),0)+IF(WEEKDAY(Horaires3567348[[#This Row],[Date]],2)=6,MAX(0,Horaires3567348[[#This Row],[Fin corrigée si nuit]]-(1+deb_dimJF)),0))*24</f>
        <v>0</v>
      </c>
      <c r="Q21" s="56">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1" s="56">
        <f>(IF(COUNTIF(JF,Horaires3567348[[#This Row],[Date]]),MAX(0,MIN(fin_dimJF,Horaires3567348[[#This Row],[Fin corrigée si nuit]])-MAX(deb_dimJF,Horaires3567348[[#This Row],[début]])),0)+IF(COUNTIF(JF,Horaires3567348[[#This Row],[Date]]+1),MAX(0,Horaires3567348[[#This Row],[Fin corrigée si nuit]]-(1+deb_dimJF)),0))*24</f>
        <v>0</v>
      </c>
      <c r="S21" s="56">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2" spans="1:19" x14ac:dyDescent="0.35">
      <c r="A22" s="9"/>
      <c r="B22" s="1"/>
      <c r="C22" s="18"/>
      <c r="D22" s="18"/>
      <c r="E22" s="3"/>
      <c r="F22" s="3"/>
      <c r="G22" s="3"/>
      <c r="H22" s="3"/>
      <c r="I22" s="57">
        <f>0.1*(Horaires3567348[[#This Row],[Heures de nuit]]+Horaires3567348[[#This Row],[heures jour dimanche]]+Horaires3567348[[#This Row],[heures jour fériés]])</f>
        <v>0</v>
      </c>
      <c r="J22" s="58">
        <f>(MOD(Horaires3567348[[#This Row],[Fin]]-Horaires3567348[[#This Row],[début]],1)-MOD(Horaires3567348[[#This Row],[PNP Fin]]-Horaires3567348[[#This Row],[PNP Début]],1))*24</f>
        <v>0</v>
      </c>
      <c r="K22" s="59">
        <f>IF(Horaires3567348[[#This Row],[PNP Début]]=0,0,IF(Horaires3567348[[#This Row],[PNP Début]]&lt;Horaires3567348[[#This Row],[début]],1,0)+Horaires3567348[[#This Row],[PNP Début]])</f>
        <v>0</v>
      </c>
      <c r="L22" s="60">
        <f>IF(Horaires3567348[[#This Row],[PNP Fin]]=0,0,IF(Horaires3567348[[#This Row],[PNP Fin]]&lt;Horaires3567348[[#This Row],[début]],1,0)+Horaires3567348[[#This Row],[PNP Fin]])</f>
        <v>0</v>
      </c>
      <c r="M22" s="60">
        <f>IF(Horaires3567348[[#This Row],[Fin]]&lt;Horaires3567348[[#This Row],[début]],1,0)+Horaires3567348[[#This Row],[Fin]]</f>
        <v>0</v>
      </c>
      <c r="N22" s="61">
        <f>MAX(0,MIN(Horaires3567348[[#This Row],[Fin corrigée si nuit]],fin_nuit)-MAX(Horaires3567348[[#This Row],[début]],deb_nuit))*24</f>
        <v>0</v>
      </c>
      <c r="O22" s="62">
        <f>(MAX(0,MIN(Horaires3567348[[#This Row],[Fin corrigée si nuit]],fin_nuit)-MAX(Horaires3567348[[#This Row],[début]],deb_nuit))-IF(Horaires3567348[[#This Row],[PNP Début]]=0,0,MIN(Horaires3567348[[#This Row],[PNP Fin corrigée]],fin_nuit)-MAX(Horaires3567348[[#This Row],[PNP Début corrigé]],deb_nuit)))*24</f>
        <v>0</v>
      </c>
      <c r="P22" s="62">
        <f>(IF(WEEKDAY(Horaires3567348[[#This Row],[Date]],2)=7,MAX(0,MIN(fin_dimJF,Horaires3567348[[#This Row],[Fin corrigée si nuit]])-MAX(deb_dimJF,Horaires3567348[[#This Row],[début]])),0)+IF(WEEKDAY(Horaires3567348[[#This Row],[Date]],2)=6,MAX(0,Horaires3567348[[#This Row],[Fin corrigée si nuit]]-(1+deb_dimJF)),0))*24</f>
        <v>0</v>
      </c>
      <c r="Q22"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2" s="62">
        <f>(IF(COUNTIF(JF,Horaires3567348[[#This Row],[Date]]),MAX(0,MIN(fin_dimJF,Horaires3567348[[#This Row],[Fin corrigée si nuit]])-MAX(deb_dimJF,Horaires3567348[[#This Row],[début]])),0)+IF(COUNTIF(JF,Horaires3567348[[#This Row],[Date]]+1),MAX(0,Horaires3567348[[#This Row],[Fin corrigée si nuit]]-(1+deb_dimJF)),0))*24</f>
        <v>0</v>
      </c>
      <c r="S22"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3" spans="1:19" x14ac:dyDescent="0.35">
      <c r="A23" s="9"/>
      <c r="B23" s="1"/>
      <c r="C23" s="18"/>
      <c r="D23" s="18"/>
      <c r="E23" s="3"/>
      <c r="F23" s="3"/>
      <c r="G23" s="3"/>
      <c r="H23" s="3"/>
      <c r="I23" s="57">
        <f>0.1*(Horaires3567348[[#This Row],[Heures de nuit]]+Horaires3567348[[#This Row],[heures jour dimanche]]+Horaires3567348[[#This Row],[heures jour fériés]])</f>
        <v>0</v>
      </c>
      <c r="J23" s="58">
        <f>(MOD(Horaires3567348[[#This Row],[Fin]]-Horaires3567348[[#This Row],[début]],1)-MOD(Horaires3567348[[#This Row],[PNP Fin]]-Horaires3567348[[#This Row],[PNP Début]],1))*24</f>
        <v>0</v>
      </c>
      <c r="K23" s="59">
        <f>IF(Horaires3567348[[#This Row],[PNP Début]]=0,0,IF(Horaires3567348[[#This Row],[PNP Début]]&lt;Horaires3567348[[#This Row],[début]],1,0)+Horaires3567348[[#This Row],[PNP Début]])</f>
        <v>0</v>
      </c>
      <c r="L23" s="60">
        <f>IF(Horaires3567348[[#This Row],[PNP Fin]]=0,0,IF(Horaires3567348[[#This Row],[PNP Fin]]&lt;Horaires3567348[[#This Row],[début]],1,0)+Horaires3567348[[#This Row],[PNP Fin]])</f>
        <v>0</v>
      </c>
      <c r="M23" s="60">
        <f>IF(Horaires3567348[[#This Row],[Fin]]&lt;Horaires3567348[[#This Row],[début]],1,0)+Horaires3567348[[#This Row],[Fin]]</f>
        <v>0</v>
      </c>
      <c r="N23" s="61">
        <f>MAX(0,MIN(Horaires3567348[[#This Row],[Fin corrigée si nuit]],fin_nuit)-MAX(Horaires3567348[[#This Row],[début]],deb_nuit))*24</f>
        <v>0</v>
      </c>
      <c r="O23" s="62">
        <f>(MAX(0,MIN(Horaires3567348[[#This Row],[Fin corrigée si nuit]],fin_nuit)-MAX(Horaires3567348[[#This Row],[début]],deb_nuit))-IF(Horaires3567348[[#This Row],[PNP Début]]=0,0,MIN(Horaires3567348[[#This Row],[PNP Fin corrigée]],fin_nuit)-MAX(Horaires3567348[[#This Row],[PNP Début corrigé]],deb_nuit)))*24</f>
        <v>0</v>
      </c>
      <c r="P23" s="62">
        <f>(IF(WEEKDAY(Horaires3567348[[#This Row],[Date]],2)=7,MAX(0,MIN(fin_dimJF,Horaires3567348[[#This Row],[Fin corrigée si nuit]])-MAX(deb_dimJF,Horaires3567348[[#This Row],[début]])),0)+IF(WEEKDAY(Horaires3567348[[#This Row],[Date]],2)=6,MAX(0,Horaires3567348[[#This Row],[Fin corrigée si nuit]]-(1+deb_dimJF)),0))*24</f>
        <v>0</v>
      </c>
      <c r="Q23"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3" s="62">
        <f>(IF(COUNTIF(JF,Horaires3567348[[#This Row],[Date]]),MAX(0,MIN(fin_dimJF,Horaires3567348[[#This Row],[Fin corrigée si nuit]])-MAX(deb_dimJF,Horaires3567348[[#This Row],[début]])),0)+IF(COUNTIF(JF,Horaires3567348[[#This Row],[Date]]+1),MAX(0,Horaires3567348[[#This Row],[Fin corrigée si nuit]]-(1+deb_dimJF)),0))*24</f>
        <v>0</v>
      </c>
      <c r="S23"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4" spans="1:19" x14ac:dyDescent="0.35">
      <c r="A24" s="9"/>
      <c r="B24" s="1"/>
      <c r="C24" s="2"/>
      <c r="D24" s="2"/>
      <c r="E24" s="3"/>
      <c r="F24" s="3"/>
      <c r="G24" s="3"/>
      <c r="H24" s="3"/>
      <c r="I24" s="57">
        <f>0.1*(Horaires3567348[[#This Row],[Heures de nuit]]+Horaires3567348[[#This Row],[heures jour dimanche]]+Horaires3567348[[#This Row],[heures jour fériés]])</f>
        <v>0</v>
      </c>
      <c r="J24" s="58">
        <f>(MOD(Horaires3567348[[#This Row],[Fin]]-Horaires3567348[[#This Row],[début]],1)-MOD(Horaires3567348[[#This Row],[PNP Fin]]-Horaires3567348[[#This Row],[PNP Début]],1))*24</f>
        <v>0</v>
      </c>
      <c r="K24" s="59">
        <f>IF(Horaires3567348[[#This Row],[PNP Début]]=0,0,IF(Horaires3567348[[#This Row],[PNP Début]]&lt;Horaires3567348[[#This Row],[début]],1,0)+Horaires3567348[[#This Row],[PNP Début]])</f>
        <v>0</v>
      </c>
      <c r="L24" s="60">
        <f>IF(Horaires3567348[[#This Row],[PNP Fin]]=0,0,IF(Horaires3567348[[#This Row],[PNP Fin]]&lt;Horaires3567348[[#This Row],[début]],1,0)+Horaires3567348[[#This Row],[PNP Fin]])</f>
        <v>0</v>
      </c>
      <c r="M24" s="60">
        <f>IF(Horaires3567348[[#This Row],[Fin]]&lt;Horaires3567348[[#This Row],[début]],1,0)+Horaires3567348[[#This Row],[Fin]]</f>
        <v>0</v>
      </c>
      <c r="N24" s="61">
        <f>MAX(0,MIN(Horaires3567348[[#This Row],[Fin corrigée si nuit]],fin_nuit)-MAX(Horaires3567348[[#This Row],[début]],deb_nuit))*24</f>
        <v>0</v>
      </c>
      <c r="O24" s="62">
        <f>(MAX(0,MIN(Horaires3567348[[#This Row],[Fin corrigée si nuit]],fin_nuit)-MAX(Horaires3567348[[#This Row],[début]],deb_nuit))-IF(Horaires3567348[[#This Row],[PNP Début]]=0,0,MIN(Horaires3567348[[#This Row],[PNP Fin corrigée]],fin_nuit)-MAX(Horaires3567348[[#This Row],[PNP Début corrigé]],deb_nuit)))*24</f>
        <v>0</v>
      </c>
      <c r="P24" s="62">
        <f>(IF(WEEKDAY(Horaires3567348[[#This Row],[Date]],2)=7,MAX(0,MIN(fin_dimJF,Horaires3567348[[#This Row],[Fin corrigée si nuit]])-MAX(deb_dimJF,Horaires3567348[[#This Row],[début]])),0)+IF(WEEKDAY(Horaires3567348[[#This Row],[Date]],2)=6,MAX(0,Horaires3567348[[#This Row],[Fin corrigée si nuit]]-(1+deb_dimJF)),0))*24</f>
        <v>0</v>
      </c>
      <c r="Q24"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4" s="62">
        <f>(IF(COUNTIF(JF,Horaires3567348[[#This Row],[Date]]),MAX(0,MIN(fin_dimJF,Horaires3567348[[#This Row],[Fin corrigée si nuit]])-MAX(deb_dimJF,Horaires3567348[[#This Row],[début]])),0)+IF(COUNTIF(JF,Horaires3567348[[#This Row],[Date]]+1),MAX(0,Horaires3567348[[#This Row],[Fin corrigée si nuit]]-(1+deb_dimJF)),0))*24</f>
        <v>0</v>
      </c>
      <c r="S24"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5" spans="1:19" x14ac:dyDescent="0.35">
      <c r="A25" s="9"/>
      <c r="B25" s="1"/>
      <c r="C25" s="2"/>
      <c r="D25" s="2"/>
      <c r="E25" s="3"/>
      <c r="F25" s="3"/>
      <c r="G25" s="3"/>
      <c r="H25" s="3"/>
      <c r="I25" s="57">
        <f>0.1*(Horaires3567348[[#This Row],[Heures de nuit]]+Horaires3567348[[#This Row],[heures jour dimanche]]+Horaires3567348[[#This Row],[heures jour fériés]])</f>
        <v>0</v>
      </c>
      <c r="J25" s="58">
        <f>(MOD(Horaires3567348[[#This Row],[Fin]]-Horaires3567348[[#This Row],[début]],1)-MOD(Horaires3567348[[#This Row],[PNP Fin]]-Horaires3567348[[#This Row],[PNP Début]],1))*24</f>
        <v>0</v>
      </c>
      <c r="K25" s="59">
        <f>IF(Horaires3567348[[#This Row],[PNP Début]]=0,0,IF(Horaires3567348[[#This Row],[PNP Début]]&lt;Horaires3567348[[#This Row],[début]],1,0)+Horaires3567348[[#This Row],[PNP Début]])</f>
        <v>0</v>
      </c>
      <c r="L25" s="60">
        <f>IF(Horaires3567348[[#This Row],[PNP Fin]]=0,0,IF(Horaires3567348[[#This Row],[PNP Fin]]&lt;Horaires3567348[[#This Row],[début]],1,0)+Horaires3567348[[#This Row],[PNP Fin]])</f>
        <v>0</v>
      </c>
      <c r="M25" s="60">
        <f>IF(Horaires3567348[[#This Row],[Fin]]&lt;Horaires3567348[[#This Row],[début]],1,0)+Horaires3567348[[#This Row],[Fin]]</f>
        <v>0</v>
      </c>
      <c r="N25" s="61">
        <f>MAX(0,MIN(Horaires3567348[[#This Row],[Fin corrigée si nuit]],fin_nuit)-MAX(Horaires3567348[[#This Row],[début]],deb_nuit))*24</f>
        <v>0</v>
      </c>
      <c r="O25" s="62">
        <f>(MAX(0,MIN(Horaires3567348[[#This Row],[Fin corrigée si nuit]],fin_nuit)-MAX(Horaires3567348[[#This Row],[début]],deb_nuit))-IF(Horaires3567348[[#This Row],[PNP Début]]=0,0,MIN(Horaires3567348[[#This Row],[PNP Fin corrigée]],fin_nuit)-MAX(Horaires3567348[[#This Row],[PNP Début corrigé]],deb_nuit)))*24</f>
        <v>0</v>
      </c>
      <c r="P25" s="62">
        <f>(IF(WEEKDAY(Horaires3567348[[#This Row],[Date]],2)=7,MAX(0,MIN(fin_dimJF,Horaires3567348[[#This Row],[Fin corrigée si nuit]])-MAX(deb_dimJF,Horaires3567348[[#This Row],[début]])),0)+IF(WEEKDAY(Horaires3567348[[#This Row],[Date]],2)=6,MAX(0,Horaires3567348[[#This Row],[Fin corrigée si nuit]]-(1+deb_dimJF)),0))*24</f>
        <v>0</v>
      </c>
      <c r="Q25"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5" s="62">
        <f>(IF(COUNTIF(JF,Horaires3567348[[#This Row],[Date]]),MAX(0,MIN(fin_dimJF,Horaires3567348[[#This Row],[Fin corrigée si nuit]])-MAX(deb_dimJF,Horaires3567348[[#This Row],[début]])),0)+IF(COUNTIF(JF,Horaires3567348[[#This Row],[Date]]+1),MAX(0,Horaires3567348[[#This Row],[Fin corrigée si nuit]]-(1+deb_dimJF)),0))*24</f>
        <v>0</v>
      </c>
      <c r="S25"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6" spans="1:19" ht="21" customHeight="1" x14ac:dyDescent="0.35">
      <c r="A26" s="9"/>
      <c r="B26" s="1"/>
      <c r="C26" s="2"/>
      <c r="D26" s="2"/>
      <c r="E26" s="3"/>
      <c r="F26" s="3"/>
      <c r="G26" s="3"/>
      <c r="H26" s="3"/>
      <c r="I26" s="57">
        <f>0.1*(Horaires3567348[[#This Row],[Heures de nuit]]+Horaires3567348[[#This Row],[heures jour dimanche]]+Horaires3567348[[#This Row],[heures jour fériés]])</f>
        <v>0</v>
      </c>
      <c r="J26" s="58">
        <f>(MOD(Horaires3567348[[#This Row],[Fin]]-Horaires3567348[[#This Row],[début]],1)-MOD(Horaires3567348[[#This Row],[PNP Fin]]-Horaires3567348[[#This Row],[PNP Début]],1))*24</f>
        <v>0</v>
      </c>
      <c r="K26" s="59">
        <f>IF(Horaires3567348[[#This Row],[PNP Début]]=0,0,IF(Horaires3567348[[#This Row],[PNP Début]]&lt;Horaires3567348[[#This Row],[début]],1,0)+Horaires3567348[[#This Row],[PNP Début]])</f>
        <v>0</v>
      </c>
      <c r="L26" s="60">
        <f>IF(Horaires3567348[[#This Row],[PNP Fin]]=0,0,IF(Horaires3567348[[#This Row],[PNP Fin]]&lt;Horaires3567348[[#This Row],[début]],1,0)+Horaires3567348[[#This Row],[PNP Fin]])</f>
        <v>0</v>
      </c>
      <c r="M26" s="60">
        <f>IF(Horaires3567348[[#This Row],[Fin]]&lt;Horaires3567348[[#This Row],[début]],1,0)+Horaires3567348[[#This Row],[Fin]]</f>
        <v>0</v>
      </c>
      <c r="N26" s="61">
        <f>MAX(0,MIN(Horaires3567348[[#This Row],[Fin corrigée si nuit]],fin_nuit)-MAX(Horaires3567348[[#This Row],[début]],deb_nuit))*24</f>
        <v>0</v>
      </c>
      <c r="O26" s="62">
        <f>(MAX(0,MIN(Horaires3567348[[#This Row],[Fin corrigée si nuit]],fin_nuit)-MAX(Horaires3567348[[#This Row],[début]],deb_nuit))-IF(Horaires3567348[[#This Row],[PNP Début]]=0,0,MIN(Horaires3567348[[#This Row],[PNP Fin corrigée]],fin_nuit)-MAX(Horaires3567348[[#This Row],[PNP Début corrigé]],deb_nuit)))*24</f>
        <v>0</v>
      </c>
      <c r="P26" s="62">
        <f>(IF(WEEKDAY(Horaires3567348[[#This Row],[Date]],2)=7,MAX(0,MIN(fin_dimJF,Horaires3567348[[#This Row],[Fin corrigée si nuit]])-MAX(deb_dimJF,Horaires3567348[[#This Row],[début]])),0)+IF(WEEKDAY(Horaires3567348[[#This Row],[Date]],2)=6,MAX(0,Horaires3567348[[#This Row],[Fin corrigée si nuit]]-(1+deb_dimJF)),0))*24</f>
        <v>0</v>
      </c>
      <c r="Q26"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6" s="62">
        <f>(IF(COUNTIF(JF,Horaires3567348[[#This Row],[Date]]),MAX(0,MIN(fin_dimJF,Horaires3567348[[#This Row],[Fin corrigée si nuit]])-MAX(deb_dimJF,Horaires3567348[[#This Row],[début]])),0)+IF(COUNTIF(JF,Horaires3567348[[#This Row],[Date]]+1),MAX(0,Horaires3567348[[#This Row],[Fin corrigée si nuit]]-(1+deb_dimJF)),0))*24</f>
        <v>0</v>
      </c>
      <c r="S26"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7" spans="1:19" x14ac:dyDescent="0.35">
      <c r="A27" s="9"/>
      <c r="B27" s="1"/>
      <c r="C27" s="2"/>
      <c r="D27" s="2"/>
      <c r="E27" s="3"/>
      <c r="F27" s="3"/>
      <c r="G27" s="3"/>
      <c r="H27" s="3"/>
      <c r="I27" s="57">
        <f>0.1*(Horaires3567348[[#This Row],[Heures de nuit]]+Horaires3567348[[#This Row],[heures jour dimanche]]+Horaires3567348[[#This Row],[heures jour fériés]])</f>
        <v>0</v>
      </c>
      <c r="J27" s="58">
        <f>(MOD(Horaires3567348[[#This Row],[Fin]]-Horaires3567348[[#This Row],[début]],1)-MOD(Horaires3567348[[#This Row],[PNP Fin]]-Horaires3567348[[#This Row],[PNP Début]],1))*24</f>
        <v>0</v>
      </c>
      <c r="K27" s="59">
        <f>IF(Horaires3567348[[#This Row],[PNP Début]]=0,0,IF(Horaires3567348[[#This Row],[PNP Début]]&lt;Horaires3567348[[#This Row],[début]],1,0)+Horaires3567348[[#This Row],[PNP Début]])</f>
        <v>0</v>
      </c>
      <c r="L27" s="60">
        <f>IF(Horaires3567348[[#This Row],[PNP Fin]]=0,0,IF(Horaires3567348[[#This Row],[PNP Fin]]&lt;Horaires3567348[[#This Row],[début]],1,0)+Horaires3567348[[#This Row],[PNP Fin]])</f>
        <v>0</v>
      </c>
      <c r="M27" s="60">
        <f>IF(Horaires3567348[[#This Row],[Fin]]&lt;Horaires3567348[[#This Row],[début]],1,0)+Horaires3567348[[#This Row],[Fin]]</f>
        <v>0</v>
      </c>
      <c r="N27" s="61">
        <f>MAX(0,MIN(Horaires3567348[[#This Row],[Fin corrigée si nuit]],fin_nuit)-MAX(Horaires3567348[[#This Row],[début]],deb_nuit))*24</f>
        <v>0</v>
      </c>
      <c r="O27" s="62">
        <f>(MAX(0,MIN(Horaires3567348[[#This Row],[Fin corrigée si nuit]],fin_nuit)-MAX(Horaires3567348[[#This Row],[début]],deb_nuit))-IF(Horaires3567348[[#This Row],[PNP Début]]=0,0,MIN(Horaires3567348[[#This Row],[PNP Fin corrigée]],fin_nuit)-MAX(Horaires3567348[[#This Row],[PNP Début corrigé]],deb_nuit)))*24</f>
        <v>0</v>
      </c>
      <c r="P27" s="62">
        <f>(IF(WEEKDAY(Horaires3567348[[#This Row],[Date]],2)=7,MAX(0,MIN(fin_dimJF,Horaires3567348[[#This Row],[Fin corrigée si nuit]])-MAX(deb_dimJF,Horaires3567348[[#This Row],[début]])),0)+IF(WEEKDAY(Horaires3567348[[#This Row],[Date]],2)=6,MAX(0,Horaires3567348[[#This Row],[Fin corrigée si nuit]]-(1+deb_dimJF)),0))*24</f>
        <v>0</v>
      </c>
      <c r="Q27"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7" s="62">
        <f>(IF(COUNTIF(JF,Horaires3567348[[#This Row],[Date]]),MAX(0,MIN(fin_dimJF,Horaires3567348[[#This Row],[Fin corrigée si nuit]])-MAX(deb_dimJF,Horaires3567348[[#This Row],[début]])),0)+IF(COUNTIF(JF,Horaires3567348[[#This Row],[Date]]+1),MAX(0,Horaires3567348[[#This Row],[Fin corrigée si nuit]]-(1+deb_dimJF)),0))*24</f>
        <v>0</v>
      </c>
      <c r="S27"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8" spans="1:19" x14ac:dyDescent="0.35">
      <c r="A28" s="9"/>
      <c r="B28" s="1"/>
      <c r="C28" s="2"/>
      <c r="D28" s="2"/>
      <c r="E28" s="3"/>
      <c r="F28" s="3"/>
      <c r="G28" s="3"/>
      <c r="H28" s="3"/>
      <c r="I28" s="57">
        <f>0.1*(Horaires3567348[[#This Row],[Heures de nuit]]+Horaires3567348[[#This Row],[heures jour dimanche]]+Horaires3567348[[#This Row],[heures jour fériés]])</f>
        <v>0</v>
      </c>
      <c r="J28" s="58">
        <f>(MOD(Horaires3567348[[#This Row],[Fin]]-Horaires3567348[[#This Row],[début]],1)-MOD(Horaires3567348[[#This Row],[PNP Fin]]-Horaires3567348[[#This Row],[PNP Début]],1))*24</f>
        <v>0</v>
      </c>
      <c r="K28" s="59">
        <f>IF(Horaires3567348[[#This Row],[PNP Début]]=0,0,IF(Horaires3567348[[#This Row],[PNP Début]]&lt;Horaires3567348[[#This Row],[début]],1,0)+Horaires3567348[[#This Row],[PNP Début]])</f>
        <v>0</v>
      </c>
      <c r="L28" s="60">
        <f>IF(Horaires3567348[[#This Row],[PNP Fin]]=0,0,IF(Horaires3567348[[#This Row],[PNP Fin]]&lt;Horaires3567348[[#This Row],[début]],1,0)+Horaires3567348[[#This Row],[PNP Fin]])</f>
        <v>0</v>
      </c>
      <c r="M28" s="60">
        <f>IF(Horaires3567348[[#This Row],[Fin]]&lt;Horaires3567348[[#This Row],[début]],1,0)+Horaires3567348[[#This Row],[Fin]]</f>
        <v>0</v>
      </c>
      <c r="N28" s="61">
        <f>MAX(0,MIN(Horaires3567348[[#This Row],[Fin corrigée si nuit]],fin_nuit)-MAX(Horaires3567348[[#This Row],[début]],deb_nuit))*24</f>
        <v>0</v>
      </c>
      <c r="O28" s="62">
        <f>(MAX(0,MIN(Horaires3567348[[#This Row],[Fin corrigée si nuit]],fin_nuit)-MAX(Horaires3567348[[#This Row],[début]],deb_nuit))-IF(Horaires3567348[[#This Row],[PNP Début]]=0,0,MIN(Horaires3567348[[#This Row],[PNP Fin corrigée]],fin_nuit)-MAX(Horaires3567348[[#This Row],[PNP Début corrigé]],deb_nuit)))*24</f>
        <v>0</v>
      </c>
      <c r="P28" s="62">
        <f>(IF(WEEKDAY(Horaires3567348[[#This Row],[Date]],2)=7,MAX(0,MIN(fin_dimJF,Horaires3567348[[#This Row],[Fin corrigée si nuit]])-MAX(deb_dimJF,Horaires3567348[[#This Row],[début]])),0)+IF(WEEKDAY(Horaires3567348[[#This Row],[Date]],2)=6,MAX(0,Horaires3567348[[#This Row],[Fin corrigée si nuit]]-(1+deb_dimJF)),0))*24</f>
        <v>0</v>
      </c>
      <c r="Q28"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8" s="62">
        <f>(IF(COUNTIF(JF,Horaires3567348[[#This Row],[Date]]),MAX(0,MIN(fin_dimJF,Horaires3567348[[#This Row],[Fin corrigée si nuit]])-MAX(deb_dimJF,Horaires3567348[[#This Row],[début]])),0)+IF(COUNTIF(JF,Horaires3567348[[#This Row],[Date]]+1),MAX(0,Horaires3567348[[#This Row],[Fin corrigée si nuit]]-(1+deb_dimJF)),0))*24</f>
        <v>0</v>
      </c>
      <c r="S28"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29" spans="1:19" x14ac:dyDescent="0.35">
      <c r="A29" s="9"/>
      <c r="B29" s="1"/>
      <c r="C29" s="2"/>
      <c r="D29" s="2"/>
      <c r="E29" s="3"/>
      <c r="F29" s="3"/>
      <c r="G29" s="3"/>
      <c r="H29" s="3"/>
      <c r="I29" s="57">
        <f>0.1*(Horaires3567348[[#This Row],[Heures de nuit]]+Horaires3567348[[#This Row],[heures jour dimanche]]+Horaires3567348[[#This Row],[heures jour fériés]])</f>
        <v>0</v>
      </c>
      <c r="J29" s="58">
        <f>(MOD(Horaires3567348[[#This Row],[Fin]]-Horaires3567348[[#This Row],[début]],1)-MOD(Horaires3567348[[#This Row],[PNP Fin]]-Horaires3567348[[#This Row],[PNP Début]],1))*24</f>
        <v>0</v>
      </c>
      <c r="K29" s="59">
        <f>IF(Horaires3567348[[#This Row],[PNP Début]]=0,0,IF(Horaires3567348[[#This Row],[PNP Début]]&lt;Horaires3567348[[#This Row],[début]],1,0)+Horaires3567348[[#This Row],[PNP Début]])</f>
        <v>0</v>
      </c>
      <c r="L29" s="60">
        <f>IF(Horaires3567348[[#This Row],[PNP Fin]]=0,0,IF(Horaires3567348[[#This Row],[PNP Fin]]&lt;Horaires3567348[[#This Row],[début]],1,0)+Horaires3567348[[#This Row],[PNP Fin]])</f>
        <v>0</v>
      </c>
      <c r="M29" s="60">
        <f>IF(Horaires3567348[[#This Row],[Fin]]&lt;Horaires3567348[[#This Row],[début]],1,0)+Horaires3567348[[#This Row],[Fin]]</f>
        <v>0</v>
      </c>
      <c r="N29" s="61">
        <f>MAX(0,MIN(Horaires3567348[[#This Row],[Fin corrigée si nuit]],fin_nuit)-MAX(Horaires3567348[[#This Row],[début]],deb_nuit))*24</f>
        <v>0</v>
      </c>
      <c r="O29" s="62">
        <f>(MAX(0,MIN(Horaires3567348[[#This Row],[Fin corrigée si nuit]],fin_nuit)-MAX(Horaires3567348[[#This Row],[début]],deb_nuit))-IF(Horaires3567348[[#This Row],[PNP Début]]=0,0,MIN(Horaires3567348[[#This Row],[PNP Fin corrigée]],fin_nuit)-MAX(Horaires3567348[[#This Row],[PNP Début corrigé]],deb_nuit)))*24</f>
        <v>0</v>
      </c>
      <c r="P29" s="62">
        <f>(IF(WEEKDAY(Horaires3567348[[#This Row],[Date]],2)=7,MAX(0,MIN(fin_dimJF,Horaires3567348[[#This Row],[Fin corrigée si nuit]])-MAX(deb_dimJF,Horaires3567348[[#This Row],[début]])),0)+IF(WEEKDAY(Horaires3567348[[#This Row],[Date]],2)=6,MAX(0,Horaires3567348[[#This Row],[Fin corrigée si nuit]]-(1+deb_dimJF)),0))*24</f>
        <v>0</v>
      </c>
      <c r="Q29"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29" s="62">
        <f>(IF(COUNTIF(JF,Horaires3567348[[#This Row],[Date]]),MAX(0,MIN(fin_dimJF,Horaires3567348[[#This Row],[Fin corrigée si nuit]])-MAX(deb_dimJF,Horaires3567348[[#This Row],[début]])),0)+IF(COUNTIF(JF,Horaires3567348[[#This Row],[Date]]+1),MAX(0,Horaires3567348[[#This Row],[Fin corrigée si nuit]]-(1+deb_dimJF)),0))*24</f>
        <v>0</v>
      </c>
      <c r="S29"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0" spans="1:19" x14ac:dyDescent="0.35">
      <c r="A30" s="9"/>
      <c r="B30" s="1"/>
      <c r="C30" s="2"/>
      <c r="D30" s="2"/>
      <c r="E30" s="3"/>
      <c r="F30" s="3"/>
      <c r="G30" s="3"/>
      <c r="H30" s="3"/>
      <c r="I30" s="57">
        <f>0.1*(Horaires3567348[[#This Row],[Heures de nuit]]+Horaires3567348[[#This Row],[heures jour dimanche]]+Horaires3567348[[#This Row],[heures jour fériés]])</f>
        <v>0</v>
      </c>
      <c r="J30" s="58">
        <f>(MOD(Horaires3567348[[#This Row],[Fin]]-Horaires3567348[[#This Row],[début]],1)-MOD(Horaires3567348[[#This Row],[PNP Fin]]-Horaires3567348[[#This Row],[PNP Début]],1))*24</f>
        <v>0</v>
      </c>
      <c r="K30" s="59">
        <f>IF(Horaires3567348[[#This Row],[PNP Début]]=0,0,IF(Horaires3567348[[#This Row],[PNP Début]]&lt;Horaires3567348[[#This Row],[début]],1,0)+Horaires3567348[[#This Row],[PNP Début]])</f>
        <v>0</v>
      </c>
      <c r="L30" s="60">
        <f>IF(Horaires3567348[[#This Row],[PNP Fin]]=0,0,IF(Horaires3567348[[#This Row],[PNP Fin]]&lt;Horaires3567348[[#This Row],[début]],1,0)+Horaires3567348[[#This Row],[PNP Fin]])</f>
        <v>0</v>
      </c>
      <c r="M30" s="60">
        <f>IF(Horaires3567348[[#This Row],[Fin]]&lt;Horaires3567348[[#This Row],[début]],1,0)+Horaires3567348[[#This Row],[Fin]]</f>
        <v>0</v>
      </c>
      <c r="N30" s="61">
        <f>MAX(0,MIN(Horaires3567348[[#This Row],[Fin corrigée si nuit]],fin_nuit)-MAX(Horaires3567348[[#This Row],[début]],deb_nuit))*24</f>
        <v>0</v>
      </c>
      <c r="O30" s="62">
        <f>(MAX(0,MIN(Horaires3567348[[#This Row],[Fin corrigée si nuit]],fin_nuit)-MAX(Horaires3567348[[#This Row],[début]],deb_nuit))-IF(Horaires3567348[[#This Row],[PNP Début]]=0,0,MIN(Horaires3567348[[#This Row],[PNP Fin corrigée]],fin_nuit)-MAX(Horaires3567348[[#This Row],[PNP Début corrigé]],deb_nuit)))*24</f>
        <v>0</v>
      </c>
      <c r="P30" s="62">
        <f>(IF(WEEKDAY(Horaires3567348[[#This Row],[Date]],2)=7,MAX(0,MIN(fin_dimJF,Horaires3567348[[#This Row],[Fin corrigée si nuit]])-MAX(deb_dimJF,Horaires3567348[[#This Row],[début]])),0)+IF(WEEKDAY(Horaires3567348[[#This Row],[Date]],2)=6,MAX(0,Horaires3567348[[#This Row],[Fin corrigée si nuit]]-(1+deb_dimJF)),0))*24</f>
        <v>0</v>
      </c>
      <c r="Q30"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0" s="62">
        <f>(IF(COUNTIF(JF,Horaires3567348[[#This Row],[Date]]),MAX(0,MIN(fin_dimJF,Horaires3567348[[#This Row],[Fin corrigée si nuit]])-MAX(deb_dimJF,Horaires3567348[[#This Row],[début]])),0)+IF(COUNTIF(JF,Horaires3567348[[#This Row],[Date]]+1),MAX(0,Horaires3567348[[#This Row],[Fin corrigée si nuit]]-(1+deb_dimJF)),0))*24</f>
        <v>0</v>
      </c>
      <c r="S30"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1" spans="1:19" x14ac:dyDescent="0.35">
      <c r="A31" s="9"/>
      <c r="B31" s="1"/>
      <c r="C31" s="2"/>
      <c r="D31" s="2"/>
      <c r="E31" s="3"/>
      <c r="F31" s="3"/>
      <c r="G31" s="3"/>
      <c r="H31" s="3"/>
      <c r="I31" s="57">
        <f>0.1*(Horaires3567348[[#This Row],[Heures de nuit]]+Horaires3567348[[#This Row],[heures jour dimanche]]+Horaires3567348[[#This Row],[heures jour fériés]])</f>
        <v>0</v>
      </c>
      <c r="J31" s="58">
        <f>(MOD(Horaires3567348[[#This Row],[Fin]]-Horaires3567348[[#This Row],[début]],1)-MOD(Horaires3567348[[#This Row],[PNP Fin]]-Horaires3567348[[#This Row],[PNP Début]],1))*24</f>
        <v>0</v>
      </c>
      <c r="K31" s="59">
        <f>IF(Horaires3567348[[#This Row],[PNP Début]]=0,0,IF(Horaires3567348[[#This Row],[PNP Début]]&lt;Horaires3567348[[#This Row],[début]],1,0)+Horaires3567348[[#This Row],[PNP Début]])</f>
        <v>0</v>
      </c>
      <c r="L31" s="60">
        <f>IF(Horaires3567348[[#This Row],[PNP Fin]]=0,0,IF(Horaires3567348[[#This Row],[PNP Fin]]&lt;Horaires3567348[[#This Row],[début]],1,0)+Horaires3567348[[#This Row],[PNP Fin]])</f>
        <v>0</v>
      </c>
      <c r="M31" s="60">
        <f>IF(Horaires3567348[[#This Row],[Fin]]&lt;Horaires3567348[[#This Row],[début]],1,0)+Horaires3567348[[#This Row],[Fin]]</f>
        <v>0</v>
      </c>
      <c r="N31" s="61">
        <f>MAX(0,MIN(Horaires3567348[[#This Row],[Fin corrigée si nuit]],fin_nuit)-MAX(Horaires3567348[[#This Row],[début]],deb_nuit))*24</f>
        <v>0</v>
      </c>
      <c r="O31" s="62">
        <f>(MAX(0,MIN(Horaires3567348[[#This Row],[Fin corrigée si nuit]],fin_nuit)-MAX(Horaires3567348[[#This Row],[début]],deb_nuit))-IF(Horaires3567348[[#This Row],[PNP Début]]=0,0,MIN(Horaires3567348[[#This Row],[PNP Fin corrigée]],fin_nuit)-MAX(Horaires3567348[[#This Row],[PNP Début corrigé]],deb_nuit)))*24</f>
        <v>0</v>
      </c>
      <c r="P31" s="62">
        <f>(IF(WEEKDAY(Horaires3567348[[#This Row],[Date]],2)=7,MAX(0,MIN(fin_dimJF,Horaires3567348[[#This Row],[Fin corrigée si nuit]])-MAX(deb_dimJF,Horaires3567348[[#This Row],[début]])),0)+IF(WEEKDAY(Horaires3567348[[#This Row],[Date]],2)=6,MAX(0,Horaires3567348[[#This Row],[Fin corrigée si nuit]]-(1+deb_dimJF)),0))*24</f>
        <v>0</v>
      </c>
      <c r="Q31"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1" s="62">
        <f>(IF(COUNTIF(JF,Horaires3567348[[#This Row],[Date]]),MAX(0,MIN(fin_dimJF,Horaires3567348[[#This Row],[Fin corrigée si nuit]])-MAX(deb_dimJF,Horaires3567348[[#This Row],[début]])),0)+IF(COUNTIF(JF,Horaires3567348[[#This Row],[Date]]+1),MAX(0,Horaires3567348[[#This Row],[Fin corrigée si nuit]]-(1+deb_dimJF)),0))*24</f>
        <v>0</v>
      </c>
      <c r="S31"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2" spans="1:19" ht="14.5" customHeight="1" x14ac:dyDescent="0.35">
      <c r="A32" s="9"/>
      <c r="B32" s="1"/>
      <c r="C32" s="2"/>
      <c r="D32" s="2"/>
      <c r="E32" s="3"/>
      <c r="F32" s="3"/>
      <c r="G32" s="3"/>
      <c r="H32" s="3"/>
      <c r="I32" s="57">
        <f>0.1*(Horaires3567348[[#This Row],[Heures de nuit]]+Horaires3567348[[#This Row],[heures jour dimanche]]+Horaires3567348[[#This Row],[heures jour fériés]])</f>
        <v>0</v>
      </c>
      <c r="J32" s="58">
        <f>(MOD(Horaires3567348[[#This Row],[Fin]]-Horaires3567348[[#This Row],[début]],1)-MOD(Horaires3567348[[#This Row],[PNP Fin]]-Horaires3567348[[#This Row],[PNP Début]],1))*24</f>
        <v>0</v>
      </c>
      <c r="K32" s="59">
        <f>IF(Horaires3567348[[#This Row],[PNP Début]]=0,0,IF(Horaires3567348[[#This Row],[PNP Début]]&lt;Horaires3567348[[#This Row],[début]],1,0)+Horaires3567348[[#This Row],[PNP Début]])</f>
        <v>0</v>
      </c>
      <c r="L32" s="60">
        <f>IF(Horaires3567348[[#This Row],[PNP Fin]]=0,0,IF(Horaires3567348[[#This Row],[PNP Fin]]&lt;Horaires3567348[[#This Row],[début]],1,0)+Horaires3567348[[#This Row],[PNP Fin]])</f>
        <v>0</v>
      </c>
      <c r="M32" s="60">
        <f>IF(Horaires3567348[[#This Row],[Fin]]&lt;Horaires3567348[[#This Row],[début]],1,0)+Horaires3567348[[#This Row],[Fin]]</f>
        <v>0</v>
      </c>
      <c r="N32" s="61">
        <f>MAX(0,MIN(Horaires3567348[[#This Row],[Fin corrigée si nuit]],fin_nuit)-MAX(Horaires3567348[[#This Row],[début]],deb_nuit))*24</f>
        <v>0</v>
      </c>
      <c r="O32" s="62">
        <f>(MAX(0,MIN(Horaires3567348[[#This Row],[Fin corrigée si nuit]],fin_nuit)-MAX(Horaires3567348[[#This Row],[début]],deb_nuit))-IF(Horaires3567348[[#This Row],[PNP Début]]=0,0,MIN(Horaires3567348[[#This Row],[PNP Fin corrigée]],fin_nuit)-MAX(Horaires3567348[[#This Row],[PNP Début corrigé]],deb_nuit)))*24</f>
        <v>0</v>
      </c>
      <c r="P32" s="62">
        <f>(IF(WEEKDAY(Horaires3567348[[#This Row],[Date]],2)=7,MAX(0,MIN(fin_dimJF,Horaires3567348[[#This Row],[Fin corrigée si nuit]])-MAX(deb_dimJF,Horaires3567348[[#This Row],[début]])),0)+IF(WEEKDAY(Horaires3567348[[#This Row],[Date]],2)=6,MAX(0,Horaires3567348[[#This Row],[Fin corrigée si nuit]]-(1+deb_dimJF)),0))*24</f>
        <v>0</v>
      </c>
      <c r="Q32"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2" s="62">
        <f>(IF(COUNTIF(JF,Horaires3567348[[#This Row],[Date]]),MAX(0,MIN(fin_dimJF,Horaires3567348[[#This Row],[Fin corrigée si nuit]])-MAX(deb_dimJF,Horaires3567348[[#This Row],[début]])),0)+IF(COUNTIF(JF,Horaires3567348[[#This Row],[Date]]+1),MAX(0,Horaires3567348[[#This Row],[Fin corrigée si nuit]]-(1+deb_dimJF)),0))*24</f>
        <v>0</v>
      </c>
      <c r="S32"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3" spans="1:19" x14ac:dyDescent="0.35">
      <c r="A33" s="9"/>
      <c r="B33" s="1"/>
      <c r="C33" s="2"/>
      <c r="D33" s="2"/>
      <c r="E33" s="3"/>
      <c r="F33" s="3"/>
      <c r="G33" s="3"/>
      <c r="H33" s="3"/>
      <c r="I33" s="57">
        <f>0.1*(Horaires3567348[[#This Row],[Heures de nuit]]+Horaires3567348[[#This Row],[heures jour dimanche]]+Horaires3567348[[#This Row],[heures jour fériés]])</f>
        <v>0</v>
      </c>
      <c r="J33" s="58">
        <f>(MOD(Horaires3567348[[#This Row],[Fin]]-Horaires3567348[[#This Row],[début]],1)-MOD(Horaires3567348[[#This Row],[PNP Fin]]-Horaires3567348[[#This Row],[PNP Début]],1))*24</f>
        <v>0</v>
      </c>
      <c r="K33" s="59">
        <f>IF(Horaires3567348[[#This Row],[PNP Début]]=0,0,IF(Horaires3567348[[#This Row],[PNP Début]]&lt;Horaires3567348[[#This Row],[début]],1,0)+Horaires3567348[[#This Row],[PNP Début]])</f>
        <v>0</v>
      </c>
      <c r="L33" s="60">
        <f>IF(Horaires3567348[[#This Row],[PNP Fin]]=0,0,IF(Horaires3567348[[#This Row],[PNP Fin]]&lt;Horaires3567348[[#This Row],[début]],1,0)+Horaires3567348[[#This Row],[PNP Fin]])</f>
        <v>0</v>
      </c>
      <c r="M33" s="60">
        <f>IF(Horaires3567348[[#This Row],[Fin]]&lt;Horaires3567348[[#This Row],[début]],1,0)+Horaires3567348[[#This Row],[Fin]]</f>
        <v>0</v>
      </c>
      <c r="N33" s="61">
        <f>MAX(0,MIN(Horaires3567348[[#This Row],[Fin corrigée si nuit]],fin_nuit)-MAX(Horaires3567348[[#This Row],[début]],deb_nuit))*24</f>
        <v>0</v>
      </c>
      <c r="O33" s="62">
        <f>(MAX(0,MIN(Horaires3567348[[#This Row],[Fin corrigée si nuit]],fin_nuit)-MAX(Horaires3567348[[#This Row],[début]],deb_nuit))-IF(Horaires3567348[[#This Row],[PNP Début]]=0,0,MIN(Horaires3567348[[#This Row],[PNP Fin corrigée]],fin_nuit)-MAX(Horaires3567348[[#This Row],[PNP Début corrigé]],deb_nuit)))*24</f>
        <v>0</v>
      </c>
      <c r="P33" s="62">
        <f>(IF(WEEKDAY(Horaires3567348[[#This Row],[Date]],2)=7,MAX(0,MIN(fin_dimJF,Horaires3567348[[#This Row],[Fin corrigée si nuit]])-MAX(deb_dimJF,Horaires3567348[[#This Row],[début]])),0)+IF(WEEKDAY(Horaires3567348[[#This Row],[Date]],2)=6,MAX(0,Horaires3567348[[#This Row],[Fin corrigée si nuit]]-(1+deb_dimJF)),0))*24</f>
        <v>0</v>
      </c>
      <c r="Q33"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3" s="62">
        <f>(IF(COUNTIF(JF,Horaires3567348[[#This Row],[Date]]),MAX(0,MIN(fin_dimJF,Horaires3567348[[#This Row],[Fin corrigée si nuit]])-MAX(deb_dimJF,Horaires3567348[[#This Row],[début]])),0)+IF(COUNTIF(JF,Horaires3567348[[#This Row],[Date]]+1),MAX(0,Horaires3567348[[#This Row],[Fin corrigée si nuit]]-(1+deb_dimJF)),0))*24</f>
        <v>0</v>
      </c>
      <c r="S33"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4" spans="1:19" x14ac:dyDescent="0.35">
      <c r="A34" s="9"/>
      <c r="B34" s="1"/>
      <c r="C34" s="2"/>
      <c r="D34" s="2"/>
      <c r="E34" s="3"/>
      <c r="F34" s="3"/>
      <c r="G34" s="3"/>
      <c r="H34" s="3"/>
      <c r="I34" s="57">
        <f>0.1*(Horaires3567348[[#This Row],[Heures de nuit]]+Horaires3567348[[#This Row],[heures jour dimanche]]+Horaires3567348[[#This Row],[heures jour fériés]])</f>
        <v>0</v>
      </c>
      <c r="J34" s="58">
        <f>(MOD(Horaires3567348[[#This Row],[Fin]]-Horaires3567348[[#This Row],[début]],1)-MOD(Horaires3567348[[#This Row],[PNP Fin]]-Horaires3567348[[#This Row],[PNP Début]],1))*24</f>
        <v>0</v>
      </c>
      <c r="K34" s="59">
        <f>IF(Horaires3567348[[#This Row],[PNP Début]]=0,0,IF(Horaires3567348[[#This Row],[PNP Début]]&lt;Horaires3567348[[#This Row],[début]],1,0)+Horaires3567348[[#This Row],[PNP Début]])</f>
        <v>0</v>
      </c>
      <c r="L34" s="60">
        <f>IF(Horaires3567348[[#This Row],[PNP Fin]]=0,0,IF(Horaires3567348[[#This Row],[PNP Fin]]&lt;Horaires3567348[[#This Row],[début]],1,0)+Horaires3567348[[#This Row],[PNP Fin]])</f>
        <v>0</v>
      </c>
      <c r="M34" s="60">
        <f>IF(Horaires3567348[[#This Row],[Fin]]&lt;Horaires3567348[[#This Row],[début]],1,0)+Horaires3567348[[#This Row],[Fin]]</f>
        <v>0</v>
      </c>
      <c r="N34" s="61">
        <f>MAX(0,MIN(Horaires3567348[[#This Row],[Fin corrigée si nuit]],fin_nuit)-MAX(Horaires3567348[[#This Row],[début]],deb_nuit))*24</f>
        <v>0</v>
      </c>
      <c r="O34" s="62">
        <f>(MAX(0,MIN(Horaires3567348[[#This Row],[Fin corrigée si nuit]],fin_nuit)-MAX(Horaires3567348[[#This Row],[début]],deb_nuit))-IF(Horaires3567348[[#This Row],[PNP Début]]=0,0,MIN(Horaires3567348[[#This Row],[PNP Fin corrigée]],fin_nuit)-MAX(Horaires3567348[[#This Row],[PNP Début corrigé]],deb_nuit)))*24</f>
        <v>0</v>
      </c>
      <c r="P34" s="62">
        <f>(IF(WEEKDAY(Horaires3567348[[#This Row],[Date]],2)=7,MAX(0,MIN(fin_dimJF,Horaires3567348[[#This Row],[Fin corrigée si nuit]])-MAX(deb_dimJF,Horaires3567348[[#This Row],[début]])),0)+IF(WEEKDAY(Horaires3567348[[#This Row],[Date]],2)=6,MAX(0,Horaires3567348[[#This Row],[Fin corrigée si nuit]]-(1+deb_dimJF)),0))*24</f>
        <v>0</v>
      </c>
      <c r="Q34"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4" s="62">
        <f>(IF(COUNTIF(JF,Horaires3567348[[#This Row],[Date]]),MAX(0,MIN(fin_dimJF,Horaires3567348[[#This Row],[Fin corrigée si nuit]])-MAX(deb_dimJF,Horaires3567348[[#This Row],[début]])),0)+IF(COUNTIF(JF,Horaires3567348[[#This Row],[Date]]+1),MAX(0,Horaires3567348[[#This Row],[Fin corrigée si nuit]]-(1+deb_dimJF)),0))*24</f>
        <v>0</v>
      </c>
      <c r="S34"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5" spans="1:19" x14ac:dyDescent="0.35">
      <c r="A35" s="9"/>
      <c r="B35" s="1"/>
      <c r="C35" s="2"/>
      <c r="D35" s="2"/>
      <c r="E35" s="3"/>
      <c r="F35" s="3"/>
      <c r="G35" s="3"/>
      <c r="H35" s="3"/>
      <c r="I35" s="57">
        <f>0.1*(Horaires3567348[[#This Row],[Heures de nuit]]+Horaires3567348[[#This Row],[heures jour dimanche]]+Horaires3567348[[#This Row],[heures jour fériés]])</f>
        <v>0</v>
      </c>
      <c r="J35" s="58">
        <f>(MOD(Horaires3567348[[#This Row],[Fin]]-Horaires3567348[[#This Row],[début]],1)-MOD(Horaires3567348[[#This Row],[PNP Fin]]-Horaires3567348[[#This Row],[PNP Début]],1))*24</f>
        <v>0</v>
      </c>
      <c r="K35" s="59">
        <f>IF(Horaires3567348[[#This Row],[PNP Début]]=0,0,IF(Horaires3567348[[#This Row],[PNP Début]]&lt;Horaires3567348[[#This Row],[début]],1,0)+Horaires3567348[[#This Row],[PNP Début]])</f>
        <v>0</v>
      </c>
      <c r="L35" s="60">
        <f>IF(Horaires3567348[[#This Row],[PNP Fin]]=0,0,IF(Horaires3567348[[#This Row],[PNP Fin]]&lt;Horaires3567348[[#This Row],[début]],1,0)+Horaires3567348[[#This Row],[PNP Fin]])</f>
        <v>0</v>
      </c>
      <c r="M35" s="60">
        <f>IF(Horaires3567348[[#This Row],[Fin]]&lt;Horaires3567348[[#This Row],[début]],1,0)+Horaires3567348[[#This Row],[Fin]]</f>
        <v>0</v>
      </c>
      <c r="N35" s="61">
        <f>MAX(0,MIN(Horaires3567348[[#This Row],[Fin corrigée si nuit]],fin_nuit)-MAX(Horaires3567348[[#This Row],[début]],deb_nuit))*24</f>
        <v>0</v>
      </c>
      <c r="O35" s="62">
        <f>(MAX(0,MIN(Horaires3567348[[#This Row],[Fin corrigée si nuit]],fin_nuit)-MAX(Horaires3567348[[#This Row],[début]],deb_nuit))-IF(Horaires3567348[[#This Row],[PNP Début]]=0,0,MIN(Horaires3567348[[#This Row],[PNP Fin corrigée]],fin_nuit)-MAX(Horaires3567348[[#This Row],[PNP Début corrigé]],deb_nuit)))*24</f>
        <v>0</v>
      </c>
      <c r="P35" s="62">
        <f>(IF(WEEKDAY(Horaires3567348[[#This Row],[Date]],2)=7,MAX(0,MIN(fin_dimJF,Horaires3567348[[#This Row],[Fin corrigée si nuit]])-MAX(deb_dimJF,Horaires3567348[[#This Row],[début]])),0)+IF(WEEKDAY(Horaires3567348[[#This Row],[Date]],2)=6,MAX(0,Horaires3567348[[#This Row],[Fin corrigée si nuit]]-(1+deb_dimJF)),0))*24</f>
        <v>0</v>
      </c>
      <c r="Q35"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5" s="62">
        <f>(IF(COUNTIF(JF,Horaires3567348[[#This Row],[Date]]),MAX(0,MIN(fin_dimJF,Horaires3567348[[#This Row],[Fin corrigée si nuit]])-MAX(deb_dimJF,Horaires3567348[[#This Row],[début]])),0)+IF(COUNTIF(JF,Horaires3567348[[#This Row],[Date]]+1),MAX(0,Horaires3567348[[#This Row],[Fin corrigée si nuit]]-(1+deb_dimJF)),0))*24</f>
        <v>0</v>
      </c>
      <c r="S35"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6" spans="1:19" x14ac:dyDescent="0.35">
      <c r="A36" s="9"/>
      <c r="B36" s="1"/>
      <c r="C36" s="2"/>
      <c r="D36" s="2"/>
      <c r="E36" s="3"/>
      <c r="F36" s="3"/>
      <c r="G36" s="3"/>
      <c r="H36" s="3"/>
      <c r="I36" s="57">
        <f>0.1*(Horaires3567348[[#This Row],[Heures de nuit]]+Horaires3567348[[#This Row],[heures jour dimanche]]+Horaires3567348[[#This Row],[heures jour fériés]])</f>
        <v>0</v>
      </c>
      <c r="J36" s="58">
        <f>(MOD(Horaires3567348[[#This Row],[Fin]]-Horaires3567348[[#This Row],[début]],1)-MOD(Horaires3567348[[#This Row],[PNP Fin]]-Horaires3567348[[#This Row],[PNP Début]],1))*24</f>
        <v>0</v>
      </c>
      <c r="K36" s="59">
        <f>IF(Horaires3567348[[#This Row],[PNP Début]]=0,0,IF(Horaires3567348[[#This Row],[PNP Début]]&lt;Horaires3567348[[#This Row],[début]],1,0)+Horaires3567348[[#This Row],[PNP Début]])</f>
        <v>0</v>
      </c>
      <c r="L36" s="60">
        <f>IF(Horaires3567348[[#This Row],[PNP Fin]]=0,0,IF(Horaires3567348[[#This Row],[PNP Fin]]&lt;Horaires3567348[[#This Row],[début]],1,0)+Horaires3567348[[#This Row],[PNP Fin]])</f>
        <v>0</v>
      </c>
      <c r="M36" s="60">
        <f>IF(Horaires3567348[[#This Row],[Fin]]&lt;Horaires3567348[[#This Row],[début]],1,0)+Horaires3567348[[#This Row],[Fin]]</f>
        <v>0</v>
      </c>
      <c r="N36" s="61">
        <f>MAX(0,MIN(Horaires3567348[[#This Row],[Fin corrigée si nuit]],fin_nuit)-MAX(Horaires3567348[[#This Row],[début]],deb_nuit))*24</f>
        <v>0</v>
      </c>
      <c r="O36" s="62">
        <f>(MAX(0,MIN(Horaires3567348[[#This Row],[Fin corrigée si nuit]],fin_nuit)-MAX(Horaires3567348[[#This Row],[début]],deb_nuit))-IF(Horaires3567348[[#This Row],[PNP Début]]=0,0,MIN(Horaires3567348[[#This Row],[PNP Fin corrigée]],fin_nuit)-MAX(Horaires3567348[[#This Row],[PNP Début corrigé]],deb_nuit)))*24</f>
        <v>0</v>
      </c>
      <c r="P36" s="62">
        <f>(IF(WEEKDAY(Horaires3567348[[#This Row],[Date]],2)=7,MAX(0,MIN(fin_dimJF,Horaires3567348[[#This Row],[Fin corrigée si nuit]])-MAX(deb_dimJF,Horaires3567348[[#This Row],[début]])),0)+IF(WEEKDAY(Horaires3567348[[#This Row],[Date]],2)=6,MAX(0,Horaires3567348[[#This Row],[Fin corrigée si nuit]]-(1+deb_dimJF)),0))*24</f>
        <v>0</v>
      </c>
      <c r="Q36"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6" s="62">
        <f>(IF(COUNTIF(JF,Horaires3567348[[#This Row],[Date]]),MAX(0,MIN(fin_dimJF,Horaires3567348[[#This Row],[Fin corrigée si nuit]])-MAX(deb_dimJF,Horaires3567348[[#This Row],[début]])),0)+IF(COUNTIF(JF,Horaires3567348[[#This Row],[Date]]+1),MAX(0,Horaires3567348[[#This Row],[Fin corrigée si nuit]]-(1+deb_dimJF)),0))*24</f>
        <v>0</v>
      </c>
      <c r="S36"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7" spans="1:19" x14ac:dyDescent="0.35">
      <c r="A37" s="9"/>
      <c r="B37" s="1"/>
      <c r="C37" s="2"/>
      <c r="D37" s="2"/>
      <c r="E37" s="3"/>
      <c r="F37" s="3"/>
      <c r="G37" s="3"/>
      <c r="H37" s="3"/>
      <c r="I37" s="57">
        <f>0.1*(Horaires3567348[[#This Row],[Heures de nuit]]+Horaires3567348[[#This Row],[heures jour dimanche]]+Horaires3567348[[#This Row],[heures jour fériés]])</f>
        <v>0</v>
      </c>
      <c r="J37" s="58">
        <f>(MOD(Horaires3567348[[#This Row],[Fin]]-Horaires3567348[[#This Row],[début]],1)-MOD(Horaires3567348[[#This Row],[PNP Fin]]-Horaires3567348[[#This Row],[PNP Début]],1))*24</f>
        <v>0</v>
      </c>
      <c r="K37" s="59">
        <f>IF(Horaires3567348[[#This Row],[PNP Début]]=0,0,IF(Horaires3567348[[#This Row],[PNP Début]]&lt;Horaires3567348[[#This Row],[début]],1,0)+Horaires3567348[[#This Row],[PNP Début]])</f>
        <v>0</v>
      </c>
      <c r="L37" s="60">
        <f>IF(Horaires3567348[[#This Row],[PNP Fin]]=0,0,IF(Horaires3567348[[#This Row],[PNP Fin]]&lt;Horaires3567348[[#This Row],[début]],1,0)+Horaires3567348[[#This Row],[PNP Fin]])</f>
        <v>0</v>
      </c>
      <c r="M37" s="60">
        <f>IF(Horaires3567348[[#This Row],[Fin]]&lt;Horaires3567348[[#This Row],[début]],1,0)+Horaires3567348[[#This Row],[Fin]]</f>
        <v>0</v>
      </c>
      <c r="N37" s="61">
        <f>MAX(0,MIN(Horaires3567348[[#This Row],[Fin corrigée si nuit]],fin_nuit)-MAX(Horaires3567348[[#This Row],[début]],deb_nuit))*24</f>
        <v>0</v>
      </c>
      <c r="O37" s="62">
        <f>(MAX(0,MIN(Horaires3567348[[#This Row],[Fin corrigée si nuit]],fin_nuit)-MAX(Horaires3567348[[#This Row],[début]],deb_nuit))-IF(Horaires3567348[[#This Row],[PNP Début]]=0,0,MIN(Horaires3567348[[#This Row],[PNP Fin corrigée]],fin_nuit)-MAX(Horaires3567348[[#This Row],[PNP Début corrigé]],deb_nuit)))*24</f>
        <v>0</v>
      </c>
      <c r="P37" s="62">
        <f>(IF(WEEKDAY(Horaires3567348[[#This Row],[Date]],2)=7,MAX(0,MIN(fin_dimJF,Horaires3567348[[#This Row],[Fin corrigée si nuit]])-MAX(deb_dimJF,Horaires3567348[[#This Row],[début]])),0)+IF(WEEKDAY(Horaires3567348[[#This Row],[Date]],2)=6,MAX(0,Horaires3567348[[#This Row],[Fin corrigée si nuit]]-(1+deb_dimJF)),0))*24</f>
        <v>0</v>
      </c>
      <c r="Q37"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7" s="62">
        <f>(IF(COUNTIF(JF,Horaires3567348[[#This Row],[Date]]),MAX(0,MIN(fin_dimJF,Horaires3567348[[#This Row],[Fin corrigée si nuit]])-MAX(deb_dimJF,Horaires3567348[[#This Row],[début]])),0)+IF(COUNTIF(JF,Horaires3567348[[#This Row],[Date]]+1),MAX(0,Horaires3567348[[#This Row],[Fin corrigée si nuit]]-(1+deb_dimJF)),0))*24</f>
        <v>0</v>
      </c>
      <c r="S37"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8" spans="1:19" x14ac:dyDescent="0.35">
      <c r="A38" s="9"/>
      <c r="B38" s="1"/>
      <c r="C38" s="2"/>
      <c r="D38" s="2"/>
      <c r="E38" s="3"/>
      <c r="F38" s="3"/>
      <c r="G38" s="3"/>
      <c r="H38" s="3"/>
      <c r="I38" s="57">
        <f>0.1*(Horaires3567348[[#This Row],[Heures de nuit]]+Horaires3567348[[#This Row],[heures jour dimanche]]+Horaires3567348[[#This Row],[heures jour fériés]])</f>
        <v>0</v>
      </c>
      <c r="J38" s="58">
        <f>(MOD(Horaires3567348[[#This Row],[Fin]]-Horaires3567348[[#This Row],[début]],1)-MOD(Horaires3567348[[#This Row],[PNP Fin]]-Horaires3567348[[#This Row],[PNP Début]],1))*24</f>
        <v>0</v>
      </c>
      <c r="K38" s="59">
        <f>IF(Horaires3567348[[#This Row],[PNP Début]]=0,0,IF(Horaires3567348[[#This Row],[PNP Début]]&lt;Horaires3567348[[#This Row],[début]],1,0)+Horaires3567348[[#This Row],[PNP Début]])</f>
        <v>0</v>
      </c>
      <c r="L38" s="60">
        <f>IF(Horaires3567348[[#This Row],[PNP Fin]]=0,0,IF(Horaires3567348[[#This Row],[PNP Fin]]&lt;Horaires3567348[[#This Row],[début]],1,0)+Horaires3567348[[#This Row],[PNP Fin]])</f>
        <v>0</v>
      </c>
      <c r="M38" s="60">
        <f>IF(Horaires3567348[[#This Row],[Fin]]&lt;Horaires3567348[[#This Row],[début]],1,0)+Horaires3567348[[#This Row],[Fin]]</f>
        <v>0</v>
      </c>
      <c r="N38" s="61">
        <f>MAX(0,MIN(Horaires3567348[[#This Row],[Fin corrigée si nuit]],fin_nuit)-MAX(Horaires3567348[[#This Row],[début]],deb_nuit))*24</f>
        <v>0</v>
      </c>
      <c r="O38" s="62">
        <f>(MAX(0,MIN(Horaires3567348[[#This Row],[Fin corrigée si nuit]],fin_nuit)-MAX(Horaires3567348[[#This Row],[début]],deb_nuit))-IF(Horaires3567348[[#This Row],[PNP Début]]=0,0,MIN(Horaires3567348[[#This Row],[PNP Fin corrigée]],fin_nuit)-MAX(Horaires3567348[[#This Row],[PNP Début corrigé]],deb_nuit)))*24</f>
        <v>0</v>
      </c>
      <c r="P38" s="62">
        <f>(IF(WEEKDAY(Horaires3567348[[#This Row],[Date]],2)=7,MAX(0,MIN(fin_dimJF,Horaires3567348[[#This Row],[Fin corrigée si nuit]])-MAX(deb_dimJF,Horaires3567348[[#This Row],[début]])),0)+IF(WEEKDAY(Horaires3567348[[#This Row],[Date]],2)=6,MAX(0,Horaires3567348[[#This Row],[Fin corrigée si nuit]]-(1+deb_dimJF)),0))*24</f>
        <v>0</v>
      </c>
      <c r="Q38"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8" s="62">
        <f>(IF(COUNTIF(JF,Horaires3567348[[#This Row],[Date]]),MAX(0,MIN(fin_dimJF,Horaires3567348[[#This Row],[Fin corrigée si nuit]])-MAX(deb_dimJF,Horaires3567348[[#This Row],[début]])),0)+IF(COUNTIF(JF,Horaires3567348[[#This Row],[Date]]+1),MAX(0,Horaires3567348[[#This Row],[Fin corrigée si nuit]]-(1+deb_dimJF)),0))*24</f>
        <v>0</v>
      </c>
      <c r="S38"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39" spans="1:19" x14ac:dyDescent="0.35">
      <c r="A39" s="9"/>
      <c r="B39" s="1"/>
      <c r="C39" s="2"/>
      <c r="D39" s="2"/>
      <c r="E39" s="3"/>
      <c r="F39" s="3"/>
      <c r="G39" s="3"/>
      <c r="H39" s="3"/>
      <c r="I39" s="57">
        <f>0.1*(Horaires3567348[[#This Row],[Heures de nuit]]+Horaires3567348[[#This Row],[heures jour dimanche]]+Horaires3567348[[#This Row],[heures jour fériés]])</f>
        <v>0</v>
      </c>
      <c r="J39" s="58">
        <f>(MOD(Horaires3567348[[#This Row],[Fin]]-Horaires3567348[[#This Row],[début]],1)-MOD(Horaires3567348[[#This Row],[PNP Fin]]-Horaires3567348[[#This Row],[PNP Début]],1))*24</f>
        <v>0</v>
      </c>
      <c r="K39" s="59">
        <f>IF(Horaires3567348[[#This Row],[PNP Début]]=0,0,IF(Horaires3567348[[#This Row],[PNP Début]]&lt;Horaires3567348[[#This Row],[début]],1,0)+Horaires3567348[[#This Row],[PNP Début]])</f>
        <v>0</v>
      </c>
      <c r="L39" s="60">
        <f>IF(Horaires3567348[[#This Row],[PNP Fin]]=0,0,IF(Horaires3567348[[#This Row],[PNP Fin]]&lt;Horaires3567348[[#This Row],[début]],1,0)+Horaires3567348[[#This Row],[PNP Fin]])</f>
        <v>0</v>
      </c>
      <c r="M39" s="60">
        <f>IF(Horaires3567348[[#This Row],[Fin]]&lt;Horaires3567348[[#This Row],[début]],1,0)+Horaires3567348[[#This Row],[Fin]]</f>
        <v>0</v>
      </c>
      <c r="N39" s="61">
        <f>MAX(0,MIN(Horaires3567348[[#This Row],[Fin corrigée si nuit]],fin_nuit)-MAX(Horaires3567348[[#This Row],[début]],deb_nuit))*24</f>
        <v>0</v>
      </c>
      <c r="O39" s="62">
        <f>(MAX(0,MIN(Horaires3567348[[#This Row],[Fin corrigée si nuit]],fin_nuit)-MAX(Horaires3567348[[#This Row],[début]],deb_nuit))-IF(Horaires3567348[[#This Row],[PNP Début]]=0,0,MIN(Horaires3567348[[#This Row],[PNP Fin corrigée]],fin_nuit)-MAX(Horaires3567348[[#This Row],[PNP Début corrigé]],deb_nuit)))*24</f>
        <v>0</v>
      </c>
      <c r="P39" s="62">
        <f>(IF(WEEKDAY(Horaires3567348[[#This Row],[Date]],2)=7,MAX(0,MIN(fin_dimJF,Horaires3567348[[#This Row],[Fin corrigée si nuit]])-MAX(deb_dimJF,Horaires3567348[[#This Row],[début]])),0)+IF(WEEKDAY(Horaires3567348[[#This Row],[Date]],2)=6,MAX(0,Horaires3567348[[#This Row],[Fin corrigée si nuit]]-(1+deb_dimJF)),0))*24</f>
        <v>0</v>
      </c>
      <c r="Q39"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39" s="62">
        <f>(IF(COUNTIF(JF,Horaires3567348[[#This Row],[Date]]),MAX(0,MIN(fin_dimJF,Horaires3567348[[#This Row],[Fin corrigée si nuit]])-MAX(deb_dimJF,Horaires3567348[[#This Row],[début]])),0)+IF(COUNTIF(JF,Horaires3567348[[#This Row],[Date]]+1),MAX(0,Horaires3567348[[#This Row],[Fin corrigée si nuit]]-(1+deb_dimJF)),0))*24</f>
        <v>0</v>
      </c>
      <c r="S39"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0" spans="1:19" x14ac:dyDescent="0.35">
      <c r="A40" s="9"/>
      <c r="B40" s="1"/>
      <c r="C40" s="2"/>
      <c r="D40" s="2"/>
      <c r="E40" s="3"/>
      <c r="F40" s="3"/>
      <c r="G40" s="3"/>
      <c r="H40" s="3"/>
      <c r="I40" s="57">
        <f>0.1*(Horaires3567348[[#This Row],[Heures de nuit]]+Horaires3567348[[#This Row],[heures jour dimanche]]+Horaires3567348[[#This Row],[heures jour fériés]])</f>
        <v>0</v>
      </c>
      <c r="J40" s="58">
        <f>(MOD(Horaires3567348[[#This Row],[Fin]]-Horaires3567348[[#This Row],[début]],1)-MOD(Horaires3567348[[#This Row],[PNP Fin]]-Horaires3567348[[#This Row],[PNP Début]],1))*24</f>
        <v>0</v>
      </c>
      <c r="K40" s="59">
        <f>IF(Horaires3567348[[#This Row],[PNP Début]]=0,0,IF(Horaires3567348[[#This Row],[PNP Début]]&lt;Horaires3567348[[#This Row],[début]],1,0)+Horaires3567348[[#This Row],[PNP Début]])</f>
        <v>0</v>
      </c>
      <c r="L40" s="60">
        <f>IF(Horaires3567348[[#This Row],[PNP Fin]]=0,0,IF(Horaires3567348[[#This Row],[PNP Fin]]&lt;Horaires3567348[[#This Row],[début]],1,0)+Horaires3567348[[#This Row],[PNP Fin]])</f>
        <v>0</v>
      </c>
      <c r="M40" s="60">
        <f>IF(Horaires3567348[[#This Row],[Fin]]&lt;Horaires3567348[[#This Row],[début]],1,0)+Horaires3567348[[#This Row],[Fin]]</f>
        <v>0</v>
      </c>
      <c r="N40" s="61">
        <f>MAX(0,MIN(Horaires3567348[[#This Row],[Fin corrigée si nuit]],fin_nuit)-MAX(Horaires3567348[[#This Row],[début]],deb_nuit))*24</f>
        <v>0</v>
      </c>
      <c r="O40" s="62">
        <f>(MAX(0,MIN(Horaires3567348[[#This Row],[Fin corrigée si nuit]],fin_nuit)-MAX(Horaires3567348[[#This Row],[début]],deb_nuit))-IF(Horaires3567348[[#This Row],[PNP Début]]=0,0,MIN(Horaires3567348[[#This Row],[PNP Fin corrigée]],fin_nuit)-MAX(Horaires3567348[[#This Row],[PNP Début corrigé]],deb_nuit)))*24</f>
        <v>0</v>
      </c>
      <c r="P40" s="62">
        <f>(IF(WEEKDAY(Horaires3567348[[#This Row],[Date]],2)=7,MAX(0,MIN(fin_dimJF,Horaires3567348[[#This Row],[Fin corrigée si nuit]])-MAX(deb_dimJF,Horaires3567348[[#This Row],[début]])),0)+IF(WEEKDAY(Horaires3567348[[#This Row],[Date]],2)=6,MAX(0,Horaires3567348[[#This Row],[Fin corrigée si nuit]]-(1+deb_dimJF)),0))*24</f>
        <v>0</v>
      </c>
      <c r="Q40"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0" s="62">
        <f>(IF(COUNTIF(JF,Horaires3567348[[#This Row],[Date]]),MAX(0,MIN(fin_dimJF,Horaires3567348[[#This Row],[Fin corrigée si nuit]])-MAX(deb_dimJF,Horaires3567348[[#This Row],[début]])),0)+IF(COUNTIF(JF,Horaires3567348[[#This Row],[Date]]+1),MAX(0,Horaires3567348[[#This Row],[Fin corrigée si nuit]]-(1+deb_dimJF)),0))*24</f>
        <v>0</v>
      </c>
      <c r="S40"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1" spans="1:19" x14ac:dyDescent="0.35">
      <c r="A41" s="9"/>
      <c r="B41" s="1"/>
      <c r="C41" s="2"/>
      <c r="D41" s="2"/>
      <c r="E41" s="3"/>
      <c r="F41" s="3"/>
      <c r="G41" s="3"/>
      <c r="H41" s="3"/>
      <c r="I41" s="57">
        <f>0.1*(Horaires3567348[[#This Row],[Heures de nuit]]+Horaires3567348[[#This Row],[heures jour dimanche]]+Horaires3567348[[#This Row],[heures jour fériés]])</f>
        <v>0</v>
      </c>
      <c r="J41" s="58">
        <f>(MOD(Horaires3567348[[#This Row],[Fin]]-Horaires3567348[[#This Row],[début]],1)-MOD(Horaires3567348[[#This Row],[PNP Fin]]-Horaires3567348[[#This Row],[PNP Début]],1))*24</f>
        <v>0</v>
      </c>
      <c r="K41" s="59">
        <f>IF(Horaires3567348[[#This Row],[PNP Début]]=0,0,IF(Horaires3567348[[#This Row],[PNP Début]]&lt;Horaires3567348[[#This Row],[début]],1,0)+Horaires3567348[[#This Row],[PNP Début]])</f>
        <v>0</v>
      </c>
      <c r="L41" s="60">
        <f>IF(Horaires3567348[[#This Row],[PNP Fin]]=0,0,IF(Horaires3567348[[#This Row],[PNP Fin]]&lt;Horaires3567348[[#This Row],[début]],1,0)+Horaires3567348[[#This Row],[PNP Fin]])</f>
        <v>0</v>
      </c>
      <c r="M41" s="60">
        <f>IF(Horaires3567348[[#This Row],[Fin]]&lt;Horaires3567348[[#This Row],[début]],1,0)+Horaires3567348[[#This Row],[Fin]]</f>
        <v>0</v>
      </c>
      <c r="N41" s="61">
        <f>MAX(0,MIN(Horaires3567348[[#This Row],[Fin corrigée si nuit]],fin_nuit)-MAX(Horaires3567348[[#This Row],[début]],deb_nuit))*24</f>
        <v>0</v>
      </c>
      <c r="O41" s="62">
        <f>(MAX(0,MIN(Horaires3567348[[#This Row],[Fin corrigée si nuit]],fin_nuit)-MAX(Horaires3567348[[#This Row],[début]],deb_nuit))-IF(Horaires3567348[[#This Row],[PNP Début]]=0,0,MIN(Horaires3567348[[#This Row],[PNP Fin corrigée]],fin_nuit)-MAX(Horaires3567348[[#This Row],[PNP Début corrigé]],deb_nuit)))*24</f>
        <v>0</v>
      </c>
      <c r="P41" s="62">
        <f>(IF(WEEKDAY(Horaires3567348[[#This Row],[Date]],2)=7,MAX(0,MIN(fin_dimJF,Horaires3567348[[#This Row],[Fin corrigée si nuit]])-MAX(deb_dimJF,Horaires3567348[[#This Row],[début]])),0)+IF(WEEKDAY(Horaires3567348[[#This Row],[Date]],2)=6,MAX(0,Horaires3567348[[#This Row],[Fin corrigée si nuit]]-(1+deb_dimJF)),0))*24</f>
        <v>0</v>
      </c>
      <c r="Q41"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1" s="62">
        <f>(IF(COUNTIF(JF,Horaires3567348[[#This Row],[Date]]),MAX(0,MIN(fin_dimJF,Horaires3567348[[#This Row],[Fin corrigée si nuit]])-MAX(deb_dimJF,Horaires3567348[[#This Row],[début]])),0)+IF(COUNTIF(JF,Horaires3567348[[#This Row],[Date]]+1),MAX(0,Horaires3567348[[#This Row],[Fin corrigée si nuit]]-(1+deb_dimJF)),0))*24</f>
        <v>0</v>
      </c>
      <c r="S41"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2" spans="1:19" x14ac:dyDescent="0.35">
      <c r="A42" s="9"/>
      <c r="B42" s="1"/>
      <c r="C42" s="2"/>
      <c r="D42" s="2"/>
      <c r="E42" s="3"/>
      <c r="F42" s="3"/>
      <c r="G42" s="3"/>
      <c r="H42" s="3"/>
      <c r="I42" s="57">
        <f>0.1*(Horaires3567348[[#This Row],[Heures de nuit]]+Horaires3567348[[#This Row],[heures jour dimanche]]+Horaires3567348[[#This Row],[heures jour fériés]])</f>
        <v>0</v>
      </c>
      <c r="J42" s="58">
        <f>(MOD(Horaires3567348[[#This Row],[Fin]]-Horaires3567348[[#This Row],[début]],1)-MOD(Horaires3567348[[#This Row],[PNP Fin]]-Horaires3567348[[#This Row],[PNP Début]],1))*24</f>
        <v>0</v>
      </c>
      <c r="K42" s="59">
        <f>IF(Horaires3567348[[#This Row],[PNP Début]]=0,0,IF(Horaires3567348[[#This Row],[PNP Début]]&lt;Horaires3567348[[#This Row],[début]],1,0)+Horaires3567348[[#This Row],[PNP Début]])</f>
        <v>0</v>
      </c>
      <c r="L42" s="60">
        <f>IF(Horaires3567348[[#This Row],[PNP Fin]]=0,0,IF(Horaires3567348[[#This Row],[PNP Fin]]&lt;Horaires3567348[[#This Row],[début]],1,0)+Horaires3567348[[#This Row],[PNP Fin]])</f>
        <v>0</v>
      </c>
      <c r="M42" s="60">
        <f>IF(Horaires3567348[[#This Row],[Fin]]&lt;Horaires3567348[[#This Row],[début]],1,0)+Horaires3567348[[#This Row],[Fin]]</f>
        <v>0</v>
      </c>
      <c r="N42" s="61">
        <f>MAX(0,MIN(Horaires3567348[[#This Row],[Fin corrigée si nuit]],fin_nuit)-MAX(Horaires3567348[[#This Row],[début]],deb_nuit))*24</f>
        <v>0</v>
      </c>
      <c r="O42" s="62">
        <f>(MAX(0,MIN(Horaires3567348[[#This Row],[Fin corrigée si nuit]],fin_nuit)-MAX(Horaires3567348[[#This Row],[début]],deb_nuit))-IF(Horaires3567348[[#This Row],[PNP Début]]=0,0,MIN(Horaires3567348[[#This Row],[PNP Fin corrigée]],fin_nuit)-MAX(Horaires3567348[[#This Row],[PNP Début corrigé]],deb_nuit)))*24</f>
        <v>0</v>
      </c>
      <c r="P42" s="62">
        <f>(IF(WEEKDAY(Horaires3567348[[#This Row],[Date]],2)=7,MAX(0,MIN(fin_dimJF,Horaires3567348[[#This Row],[Fin corrigée si nuit]])-MAX(deb_dimJF,Horaires3567348[[#This Row],[début]])),0)+IF(WEEKDAY(Horaires3567348[[#This Row],[Date]],2)=6,MAX(0,Horaires3567348[[#This Row],[Fin corrigée si nuit]]-(1+deb_dimJF)),0))*24</f>
        <v>0</v>
      </c>
      <c r="Q42"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2" s="62">
        <f>(IF(COUNTIF(JF,Horaires3567348[[#This Row],[Date]]),MAX(0,MIN(fin_dimJF,Horaires3567348[[#This Row],[Fin corrigée si nuit]])-MAX(deb_dimJF,Horaires3567348[[#This Row],[début]])),0)+IF(COUNTIF(JF,Horaires3567348[[#This Row],[Date]]+1),MAX(0,Horaires3567348[[#This Row],[Fin corrigée si nuit]]-(1+deb_dimJF)),0))*24</f>
        <v>0</v>
      </c>
      <c r="S42"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3" spans="1:19" x14ac:dyDescent="0.35">
      <c r="A43" s="9"/>
      <c r="B43" s="1"/>
      <c r="C43" s="2"/>
      <c r="D43" s="2"/>
      <c r="E43" s="3"/>
      <c r="F43" s="3"/>
      <c r="G43" s="3"/>
      <c r="H43" s="3"/>
      <c r="I43" s="57">
        <f>0.1*(Horaires3567348[[#This Row],[Heures de nuit]]+Horaires3567348[[#This Row],[heures jour dimanche]]+Horaires3567348[[#This Row],[heures jour fériés]])</f>
        <v>0</v>
      </c>
      <c r="J43" s="58">
        <f>(MOD(Horaires3567348[[#This Row],[Fin]]-Horaires3567348[[#This Row],[début]],1)-MOD(Horaires3567348[[#This Row],[PNP Fin]]-Horaires3567348[[#This Row],[PNP Début]],1))*24</f>
        <v>0</v>
      </c>
      <c r="K43" s="59">
        <f>IF(Horaires3567348[[#This Row],[PNP Début]]=0,0,IF(Horaires3567348[[#This Row],[PNP Début]]&lt;Horaires3567348[[#This Row],[début]],1,0)+Horaires3567348[[#This Row],[PNP Début]])</f>
        <v>0</v>
      </c>
      <c r="L43" s="60">
        <f>IF(Horaires3567348[[#This Row],[PNP Fin]]=0,0,IF(Horaires3567348[[#This Row],[PNP Fin]]&lt;Horaires3567348[[#This Row],[début]],1,0)+Horaires3567348[[#This Row],[PNP Fin]])</f>
        <v>0</v>
      </c>
      <c r="M43" s="60">
        <f>IF(Horaires3567348[[#This Row],[Fin]]&lt;Horaires3567348[[#This Row],[début]],1,0)+Horaires3567348[[#This Row],[Fin]]</f>
        <v>0</v>
      </c>
      <c r="N43" s="61">
        <f>MAX(0,MIN(Horaires3567348[[#This Row],[Fin corrigée si nuit]],fin_nuit)-MAX(Horaires3567348[[#This Row],[début]],deb_nuit))*24</f>
        <v>0</v>
      </c>
      <c r="O43" s="62">
        <f>(MAX(0,MIN(Horaires3567348[[#This Row],[Fin corrigée si nuit]],fin_nuit)-MAX(Horaires3567348[[#This Row],[début]],deb_nuit))-IF(Horaires3567348[[#This Row],[PNP Début]]=0,0,MIN(Horaires3567348[[#This Row],[PNP Fin corrigée]],fin_nuit)-MAX(Horaires3567348[[#This Row],[PNP Début corrigé]],deb_nuit)))*24</f>
        <v>0</v>
      </c>
      <c r="P43" s="62">
        <f>(IF(WEEKDAY(Horaires3567348[[#This Row],[Date]],2)=7,MAX(0,MIN(fin_dimJF,Horaires3567348[[#This Row],[Fin corrigée si nuit]])-MAX(deb_dimJF,Horaires3567348[[#This Row],[début]])),0)+IF(WEEKDAY(Horaires3567348[[#This Row],[Date]],2)=6,MAX(0,Horaires3567348[[#This Row],[Fin corrigée si nuit]]-(1+deb_dimJF)),0))*24</f>
        <v>0</v>
      </c>
      <c r="Q43"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3" s="62">
        <f>(IF(COUNTIF(JF,Horaires3567348[[#This Row],[Date]]),MAX(0,MIN(fin_dimJF,Horaires3567348[[#This Row],[Fin corrigée si nuit]])-MAX(deb_dimJF,Horaires3567348[[#This Row],[début]])),0)+IF(COUNTIF(JF,Horaires3567348[[#This Row],[Date]]+1),MAX(0,Horaires3567348[[#This Row],[Fin corrigée si nuit]]-(1+deb_dimJF)),0))*24</f>
        <v>0</v>
      </c>
      <c r="S43"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4" spans="1:19" x14ac:dyDescent="0.35">
      <c r="A44" s="9"/>
      <c r="B44" s="1"/>
      <c r="C44" s="2"/>
      <c r="D44" s="2"/>
      <c r="E44" s="3"/>
      <c r="F44" s="3"/>
      <c r="G44" s="3"/>
      <c r="H44" s="3"/>
      <c r="I44" s="57">
        <f>0.1*(Horaires3567348[[#This Row],[Heures de nuit]]+Horaires3567348[[#This Row],[heures jour dimanche]]+Horaires3567348[[#This Row],[heures jour fériés]])</f>
        <v>0</v>
      </c>
      <c r="J44" s="58">
        <f>(MOD(Horaires3567348[[#This Row],[Fin]]-Horaires3567348[[#This Row],[début]],1)-MOD(Horaires3567348[[#This Row],[PNP Fin]]-Horaires3567348[[#This Row],[PNP Début]],1))*24</f>
        <v>0</v>
      </c>
      <c r="K44" s="59">
        <f>IF(Horaires3567348[[#This Row],[PNP Début]]=0,0,IF(Horaires3567348[[#This Row],[PNP Début]]&lt;Horaires3567348[[#This Row],[début]],1,0)+Horaires3567348[[#This Row],[PNP Début]])</f>
        <v>0</v>
      </c>
      <c r="L44" s="60">
        <f>IF(Horaires3567348[[#This Row],[PNP Fin]]=0,0,IF(Horaires3567348[[#This Row],[PNP Fin]]&lt;Horaires3567348[[#This Row],[début]],1,0)+Horaires3567348[[#This Row],[PNP Fin]])</f>
        <v>0</v>
      </c>
      <c r="M44" s="60">
        <f>IF(Horaires3567348[[#This Row],[Fin]]&lt;Horaires3567348[[#This Row],[début]],1,0)+Horaires3567348[[#This Row],[Fin]]</f>
        <v>0</v>
      </c>
      <c r="N44" s="61">
        <f>MAX(0,MIN(Horaires3567348[[#This Row],[Fin corrigée si nuit]],fin_nuit)-MAX(Horaires3567348[[#This Row],[début]],deb_nuit))*24</f>
        <v>0</v>
      </c>
      <c r="O44" s="62">
        <f>(MAX(0,MIN(Horaires3567348[[#This Row],[Fin corrigée si nuit]],fin_nuit)-MAX(Horaires3567348[[#This Row],[début]],deb_nuit))-IF(Horaires3567348[[#This Row],[PNP Début]]=0,0,MIN(Horaires3567348[[#This Row],[PNP Fin corrigée]],fin_nuit)-MAX(Horaires3567348[[#This Row],[PNP Début corrigé]],deb_nuit)))*24</f>
        <v>0</v>
      </c>
      <c r="P44" s="62">
        <f>(IF(WEEKDAY(Horaires3567348[[#This Row],[Date]],2)=7,MAX(0,MIN(fin_dimJF,Horaires3567348[[#This Row],[Fin corrigée si nuit]])-MAX(deb_dimJF,Horaires3567348[[#This Row],[début]])),0)+IF(WEEKDAY(Horaires3567348[[#This Row],[Date]],2)=6,MAX(0,Horaires3567348[[#This Row],[Fin corrigée si nuit]]-(1+deb_dimJF)),0))*24</f>
        <v>0</v>
      </c>
      <c r="Q44"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4" s="62">
        <f>(IF(COUNTIF(JF,Horaires3567348[[#This Row],[Date]]),MAX(0,MIN(fin_dimJF,Horaires3567348[[#This Row],[Fin corrigée si nuit]])-MAX(deb_dimJF,Horaires3567348[[#This Row],[début]])),0)+IF(COUNTIF(JF,Horaires3567348[[#This Row],[Date]]+1),MAX(0,Horaires3567348[[#This Row],[Fin corrigée si nuit]]-(1+deb_dimJF)),0))*24</f>
        <v>0</v>
      </c>
      <c r="S44"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5" spans="1:19" x14ac:dyDescent="0.35">
      <c r="A45" s="9"/>
      <c r="B45" s="1"/>
      <c r="C45" s="2"/>
      <c r="D45" s="2"/>
      <c r="E45" s="3"/>
      <c r="F45" s="3"/>
      <c r="G45" s="3"/>
      <c r="H45" s="3"/>
      <c r="I45" s="57">
        <f>0.1*(Horaires3567348[[#This Row],[Heures de nuit]]+Horaires3567348[[#This Row],[heures jour dimanche]]+Horaires3567348[[#This Row],[heures jour fériés]])</f>
        <v>0</v>
      </c>
      <c r="J45" s="58">
        <f>(MOD(Horaires3567348[[#This Row],[Fin]]-Horaires3567348[[#This Row],[début]],1)-MOD(Horaires3567348[[#This Row],[PNP Fin]]-Horaires3567348[[#This Row],[PNP Début]],1))*24</f>
        <v>0</v>
      </c>
      <c r="K45" s="59">
        <f>IF(Horaires3567348[[#This Row],[PNP Début]]=0,0,IF(Horaires3567348[[#This Row],[PNP Début]]&lt;Horaires3567348[[#This Row],[début]],1,0)+Horaires3567348[[#This Row],[PNP Début]])</f>
        <v>0</v>
      </c>
      <c r="L45" s="60">
        <f>IF(Horaires3567348[[#This Row],[PNP Fin]]=0,0,IF(Horaires3567348[[#This Row],[PNP Fin]]&lt;Horaires3567348[[#This Row],[début]],1,0)+Horaires3567348[[#This Row],[PNP Fin]])</f>
        <v>0</v>
      </c>
      <c r="M45" s="60">
        <f>IF(Horaires3567348[[#This Row],[Fin]]&lt;Horaires3567348[[#This Row],[début]],1,0)+Horaires3567348[[#This Row],[Fin]]</f>
        <v>0</v>
      </c>
      <c r="N45" s="61">
        <f>MAX(0,MIN(Horaires3567348[[#This Row],[Fin corrigée si nuit]],fin_nuit)-MAX(Horaires3567348[[#This Row],[début]],deb_nuit))*24</f>
        <v>0</v>
      </c>
      <c r="O45" s="62">
        <f>(MAX(0,MIN(Horaires3567348[[#This Row],[Fin corrigée si nuit]],fin_nuit)-MAX(Horaires3567348[[#This Row],[début]],deb_nuit))-IF(Horaires3567348[[#This Row],[PNP Début]]=0,0,MIN(Horaires3567348[[#This Row],[PNP Fin corrigée]],fin_nuit)-MAX(Horaires3567348[[#This Row],[PNP Début corrigé]],deb_nuit)))*24</f>
        <v>0</v>
      </c>
      <c r="P45" s="62">
        <f>(IF(WEEKDAY(Horaires3567348[[#This Row],[Date]],2)=7,MAX(0,MIN(fin_dimJF,Horaires3567348[[#This Row],[Fin corrigée si nuit]])-MAX(deb_dimJF,Horaires3567348[[#This Row],[début]])),0)+IF(WEEKDAY(Horaires3567348[[#This Row],[Date]],2)=6,MAX(0,Horaires3567348[[#This Row],[Fin corrigée si nuit]]-(1+deb_dimJF)),0))*24</f>
        <v>0</v>
      </c>
      <c r="Q45"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5" s="62">
        <f>(IF(COUNTIF(JF,Horaires3567348[[#This Row],[Date]]),MAX(0,MIN(fin_dimJF,Horaires3567348[[#This Row],[Fin corrigée si nuit]])-MAX(deb_dimJF,Horaires3567348[[#This Row],[début]])),0)+IF(COUNTIF(JF,Horaires3567348[[#This Row],[Date]]+1),MAX(0,Horaires3567348[[#This Row],[Fin corrigée si nuit]]-(1+deb_dimJF)),0))*24</f>
        <v>0</v>
      </c>
      <c r="S45"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6" spans="1:19" x14ac:dyDescent="0.35">
      <c r="A46" s="9"/>
      <c r="B46" s="1"/>
      <c r="C46" s="2"/>
      <c r="D46" s="2"/>
      <c r="E46" s="3"/>
      <c r="F46" s="3"/>
      <c r="G46" s="3"/>
      <c r="H46" s="3"/>
      <c r="I46" s="57">
        <f>0.1*(Horaires3567348[[#This Row],[Heures de nuit]]+Horaires3567348[[#This Row],[heures jour dimanche]]+Horaires3567348[[#This Row],[heures jour fériés]])</f>
        <v>0</v>
      </c>
      <c r="J46" s="58">
        <f>(MOD(Horaires3567348[[#This Row],[Fin]]-Horaires3567348[[#This Row],[début]],1)-MOD(Horaires3567348[[#This Row],[PNP Fin]]-Horaires3567348[[#This Row],[PNP Début]],1))*24</f>
        <v>0</v>
      </c>
      <c r="K46" s="59">
        <f>IF(Horaires3567348[[#This Row],[PNP Début]]=0,0,IF(Horaires3567348[[#This Row],[PNP Début]]&lt;Horaires3567348[[#This Row],[début]],1,0)+Horaires3567348[[#This Row],[PNP Début]])</f>
        <v>0</v>
      </c>
      <c r="L46" s="60">
        <f>IF(Horaires3567348[[#This Row],[PNP Fin]]=0,0,IF(Horaires3567348[[#This Row],[PNP Fin]]&lt;Horaires3567348[[#This Row],[début]],1,0)+Horaires3567348[[#This Row],[PNP Fin]])</f>
        <v>0</v>
      </c>
      <c r="M46" s="60">
        <f>IF(Horaires3567348[[#This Row],[Fin]]&lt;Horaires3567348[[#This Row],[début]],1,0)+Horaires3567348[[#This Row],[Fin]]</f>
        <v>0</v>
      </c>
      <c r="N46" s="61">
        <f>MAX(0,MIN(Horaires3567348[[#This Row],[Fin corrigée si nuit]],fin_nuit)-MAX(Horaires3567348[[#This Row],[début]],deb_nuit))*24</f>
        <v>0</v>
      </c>
      <c r="O46" s="62">
        <f>(MAX(0,MIN(Horaires3567348[[#This Row],[Fin corrigée si nuit]],fin_nuit)-MAX(Horaires3567348[[#This Row],[début]],deb_nuit))-IF(Horaires3567348[[#This Row],[PNP Début]]=0,0,MIN(Horaires3567348[[#This Row],[PNP Fin corrigée]],fin_nuit)-MAX(Horaires3567348[[#This Row],[PNP Début corrigé]],deb_nuit)))*24</f>
        <v>0</v>
      </c>
      <c r="P46" s="62">
        <f>(IF(WEEKDAY(Horaires3567348[[#This Row],[Date]],2)=7,MAX(0,MIN(fin_dimJF,Horaires3567348[[#This Row],[Fin corrigée si nuit]])-MAX(deb_dimJF,Horaires3567348[[#This Row],[début]])),0)+IF(WEEKDAY(Horaires3567348[[#This Row],[Date]],2)=6,MAX(0,Horaires3567348[[#This Row],[Fin corrigée si nuit]]-(1+deb_dimJF)),0))*24</f>
        <v>0</v>
      </c>
      <c r="Q46"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6" s="62">
        <f>(IF(COUNTIF(JF,Horaires3567348[[#This Row],[Date]]),MAX(0,MIN(fin_dimJF,Horaires3567348[[#This Row],[Fin corrigée si nuit]])-MAX(deb_dimJF,Horaires3567348[[#This Row],[début]])),0)+IF(COUNTIF(JF,Horaires3567348[[#This Row],[Date]]+1),MAX(0,Horaires3567348[[#This Row],[Fin corrigée si nuit]]-(1+deb_dimJF)),0))*24</f>
        <v>0</v>
      </c>
      <c r="S46"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7" spans="1:19" x14ac:dyDescent="0.35">
      <c r="A47" s="9"/>
      <c r="B47" s="1"/>
      <c r="C47" s="2"/>
      <c r="D47" s="2"/>
      <c r="E47" s="3"/>
      <c r="F47" s="3"/>
      <c r="G47" s="3"/>
      <c r="H47" s="3"/>
      <c r="I47" s="57">
        <f>0.1*(Horaires3567348[[#This Row],[Heures de nuit]]+Horaires3567348[[#This Row],[heures jour dimanche]]+Horaires3567348[[#This Row],[heures jour fériés]])</f>
        <v>0</v>
      </c>
      <c r="J47" s="58">
        <f>(MOD(Horaires3567348[[#This Row],[Fin]]-Horaires3567348[[#This Row],[début]],1)-MOD(Horaires3567348[[#This Row],[PNP Fin]]-Horaires3567348[[#This Row],[PNP Début]],1))*24</f>
        <v>0</v>
      </c>
      <c r="K47" s="59">
        <f>IF(Horaires3567348[[#This Row],[PNP Début]]=0,0,IF(Horaires3567348[[#This Row],[PNP Début]]&lt;Horaires3567348[[#This Row],[début]],1,0)+Horaires3567348[[#This Row],[PNP Début]])</f>
        <v>0</v>
      </c>
      <c r="L47" s="60">
        <f>IF(Horaires3567348[[#This Row],[PNP Fin]]=0,0,IF(Horaires3567348[[#This Row],[PNP Fin]]&lt;Horaires3567348[[#This Row],[début]],1,0)+Horaires3567348[[#This Row],[PNP Fin]])</f>
        <v>0</v>
      </c>
      <c r="M47" s="60">
        <f>IF(Horaires3567348[[#This Row],[Fin]]&lt;Horaires3567348[[#This Row],[début]],1,0)+Horaires3567348[[#This Row],[Fin]]</f>
        <v>0</v>
      </c>
      <c r="N47" s="61">
        <f>MAX(0,MIN(Horaires3567348[[#This Row],[Fin corrigée si nuit]],fin_nuit)-MAX(Horaires3567348[[#This Row],[début]],deb_nuit))*24</f>
        <v>0</v>
      </c>
      <c r="O47" s="62">
        <f>(MAX(0,MIN(Horaires3567348[[#This Row],[Fin corrigée si nuit]],fin_nuit)-MAX(Horaires3567348[[#This Row],[début]],deb_nuit))-IF(Horaires3567348[[#This Row],[PNP Début]]=0,0,MIN(Horaires3567348[[#This Row],[PNP Fin corrigée]],fin_nuit)-MAX(Horaires3567348[[#This Row],[PNP Début corrigé]],deb_nuit)))*24</f>
        <v>0</v>
      </c>
      <c r="P47" s="62">
        <f>(IF(WEEKDAY(Horaires3567348[[#This Row],[Date]],2)=7,MAX(0,MIN(fin_dimJF,Horaires3567348[[#This Row],[Fin corrigée si nuit]])-MAX(deb_dimJF,Horaires3567348[[#This Row],[début]])),0)+IF(WEEKDAY(Horaires3567348[[#This Row],[Date]],2)=6,MAX(0,Horaires3567348[[#This Row],[Fin corrigée si nuit]]-(1+deb_dimJF)),0))*24</f>
        <v>0</v>
      </c>
      <c r="Q47"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7" s="62">
        <f>(IF(COUNTIF(JF,Horaires3567348[[#This Row],[Date]]),MAX(0,MIN(fin_dimJF,Horaires3567348[[#This Row],[Fin corrigée si nuit]])-MAX(deb_dimJF,Horaires3567348[[#This Row],[début]])),0)+IF(COUNTIF(JF,Horaires3567348[[#This Row],[Date]]+1),MAX(0,Horaires3567348[[#This Row],[Fin corrigée si nuit]]-(1+deb_dimJF)),0))*24</f>
        <v>0</v>
      </c>
      <c r="S47"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8" spans="1:19" x14ac:dyDescent="0.35">
      <c r="A48" s="9"/>
      <c r="B48" s="1"/>
      <c r="C48" s="2"/>
      <c r="D48" s="2"/>
      <c r="E48" s="3"/>
      <c r="F48" s="3"/>
      <c r="G48" s="3"/>
      <c r="H48" s="3"/>
      <c r="I48" s="57">
        <f>0.1*(Horaires3567348[[#This Row],[Heures de nuit]]+Horaires3567348[[#This Row],[heures jour dimanche]]+Horaires3567348[[#This Row],[heures jour fériés]])</f>
        <v>0</v>
      </c>
      <c r="J48" s="58">
        <f>(MOD(Horaires3567348[[#This Row],[Fin]]-Horaires3567348[[#This Row],[début]],1)-MOD(Horaires3567348[[#This Row],[PNP Fin]]-Horaires3567348[[#This Row],[PNP Début]],1))*24</f>
        <v>0</v>
      </c>
      <c r="K48" s="59">
        <f>IF(Horaires3567348[[#This Row],[PNP Début]]=0,0,IF(Horaires3567348[[#This Row],[PNP Début]]&lt;Horaires3567348[[#This Row],[début]],1,0)+Horaires3567348[[#This Row],[PNP Début]])</f>
        <v>0</v>
      </c>
      <c r="L48" s="60">
        <f>IF(Horaires3567348[[#This Row],[PNP Fin]]=0,0,IF(Horaires3567348[[#This Row],[PNP Fin]]&lt;Horaires3567348[[#This Row],[début]],1,0)+Horaires3567348[[#This Row],[PNP Fin]])</f>
        <v>0</v>
      </c>
      <c r="M48" s="60">
        <f>IF(Horaires3567348[[#This Row],[Fin]]&lt;Horaires3567348[[#This Row],[début]],1,0)+Horaires3567348[[#This Row],[Fin]]</f>
        <v>0</v>
      </c>
      <c r="N48" s="61">
        <f>MAX(0,MIN(Horaires3567348[[#This Row],[Fin corrigée si nuit]],fin_nuit)-MAX(Horaires3567348[[#This Row],[début]],deb_nuit))*24</f>
        <v>0</v>
      </c>
      <c r="O48" s="62">
        <f>(MAX(0,MIN(Horaires3567348[[#This Row],[Fin corrigée si nuit]],fin_nuit)-MAX(Horaires3567348[[#This Row],[début]],deb_nuit))-IF(Horaires3567348[[#This Row],[PNP Début]]=0,0,MIN(Horaires3567348[[#This Row],[PNP Fin corrigée]],fin_nuit)-MAX(Horaires3567348[[#This Row],[PNP Début corrigé]],deb_nuit)))*24</f>
        <v>0</v>
      </c>
      <c r="P48" s="62">
        <f>(IF(WEEKDAY(Horaires3567348[[#This Row],[Date]],2)=7,MAX(0,MIN(fin_dimJF,Horaires3567348[[#This Row],[Fin corrigée si nuit]])-MAX(deb_dimJF,Horaires3567348[[#This Row],[début]])),0)+IF(WEEKDAY(Horaires3567348[[#This Row],[Date]],2)=6,MAX(0,Horaires3567348[[#This Row],[Fin corrigée si nuit]]-(1+deb_dimJF)),0))*24</f>
        <v>0</v>
      </c>
      <c r="Q48"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8" s="62">
        <f>(IF(COUNTIF(JF,Horaires3567348[[#This Row],[Date]]),MAX(0,MIN(fin_dimJF,Horaires3567348[[#This Row],[Fin corrigée si nuit]])-MAX(deb_dimJF,Horaires3567348[[#This Row],[début]])),0)+IF(COUNTIF(JF,Horaires3567348[[#This Row],[Date]]+1),MAX(0,Horaires3567348[[#This Row],[Fin corrigée si nuit]]-(1+deb_dimJF)),0))*24</f>
        <v>0</v>
      </c>
      <c r="S48"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49" spans="1:19" ht="15" thickBot="1" x14ac:dyDescent="0.4">
      <c r="A49" s="9"/>
      <c r="B49" s="1"/>
      <c r="C49" s="2"/>
      <c r="D49" s="2"/>
      <c r="E49" s="3"/>
      <c r="F49" s="3"/>
      <c r="G49" s="3"/>
      <c r="H49" s="3"/>
      <c r="I49" s="57">
        <f>0.1*(Horaires3567348[[#This Row],[Heures de nuit]]+Horaires3567348[[#This Row],[heures jour dimanche]]+Horaires3567348[[#This Row],[heures jour fériés]])</f>
        <v>0</v>
      </c>
      <c r="J49" s="58">
        <f>(MOD(Horaires3567348[[#This Row],[Fin]]-Horaires3567348[[#This Row],[début]],1)-MOD(Horaires3567348[[#This Row],[PNP Fin]]-Horaires3567348[[#This Row],[PNP Début]],1))*24</f>
        <v>0</v>
      </c>
      <c r="K49" s="59">
        <f>IF(Horaires3567348[[#This Row],[PNP Début]]=0,0,IF(Horaires3567348[[#This Row],[PNP Début]]&lt;Horaires3567348[[#This Row],[début]],1,0)+Horaires3567348[[#This Row],[PNP Début]])</f>
        <v>0</v>
      </c>
      <c r="L49" s="60">
        <f>IF(Horaires3567348[[#This Row],[PNP Fin]]=0,0,IF(Horaires3567348[[#This Row],[PNP Fin]]&lt;Horaires3567348[[#This Row],[début]],1,0)+Horaires3567348[[#This Row],[PNP Fin]])</f>
        <v>0</v>
      </c>
      <c r="M49" s="60">
        <f>IF(Horaires3567348[[#This Row],[Fin]]&lt;Horaires3567348[[#This Row],[début]],1,0)+Horaires3567348[[#This Row],[Fin]]</f>
        <v>0</v>
      </c>
      <c r="N49" s="61">
        <f>MAX(0,MIN(Horaires3567348[[#This Row],[Fin corrigée si nuit]],fin_nuit)-MAX(Horaires3567348[[#This Row],[début]],deb_nuit))*24</f>
        <v>0</v>
      </c>
      <c r="O49" s="62">
        <f>(MAX(0,MIN(Horaires3567348[[#This Row],[Fin corrigée si nuit]],fin_nuit)-MAX(Horaires3567348[[#This Row],[début]],deb_nuit))-IF(Horaires3567348[[#This Row],[PNP Début]]=0,0,MIN(Horaires3567348[[#This Row],[PNP Fin corrigée]],fin_nuit)-MAX(Horaires3567348[[#This Row],[PNP Début corrigé]],deb_nuit)))*24</f>
        <v>0</v>
      </c>
      <c r="P49" s="62">
        <f>(IF(WEEKDAY(Horaires3567348[[#This Row],[Date]],2)=7,MAX(0,MIN(fin_dimJF,Horaires3567348[[#This Row],[Fin corrigée si nuit]])-MAX(deb_dimJF,Horaires3567348[[#This Row],[début]])),0)+IF(WEEKDAY(Horaires3567348[[#This Row],[Date]],2)=6,MAX(0,Horaires3567348[[#This Row],[Fin corrigée si nuit]]-(1+deb_dimJF)),0))*24</f>
        <v>0</v>
      </c>
      <c r="Q49" s="62">
        <f>(IF(WEEKDAY(Horaires3567348[[#This Row],[Date]],2)=7,MAX(0,MIN(fin_dimJF,Horaires3567348[[#This Row],[Fin corrigée si nuit]])-MAX(deb_dimJF,Horaires3567348[[#This Row],[début]])),0)+IF(WEEKDAY(Horaires3567348[[#This Row],[Date]],2)=6,MAX(0,Horaires3567348[[#This Row],[Fin corrigée si nuit]]-(1+deb_dimJF)),0))*24-
(IF(WEEKDAY(Horaires3567348[[#This Row],[Date]],2)=7,MAX(0,MIN(fin_dimJF,Horaires3567348[[#This Row],[PNP Fin corrigée]])-MAX(deb_dimJF,Horaires3567348[[#This Row],[PNP Début corrigé]])),0)+IF(WEEKDAY(Horaires3567348[[#This Row],[Date]],2)=6,MAX(0,Horaires3567348[[#This Row],[PNP Fin corrigée]]-(1+deb_dimJF)),0))*24</f>
        <v>0</v>
      </c>
      <c r="R49" s="62">
        <f>(IF(COUNTIF(JF,Horaires3567348[[#This Row],[Date]]),MAX(0,MIN(fin_dimJF,Horaires3567348[[#This Row],[Fin corrigée si nuit]])-MAX(deb_dimJF,Horaires3567348[[#This Row],[début]])),0)+IF(COUNTIF(JF,Horaires3567348[[#This Row],[Date]]+1),MAX(0,Horaires3567348[[#This Row],[Fin corrigée si nuit]]-(1+deb_dimJF)),0))*24</f>
        <v>0</v>
      </c>
      <c r="S49" s="62">
        <f>(IF(COUNTIF(JF,Horaires3567348[[#This Row],[Date]]),MAX(0,MIN(fin_dimJF,Horaires3567348[[#This Row],[Fin corrigée si nuit]])-MAX(deb_dimJF,Horaires3567348[[#This Row],[début]])),0)+IF(COUNTIF(JF,Horaires3567348[[#This Row],[Date]]+1),MAX(0,Horaires3567348[[#This Row],[Fin corrigée si nuit]]-(1+deb_dimJF)),0))*24-
(IF(COUNTIF(JF,Horaires3567348[[#This Row],[Date]]),MAX(0,MIN(fin_dimJF,Horaires3567348[[#This Row],[PNP Fin corrigée]])-MAX(deb_dimJF,Horaires3567348[[#This Row],[PNP Début corrigé]])),0)+IF(COUNTIF(JF,Horaires3567348[[#This Row],[Date]]+1),MAX(0,Horaires3567348[[#This Row],[PNP Fin corrigée]]-(1+deb_dimJF)),0))*24</f>
        <v>0</v>
      </c>
    </row>
    <row r="50" spans="1:19" ht="16" thickBot="1" x14ac:dyDescent="0.4">
      <c r="A50" s="63"/>
      <c r="B50" s="25"/>
      <c r="C50" s="25"/>
      <c r="D50" s="25"/>
      <c r="E50" s="106" t="s">
        <v>32</v>
      </c>
      <c r="F50" s="107"/>
      <c r="G50" s="107"/>
      <c r="H50" s="108"/>
      <c r="I50" s="64">
        <f>SUM(Horaires3567348[Majoration])</f>
        <v>0</v>
      </c>
      <c r="J50" s="65">
        <f>SUM(Horaires3567348[Heures totales payées])</f>
        <v>0</v>
      </c>
      <c r="K50" s="25"/>
      <c r="L50" s="25"/>
      <c r="M50" s="25"/>
      <c r="N50" s="25"/>
      <c r="O50" s="25"/>
      <c r="P50" s="25"/>
      <c r="Q50" s="25"/>
      <c r="R50" s="25"/>
      <c r="S50" s="25"/>
    </row>
    <row r="51" spans="1:19" ht="17.399999999999999" customHeight="1" x14ac:dyDescent="0.35">
      <c r="A51" s="109" t="s">
        <v>33</v>
      </c>
      <c r="B51" s="109"/>
      <c r="C51" s="109"/>
      <c r="D51" s="109"/>
      <c r="E51" s="25"/>
      <c r="F51" s="25"/>
      <c r="G51" s="110" t="s">
        <v>34</v>
      </c>
      <c r="H51" s="110"/>
      <c r="I51" s="110"/>
      <c r="J51" s="110"/>
      <c r="K51" s="25"/>
      <c r="L51" s="25"/>
      <c r="M51" s="25"/>
      <c r="N51" s="25"/>
      <c r="O51" s="25"/>
      <c r="P51" s="25"/>
      <c r="Q51" s="25"/>
      <c r="R51" s="25"/>
      <c r="S51" s="25"/>
    </row>
    <row r="52" spans="1:19" x14ac:dyDescent="0.35">
      <c r="A52" s="111"/>
      <c r="B52" s="112"/>
      <c r="C52" s="112"/>
      <c r="D52" s="113"/>
      <c r="E52" s="63"/>
      <c r="F52" s="25"/>
      <c r="G52" s="111"/>
      <c r="H52" s="112"/>
      <c r="I52" s="112"/>
      <c r="J52" s="112"/>
      <c r="K52" s="25"/>
      <c r="L52" s="25"/>
      <c r="M52" s="25"/>
      <c r="N52" s="25"/>
      <c r="O52" s="25"/>
      <c r="P52" s="25"/>
      <c r="Q52" s="25"/>
      <c r="R52" s="25"/>
      <c r="S52" s="25"/>
    </row>
    <row r="53" spans="1:19" x14ac:dyDescent="0.35">
      <c r="A53" s="114"/>
      <c r="B53" s="115"/>
      <c r="C53" s="115"/>
      <c r="D53" s="116"/>
      <c r="E53" s="25"/>
      <c r="F53" s="25"/>
      <c r="G53" s="114"/>
      <c r="H53" s="115"/>
      <c r="I53" s="115"/>
      <c r="J53" s="115"/>
      <c r="K53" s="25"/>
      <c r="L53" s="25"/>
      <c r="M53" s="25"/>
      <c r="N53" s="25"/>
      <c r="O53" s="25"/>
      <c r="P53" s="25"/>
      <c r="Q53" s="25"/>
      <c r="R53" s="25"/>
      <c r="S53" s="25"/>
    </row>
    <row r="54" spans="1:19" ht="7.75" customHeight="1" x14ac:dyDescent="0.35">
      <c r="A54" s="117"/>
      <c r="B54" s="118"/>
      <c r="C54" s="118"/>
      <c r="D54" s="119"/>
      <c r="E54" s="63"/>
      <c r="F54" s="25"/>
      <c r="G54" s="117"/>
      <c r="H54" s="118"/>
      <c r="I54" s="118"/>
      <c r="J54" s="118"/>
      <c r="K54" s="25"/>
      <c r="L54" s="25"/>
      <c r="M54" s="25"/>
      <c r="N54" s="25"/>
      <c r="O54" s="25"/>
      <c r="P54" s="25"/>
      <c r="Q54" s="25"/>
      <c r="R54" s="25"/>
      <c r="S54" s="25"/>
    </row>
    <row r="55" spans="1:19" x14ac:dyDescent="0.35">
      <c r="A55" s="63"/>
      <c r="B55" s="25"/>
      <c r="C55" s="25"/>
      <c r="D55" s="25"/>
      <c r="E55" s="25"/>
      <c r="F55" s="25"/>
      <c r="G55" s="25"/>
      <c r="H55" s="25"/>
      <c r="I55" s="25"/>
      <c r="J55" s="72"/>
      <c r="K55" s="25"/>
      <c r="L55" s="25"/>
      <c r="M55" s="25"/>
      <c r="N55" s="25"/>
      <c r="O55" s="25"/>
      <c r="P55" s="25"/>
      <c r="Q55" s="25"/>
      <c r="R55" s="25"/>
      <c r="S55" s="25"/>
    </row>
    <row r="56" spans="1:19" x14ac:dyDescent="0.35">
      <c r="A56" s="25"/>
      <c r="B56" s="25"/>
      <c r="C56" s="25"/>
      <c r="D56" s="25"/>
      <c r="E56" s="25"/>
      <c r="F56" s="25"/>
      <c r="G56" s="25"/>
      <c r="H56" s="25"/>
      <c r="I56" s="25"/>
      <c r="J56" s="26"/>
      <c r="K56" s="25"/>
      <c r="L56" s="25"/>
      <c r="M56" s="25"/>
      <c r="N56" s="25"/>
      <c r="O56" s="25"/>
      <c r="P56" s="25"/>
      <c r="Q56" s="25"/>
      <c r="R56" s="25"/>
      <c r="S56" s="25"/>
    </row>
    <row r="57" spans="1:19" x14ac:dyDescent="0.35">
      <c r="A57" s="25"/>
      <c r="B57" s="25"/>
      <c r="C57" s="25"/>
      <c r="D57" s="25"/>
      <c r="E57" s="25"/>
      <c r="F57" s="25"/>
      <c r="G57" s="25"/>
      <c r="H57" s="25"/>
      <c r="I57" s="25"/>
      <c r="J57" s="26"/>
      <c r="K57" s="25"/>
      <c r="L57" s="25"/>
      <c r="M57" s="25"/>
      <c r="N57" s="25"/>
      <c r="O57" s="25"/>
      <c r="P57" s="25"/>
      <c r="Q57" s="25"/>
      <c r="R57" s="25"/>
      <c r="S57" s="25"/>
    </row>
    <row r="58" spans="1:19" x14ac:dyDescent="0.35">
      <c r="A58" s="25"/>
      <c r="B58" s="25"/>
      <c r="C58" s="25"/>
      <c r="D58" s="25"/>
      <c r="E58" s="25"/>
      <c r="F58" s="25"/>
      <c r="G58" s="25"/>
      <c r="H58" s="25"/>
      <c r="I58" s="25"/>
      <c r="J58" s="26"/>
      <c r="K58" s="25"/>
      <c r="L58" s="25"/>
      <c r="M58" s="25"/>
      <c r="N58" s="25"/>
      <c r="O58" s="25"/>
      <c r="P58" s="25"/>
      <c r="Q58" s="25"/>
      <c r="R58" s="25"/>
      <c r="S58" s="25"/>
    </row>
    <row r="59" spans="1:19" x14ac:dyDescent="0.35">
      <c r="A59" s="25"/>
      <c r="B59" s="25"/>
      <c r="C59" s="25"/>
      <c r="D59" s="25"/>
      <c r="E59" s="25"/>
      <c r="F59" s="25"/>
      <c r="G59" s="25"/>
      <c r="H59" s="25"/>
      <c r="I59" s="25"/>
      <c r="J59" s="26"/>
      <c r="K59" s="25"/>
      <c r="L59" s="25"/>
      <c r="M59" s="25"/>
      <c r="N59" s="25"/>
      <c r="O59" s="25"/>
      <c r="P59" s="25"/>
      <c r="Q59" s="25"/>
      <c r="R59" s="25"/>
      <c r="S59" s="25"/>
    </row>
    <row r="60" spans="1:19" x14ac:dyDescent="0.35">
      <c r="A60" s="25"/>
      <c r="B60" s="25"/>
      <c r="C60" s="25"/>
      <c r="D60" s="25"/>
      <c r="E60" s="25"/>
      <c r="F60" s="25"/>
      <c r="G60" s="25"/>
      <c r="H60" s="25"/>
      <c r="I60" s="25"/>
      <c r="J60" s="26"/>
      <c r="K60" s="25"/>
      <c r="L60" s="25"/>
      <c r="M60" s="25"/>
      <c r="N60" s="25"/>
      <c r="O60" s="25"/>
      <c r="P60" s="25"/>
      <c r="Q60" s="25"/>
      <c r="R60" s="25"/>
      <c r="S60" s="25"/>
    </row>
  </sheetData>
  <sheetProtection selectLockedCells="1"/>
  <mergeCells count="21">
    <mergeCell ref="A1:B2"/>
    <mergeCell ref="A3:J4"/>
    <mergeCell ref="A5:B5"/>
    <mergeCell ref="D5:F5"/>
    <mergeCell ref="G5:H5"/>
    <mergeCell ref="I5:J5"/>
    <mergeCell ref="J9:J11"/>
    <mergeCell ref="C10:C11"/>
    <mergeCell ref="D10:D11"/>
    <mergeCell ref="E10:F10"/>
    <mergeCell ref="G10:H10"/>
    <mergeCell ref="A9:A11"/>
    <mergeCell ref="B9:B11"/>
    <mergeCell ref="C9:D9"/>
    <mergeCell ref="E9:H9"/>
    <mergeCell ref="I9:I11"/>
    <mergeCell ref="E50:H50"/>
    <mergeCell ref="A51:D51"/>
    <mergeCell ref="G51:J51"/>
    <mergeCell ref="A52:D54"/>
    <mergeCell ref="G52:J54"/>
  </mergeCells>
  <dataValidations count="3">
    <dataValidation allowBlank="1" showInputMessage="1" showErrorMessage="1" error="Tapez les heures sous le format_x000a_00:00" sqref="K12:N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rintOptions horizontalCentered="1"/>
  <pageMargins left="0" right="0" top="0" bottom="0" header="0" footer="0"/>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19</vt:i4>
      </vt:variant>
    </vt:vector>
  </HeadingPairs>
  <TitlesOfParts>
    <vt:vector size="36" baseType="lpstr">
      <vt:lpstr>Septembre 17</vt:lpstr>
      <vt:lpstr>Janvier 18</vt:lpstr>
      <vt:lpstr>TOTAUX ANNUEL </vt:lpstr>
      <vt:lpstr>Fevrier 18</vt:lpstr>
      <vt:lpstr>parametres</vt:lpstr>
      <vt:lpstr>JF</vt:lpstr>
      <vt:lpstr>Mars 18</vt:lpstr>
      <vt:lpstr>Avril 18</vt:lpstr>
      <vt:lpstr>mai 18</vt:lpstr>
      <vt:lpstr>juin 18</vt:lpstr>
      <vt:lpstr>Juillet 18</vt:lpstr>
      <vt:lpstr>Aout 18</vt:lpstr>
      <vt:lpstr>Septembre 18</vt:lpstr>
      <vt:lpstr>Octobre 18</vt:lpstr>
      <vt:lpstr>Novembre 18</vt:lpstr>
      <vt:lpstr>Decembre 18</vt:lpstr>
      <vt:lpstr>Janvier 19</vt:lpstr>
      <vt:lpstr>deb_dimJF</vt:lpstr>
      <vt:lpstr>deb_nuit</vt:lpstr>
      <vt:lpstr>fin_dimJF</vt:lpstr>
      <vt:lpstr>fin_nuit</vt:lpstr>
      <vt:lpstr>JF</vt:lpstr>
      <vt:lpstr>'Aout 18'!Zone_d_impression</vt:lpstr>
      <vt:lpstr>'Avril 18'!Zone_d_impression</vt:lpstr>
      <vt:lpstr>'Decembre 18'!Zone_d_impression</vt:lpstr>
      <vt:lpstr>'Fevrier 18'!Zone_d_impression</vt:lpstr>
      <vt:lpstr>'Janvier 18'!Zone_d_impression</vt:lpstr>
      <vt:lpstr>'Janvier 19'!Zone_d_impression</vt:lpstr>
      <vt:lpstr>'Juillet 18'!Zone_d_impression</vt:lpstr>
      <vt:lpstr>'juin 18'!Zone_d_impression</vt:lpstr>
      <vt:lpstr>'mai 18'!Zone_d_impression</vt:lpstr>
      <vt:lpstr>'Mars 18'!Zone_d_impression</vt:lpstr>
      <vt:lpstr>'Novembre 18'!Zone_d_impression</vt:lpstr>
      <vt:lpstr>'Octobre 18'!Zone_d_impression</vt:lpstr>
      <vt:lpstr>'Septembre 17'!Zone_d_impression</vt:lpstr>
      <vt:lpstr>'Septembre 18'!Zone_d_impression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cp:lastPrinted>2017-10-31T10:10:32Z</cp:lastPrinted>
  <dcterms:created xsi:type="dcterms:W3CDTF">2017-09-02T09:30:55Z</dcterms:created>
  <dcterms:modified xsi:type="dcterms:W3CDTF">2018-01-12T04:35:41Z</dcterms:modified>
</cp:coreProperties>
</file>