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cuments\excel\"/>
    </mc:Choice>
  </mc:AlternateContent>
  <bookViews>
    <workbookView xWindow="0" yWindow="0" windowWidth="19200" windowHeight="7770"/>
  </bookViews>
  <sheets>
    <sheet name="calcul heures voyage" sheetId="1" r:id="rId1"/>
    <sheet name="plage horaire de travail" sheetId="2" r:id="rId2"/>
    <sheet name="jours férié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K3" i="1" s="1"/>
  <c r="K4" i="1"/>
  <c r="L4" i="1"/>
  <c r="M4" i="1"/>
  <c r="L5" i="1"/>
  <c r="K6" i="1"/>
  <c r="L6" i="1"/>
  <c r="M6" i="1"/>
  <c r="L7" i="1"/>
  <c r="K7" i="1" s="1"/>
  <c r="L8" i="1"/>
  <c r="L9" i="1"/>
  <c r="M9" i="1" s="1"/>
  <c r="K2" i="1"/>
  <c r="J3" i="1"/>
  <c r="J4" i="1"/>
  <c r="J5" i="1"/>
  <c r="J6" i="1"/>
  <c r="J7" i="1"/>
  <c r="J8" i="1"/>
  <c r="K8" i="1" s="1"/>
  <c r="J9" i="1"/>
  <c r="L2" i="1"/>
  <c r="J2" i="1"/>
  <c r="M8" i="1" l="1"/>
  <c r="K9" i="1"/>
  <c r="M7" i="1"/>
  <c r="M3" i="1"/>
  <c r="G4" i="1"/>
  <c r="H4" i="1"/>
  <c r="H3" i="1"/>
  <c r="H5" i="1"/>
  <c r="K5" i="1" s="1"/>
  <c r="H6" i="1"/>
  <c r="H7" i="1"/>
  <c r="H8" i="1"/>
  <c r="H9" i="1"/>
  <c r="G3" i="1"/>
  <c r="G5" i="1"/>
  <c r="G6" i="1"/>
  <c r="G7" i="1"/>
  <c r="G8" i="1"/>
  <c r="G9" i="1"/>
  <c r="G2" i="1"/>
  <c r="I7" i="1" l="1"/>
  <c r="I2" i="1"/>
  <c r="M2" i="1" s="1"/>
  <c r="I6" i="1"/>
  <c r="I9" i="1"/>
  <c r="N9" i="1" s="1"/>
  <c r="O9" i="1" s="1"/>
  <c r="I5" i="1"/>
  <c r="N7" i="1"/>
  <c r="O7" i="1" s="1"/>
  <c r="I8" i="1"/>
  <c r="N8" i="1" s="1"/>
  <c r="O8" i="1" s="1"/>
  <c r="I3" i="1"/>
  <c r="N3" i="1" s="1"/>
  <c r="N6" i="1"/>
  <c r="O6" i="1" s="1"/>
  <c r="I4" i="1"/>
  <c r="C1" i="3"/>
  <c r="N5" i="1" l="1"/>
  <c r="M5" i="1"/>
  <c r="O3" i="1"/>
  <c r="N4" i="1"/>
  <c r="O4" i="1" s="1"/>
  <c r="E11" i="3"/>
  <c r="E10" i="3"/>
  <c r="E5" i="3"/>
  <c r="E9" i="3"/>
  <c r="E2" i="3"/>
  <c r="E4" i="3"/>
  <c r="E8" i="3"/>
  <c r="E12" i="3"/>
  <c r="O5" i="1" l="1"/>
  <c r="H2" i="1"/>
  <c r="E7" i="3"/>
  <c r="E3" i="3"/>
  <c r="E6" i="3"/>
  <c r="N2" i="1" l="1"/>
  <c r="O2" i="1" s="1"/>
</calcChain>
</file>

<file path=xl/sharedStrings.xml><?xml version="1.0" encoding="utf-8"?>
<sst xmlns="http://schemas.openxmlformats.org/spreadsheetml/2006/main" count="55" uniqueCount="33">
  <si>
    <t>cadre</t>
  </si>
  <si>
    <t>non cadre</t>
  </si>
  <si>
    <t>matricule</t>
  </si>
  <si>
    <t>nom</t>
  </si>
  <si>
    <t>prénom</t>
  </si>
  <si>
    <t>Truc</t>
  </si>
  <si>
    <t>Muche</t>
  </si>
  <si>
    <t xml:space="preserve">Pâques = </t>
  </si>
  <si>
    <t>DATE_JF</t>
  </si>
  <si>
    <t>JF</t>
  </si>
  <si>
    <t>Premier de l'AN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</si>
  <si>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</si>
  <si>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</si>
  <si>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</si>
  <si>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</si>
  <si>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</si>
  <si>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</si>
  <si>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</si>
  <si>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</si>
  <si>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</si>
  <si>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</si>
  <si>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statut</t>
  </si>
  <si>
    <t>durée du voyage</t>
  </si>
  <si>
    <t>départ WE ou JF</t>
  </si>
  <si>
    <t>arrivée WE ou JF</t>
  </si>
  <si>
    <t>durée voyage hors horaire de travail (cadres)</t>
  </si>
  <si>
    <t>heure arrivée prise en compte</t>
  </si>
  <si>
    <t>début journée</t>
  </si>
  <si>
    <t>fin journée</t>
  </si>
  <si>
    <t>heure départ prise en compte</t>
  </si>
  <si>
    <t>date et heure arrivée</t>
  </si>
  <si>
    <t>date et heure départ</t>
  </si>
  <si>
    <t>neutra-lisation 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</si>
</sst>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]:mm"/>
    <numFmt numFmtId="165" formatCode="ddd\ dd/mm/yyyy"/>
    <numFmt numFmtId="166" formatCode="ddd\ dd/mm/yyyy\ hh:mm"/>
  </numFmts>
  <fonts count="5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wrapText="1"/>
    </xf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165" fontId="2" fillId="3" borderId="0" xfId="0" applyNumberFormat="1" applyFont="1" applyFill="1" applyBorder="1" applyAlignment="1">
      <alignment horizontal="center"/>
    </xf>
    <xf numFmtId="14" fontId="4" fillId="2" borderId="0" xfId="0" applyNumberFormat="1" applyFont="1" applyFill="1" applyBorder="1" applyAlignment="1">
      <alignment horizontal="center"/>
    </xf>
    <xf numFmtId="166" fontId="0" fillId="0" borderId="0" xfId="0" applyNumberFormat="1" applyAlignment="1">
      <alignment horizontal="center" wrapText="1"/>
    </xf>
    <xf numFmtId="166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1">
    <dxf>
      <font>
        <color theme="4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336550</xdr:colOff>
      <xdr:row>3</xdr:row>
      <xdr:rowOff>50800</xdr:rowOff>
    </xdr:from>
    <xdr:to>
      <xdr:col>8</xdr:col>
      <xdr:colOff>228600</xdr:colOff>
      <xdr:row>4</xdr:row>
      <xdr:rowOff>177800</xdr:rowOff>
    </xdr:to>
    <xdr:sp macro="" textlink="">
      <xdr:nvSpPr>
        <xdr:cNvPr id="2" name="ZoneTexte 1"/>
        <xdr:cNvSpPr txBox="1"/>
      </xdr:nvSpPr>
      <xdr:spPr>
        <a:xfrm>
          <a:off x="4146550" y="603250"/>
          <a:ext cx="2178050" cy="311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uniquement du lundi au vendredi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workbookViewId="0"/>
  </sheetViews>
  <sheetFormatPr baseColWidth="10" defaultRowHeight="14.5" x14ac:dyDescent="0.35"/>
  <cols>
    <col min="1" max="1" width="8.6328125" bestFit="1" customWidth="1"/>
    <col min="2" max="2" width="4.6328125" bestFit="1" customWidth="1"/>
    <col min="3" max="3" width="7.453125" bestFit="1" customWidth="1"/>
    <col min="4" max="4" width="9.1796875" bestFit="1" customWidth="1"/>
    <col min="5" max="5" width="19.36328125" style="10" bestFit="1" customWidth="1"/>
    <col min="6" max="6" width="8.36328125" style="2" bestFit="1" customWidth="1"/>
    <col min="7" max="7" width="19.36328125" style="10" bestFit="1" customWidth="1"/>
    <col min="8" max="8" width="9.6328125" style="12" bestFit="1" customWidth="1"/>
    <col min="9" max="9" width="9.90625" style="12" bestFit="1" customWidth="1"/>
    <col min="10" max="10" width="7.26953125" style="2" bestFit="1" customWidth="1"/>
    <col min="11" max="11" width="19.36328125" style="10" bestFit="1" customWidth="1"/>
    <col min="12" max="12" width="7.26953125" style="2" bestFit="1" customWidth="1"/>
    <col min="13" max="13" width="19.36328125" style="10" bestFit="1" customWidth="1"/>
    <col min="14" max="14" width="7.26953125" style="2" bestFit="1" customWidth="1"/>
    <col min="15" max="15" width="13.6328125" style="2" bestFit="1" customWidth="1"/>
  </cols>
  <sheetData>
    <row r="1" spans="1:15" s="1" customFormat="1" ht="43.5" x14ac:dyDescent="0.35">
      <c r="A1" s="1" t="s">
        <v>2</v>
      </c>
      <c r="B1" s="1" t="s">
        <v>3</v>
      </c>
      <c r="C1" s="1" t="s">
        <v>4</v>
      </c>
      <c r="D1" s="1" t="s">
        <v>21</v>
      </c>
      <c r="E1" s="9" t="s">
        <v>31</v>
      </c>
      <c r="F1" s="3" t="s">
        <v>22</v>
      </c>
      <c r="G1" s="9" t="s">
        <v>30</v>
      </c>
      <c r="H1" s="11" t="s">
        <v>23</v>
      </c>
      <c r="I1" s="11" t="s">
        <v>24</v>
      </c>
      <c r="J1" s="3" t="s">
        <v>27</v>
      </c>
      <c r="K1" s="9" t="s">
        <v>29</v>
      </c>
      <c r="L1" s="3" t="s">
        <v>28</v>
      </c>
      <c r="M1" s="9" t="s">
        <v>26</v>
      </c>
      <c r="N1" s="3" t="s">
        <v>32</v>
      </c>
      <c r="O1" s="3" t="s">
        <v>25</v>
      </c>
    </row>
    <row r="2" spans="1:15" x14ac:dyDescent="0.35">
      <c r="A2">
        <v>123456</v>
      </c>
      <c r="B2" t="s">
        <v>5</v>
      </c>
      <c r="C2" t="s">
        <v>6</v>
      </c>
      <c r="D2" t="s">
        <v>0</v>
      </c>
      <c r="E2" s="10">
        <v>41758.958333333336</v>
      </c>
      <c r="F2" s="2">
        <v>0.54166666666666663</v>
      </c>
      <c r="G2" s="10">
        <f>E2+F2</f>
        <v>41759.5</v>
      </c>
      <c r="H2" s="12" t="b">
        <f>OR(WEEKDAY(INT(E2),2)&gt;5,COUNTIF('jours fériés'!$E:$E,INT(E2)))</f>
        <v>0</v>
      </c>
      <c r="I2" s="12" t="b">
        <f>OR(WEEKDAY(INT(G2),2)&gt;5,COUNTIF('jours fériés'!$E:$E,INT(G2)))</f>
        <v>0</v>
      </c>
      <c r="J2" s="13">
        <f>VLOOKUP(D2,'plage horaire de travail'!A:C,2,0)</f>
        <v>0.33333333333333331</v>
      </c>
      <c r="K2" s="10">
        <f>IF(AND(H2*1=0,MOD(E2,1)&gt;J2,MOD(E2,1)&lt;L2),L2,MOD(E2,1))+INT(E2)</f>
        <v>41758.958333333336</v>
      </c>
      <c r="L2" s="13">
        <f>VLOOKUP(D2,'plage horaire de travail'!A:C,3,0)</f>
        <v>0.75</v>
      </c>
      <c r="M2" s="10">
        <f>IF(AND(I2*1=0,MOD(G2,1)&gt;J2,MOD(G2,1)&lt;L2),J2,MOD(G2,1))+INT(G2)</f>
        <v>41759.333333333336</v>
      </c>
      <c r="N2" s="2">
        <f>IF(OR(AND(H2*1=0,E2&lt;INT(E2)+J2,G2&gt;INT(E2)+L2),AND(I2*1=0,E2&lt;INT(G2)+J2,G2&gt;INT(G2)+L2)),L2-J2,)</f>
        <v>0</v>
      </c>
      <c r="O2" s="2">
        <f>MAX(0,M2-K2-N2)</f>
        <v>0.375</v>
      </c>
    </row>
    <row r="3" spans="1:15" x14ac:dyDescent="0.35">
      <c r="A3">
        <v>123456</v>
      </c>
      <c r="B3" t="s">
        <v>5</v>
      </c>
      <c r="C3" t="s">
        <v>6</v>
      </c>
      <c r="D3" t="s">
        <v>0</v>
      </c>
      <c r="E3" s="10">
        <v>41759.625</v>
      </c>
      <c r="F3" s="2">
        <v>0.54166666666666663</v>
      </c>
      <c r="G3" s="10">
        <f>E3+F3</f>
        <v>41760.166666666664</v>
      </c>
      <c r="H3" s="12" t="b">
        <f>OR(WEEKDAY(INT(E3),2)&gt;5,COUNTIF('jours fériés'!$E:$E,INT(E3)))</f>
        <v>0</v>
      </c>
      <c r="I3" s="12" t="b">
        <f>OR(WEEKDAY(INT(G3),2)&gt;5,COUNTIF('jours fériés'!$E:$E,INT(G3)))</f>
        <v>1</v>
      </c>
      <c r="J3" s="13">
        <f>VLOOKUP(D3,'plage horaire de travail'!A:C,2,0)</f>
        <v>0.33333333333333331</v>
      </c>
      <c r="K3" s="10">
        <f t="shared" ref="K3:K9" si="0">IF(AND(H3*1=0,MOD(E3,1)&gt;J3,MOD(E3,1)&lt;L3),L3,MOD(E3,1))+INT(E3)</f>
        <v>41759.75</v>
      </c>
      <c r="L3" s="13">
        <f>VLOOKUP(D3,'plage horaire de travail'!A:C,3,0)</f>
        <v>0.75</v>
      </c>
      <c r="M3" s="10">
        <f t="shared" ref="M3:M9" si="1">IF(AND(I3*1=0,MOD(G3,1)&gt;J3,MOD(G3,1)&lt;L3),J3,MOD(G3,1))+INT(G3)</f>
        <v>41760.166666666664</v>
      </c>
      <c r="N3" s="2">
        <f>IF(OR(AND(H3*1=0,E3&lt;INT(E3)+J3,G3&gt;INT(E3)+L3),AND(I3*1=0,E3&lt;INT(G3)+J3,G3&gt;INT(G3)+L3)),L3-J3,)</f>
        <v>0</v>
      </c>
      <c r="O3" s="2">
        <f t="shared" ref="O3:O9" si="2">MAX(0,M3-K3-N3)</f>
        <v>0.41666666666424135</v>
      </c>
    </row>
    <row r="4" spans="1:15" x14ac:dyDescent="0.35">
      <c r="A4">
        <v>123456</v>
      </c>
      <c r="B4" t="s">
        <v>5</v>
      </c>
      <c r="C4" t="s">
        <v>6</v>
      </c>
      <c r="D4" t="s">
        <v>0</v>
      </c>
      <c r="E4" s="10">
        <v>41759.291666666664</v>
      </c>
      <c r="F4" s="2">
        <v>0.54166666666666663</v>
      </c>
      <c r="G4" s="10">
        <f>E4+F4</f>
        <v>41759.833333333328</v>
      </c>
      <c r="H4" s="12" t="b">
        <f>OR(WEEKDAY(INT(E4),2)&gt;5,COUNTIF('jours fériés'!$E:$E,INT(E4)))</f>
        <v>0</v>
      </c>
      <c r="I4" s="12" t="b">
        <f>OR(WEEKDAY(INT(G4),2)&gt;5,COUNTIF('jours fériés'!$E:$E,INT(G4)))</f>
        <v>0</v>
      </c>
      <c r="J4" s="13">
        <f>VLOOKUP(D4,'plage horaire de travail'!A:C,2,0)</f>
        <v>0.33333333333333331</v>
      </c>
      <c r="K4" s="10">
        <f t="shared" si="0"/>
        <v>41759.291666666664</v>
      </c>
      <c r="L4" s="13">
        <f>VLOOKUP(D4,'plage horaire de travail'!A:C,3,0)</f>
        <v>0.75</v>
      </c>
      <c r="M4" s="10">
        <f t="shared" si="1"/>
        <v>41759.833333333328</v>
      </c>
      <c r="N4" s="2">
        <f>IF(OR(AND(H4*1=0,E4&lt;INT(E4)+J4,G4&gt;INT(E4)+L4),AND(I4*1=0,E4&lt;INT(G4)+J4,G4&gt;INT(G4)+L4)),L4-J4,)</f>
        <v>0.41666666666666669</v>
      </c>
      <c r="O4" s="2">
        <f t="shared" si="2"/>
        <v>0.12499999999757466</v>
      </c>
    </row>
    <row r="5" spans="1:15" x14ac:dyDescent="0.35">
      <c r="A5">
        <v>123456</v>
      </c>
      <c r="B5" t="s">
        <v>5</v>
      </c>
      <c r="C5" t="s">
        <v>6</v>
      </c>
      <c r="D5" t="s">
        <v>0</v>
      </c>
      <c r="E5" s="10">
        <v>41760.375</v>
      </c>
      <c r="F5" s="2">
        <v>0.54166666666666663</v>
      </c>
      <c r="G5" s="10">
        <f>E5+F5</f>
        <v>41760.916666666664</v>
      </c>
      <c r="H5" s="12" t="b">
        <f>OR(WEEKDAY(INT(E5),2)&gt;5,COUNTIF('jours fériés'!$E:$E,INT(E5)))</f>
        <v>1</v>
      </c>
      <c r="I5" s="12" t="b">
        <f>OR(WEEKDAY(INT(G5),2)&gt;5,COUNTIF('jours fériés'!$E:$E,INT(G5)))</f>
        <v>1</v>
      </c>
      <c r="J5" s="13">
        <f>VLOOKUP(D5,'plage horaire de travail'!A:C,2,0)</f>
        <v>0.33333333333333331</v>
      </c>
      <c r="K5" s="10">
        <f t="shared" si="0"/>
        <v>41760.375</v>
      </c>
      <c r="L5" s="13">
        <f>VLOOKUP(D5,'plage horaire de travail'!A:C,3,0)</f>
        <v>0.75</v>
      </c>
      <c r="M5" s="10">
        <f t="shared" si="1"/>
        <v>41760.916666666664</v>
      </c>
      <c r="N5" s="2">
        <f>IF(OR(AND(H5*1=0,E5&lt;INT(E5)+J5,G5&gt;INT(E5)+L5),AND(I5*1=0,E5&lt;INT(G5)+J5,G5&gt;INT(G5)+L5)),L5-J5,)</f>
        <v>0</v>
      </c>
      <c r="O5" s="2">
        <f t="shared" si="2"/>
        <v>0.54166666666424135</v>
      </c>
    </row>
    <row r="6" spans="1:15" x14ac:dyDescent="0.35">
      <c r="A6">
        <v>123456</v>
      </c>
      <c r="B6" t="s">
        <v>5</v>
      </c>
      <c r="C6" t="s">
        <v>6</v>
      </c>
      <c r="D6" t="s">
        <v>0</v>
      </c>
      <c r="E6" s="10">
        <v>41760.625</v>
      </c>
      <c r="F6" s="2">
        <v>0.54166666666666663</v>
      </c>
      <c r="G6" s="10">
        <f>E6+F6</f>
        <v>41761.166666666664</v>
      </c>
      <c r="H6" s="12" t="b">
        <f>OR(WEEKDAY(INT(E6),2)&gt;5,COUNTIF('jours fériés'!$E:$E,INT(E6)))</f>
        <v>1</v>
      </c>
      <c r="I6" s="12" t="b">
        <f>OR(WEEKDAY(INT(G6),2)&gt;5,COUNTIF('jours fériés'!$E:$E,INT(G6)))</f>
        <v>0</v>
      </c>
      <c r="J6" s="13">
        <f>VLOOKUP(D6,'plage horaire de travail'!A:C,2,0)</f>
        <v>0.33333333333333331</v>
      </c>
      <c r="K6" s="10">
        <f t="shared" si="0"/>
        <v>41760.625</v>
      </c>
      <c r="L6" s="13">
        <f>VLOOKUP(D6,'plage horaire de travail'!A:C,3,0)</f>
        <v>0.75</v>
      </c>
      <c r="M6" s="10">
        <f t="shared" si="1"/>
        <v>41761.166666666664</v>
      </c>
      <c r="N6" s="2">
        <f>IF(OR(AND(H6*1=0,E6&lt;INT(E6)+J6,G6&gt;INT(E6)+L6),AND(I6*1=0,E6&lt;INT(G6)+J6,G6&gt;INT(G6)+L6)),L6-J6,)</f>
        <v>0</v>
      </c>
      <c r="O6" s="2">
        <f t="shared" si="2"/>
        <v>0.54166666666424135</v>
      </c>
    </row>
    <row r="7" spans="1:15" x14ac:dyDescent="0.35">
      <c r="A7">
        <v>123456</v>
      </c>
      <c r="B7" t="s">
        <v>5</v>
      </c>
      <c r="C7" t="s">
        <v>6</v>
      </c>
      <c r="D7" t="s">
        <v>0</v>
      </c>
      <c r="E7" s="10">
        <v>41759.041666666664</v>
      </c>
      <c r="F7" s="2">
        <v>0.54166666666666663</v>
      </c>
      <c r="G7" s="10">
        <f>E7+F7</f>
        <v>41759.583333333328</v>
      </c>
      <c r="H7" s="12" t="b">
        <f>OR(WEEKDAY(INT(E7),2)&gt;5,COUNTIF('jours fériés'!$E:$E,INT(E7)))</f>
        <v>0</v>
      </c>
      <c r="I7" s="12" t="b">
        <f>OR(WEEKDAY(INT(G7),2)&gt;5,COUNTIF('jours fériés'!$E:$E,INT(G7)))</f>
        <v>0</v>
      </c>
      <c r="J7" s="13">
        <f>VLOOKUP(D7,'plage horaire de travail'!A:C,2,0)</f>
        <v>0.33333333333333331</v>
      </c>
      <c r="K7" s="10">
        <f t="shared" si="0"/>
        <v>41759.041666666664</v>
      </c>
      <c r="L7" s="13">
        <f>VLOOKUP(D7,'plage horaire de travail'!A:C,3,0)</f>
        <v>0.75</v>
      </c>
      <c r="M7" s="10">
        <f t="shared" si="1"/>
        <v>41759.333333333336</v>
      </c>
      <c r="N7" s="2">
        <f>IF(OR(AND(H7*1=0,E7&lt;INT(E7)+J7,G7&gt;INT(E7)+L7),AND(I7*1=0,E7&lt;INT(G7)+J7,G7&gt;INT(G7)+L7)),L7-J7,)</f>
        <v>0</v>
      </c>
      <c r="O7" s="2">
        <f t="shared" si="2"/>
        <v>0.29166666667151731</v>
      </c>
    </row>
    <row r="8" spans="1:15" x14ac:dyDescent="0.35">
      <c r="A8">
        <v>123456</v>
      </c>
      <c r="B8" t="s">
        <v>5</v>
      </c>
      <c r="C8" t="s">
        <v>6</v>
      </c>
      <c r="D8" t="s">
        <v>1</v>
      </c>
      <c r="E8" s="10">
        <v>41759.375</v>
      </c>
      <c r="F8" s="2">
        <v>0.20833333333333334</v>
      </c>
      <c r="G8" s="10">
        <f>E8+F8</f>
        <v>41759.583333333336</v>
      </c>
      <c r="H8" s="12" t="b">
        <f>OR(WEEKDAY(INT(E8),2)&gt;5,COUNTIF('jours fériés'!$E:$E,INT(E8)))</f>
        <v>0</v>
      </c>
      <c r="I8" s="12" t="b">
        <f>OR(WEEKDAY(INT(G8),2)&gt;5,COUNTIF('jours fériés'!$E:$E,INT(G8)))</f>
        <v>0</v>
      </c>
      <c r="J8" s="13">
        <f>VLOOKUP(D8,'plage horaire de travail'!A:C,2,0)</f>
        <v>0.33333333333333331</v>
      </c>
      <c r="K8" s="10">
        <f t="shared" si="0"/>
        <v>41759.6875</v>
      </c>
      <c r="L8" s="13">
        <f>VLOOKUP(D8,'plage horaire de travail'!A:C,3,0)</f>
        <v>0.6875</v>
      </c>
      <c r="M8" s="10">
        <f t="shared" si="1"/>
        <v>41759.333333333336</v>
      </c>
      <c r="N8" s="2">
        <f>IF(OR(AND(H8*1=0,E8&lt;INT(E8)+J8,G8&gt;INT(E8)+L8),AND(I8*1=0,E8&lt;INT(G8)+J8,G8&gt;INT(G8)+L8)),L8-J8,)</f>
        <v>0</v>
      </c>
      <c r="O8" s="2">
        <f t="shared" si="2"/>
        <v>0</v>
      </c>
    </row>
    <row r="9" spans="1:15" x14ac:dyDescent="0.35">
      <c r="A9">
        <v>123456</v>
      </c>
      <c r="B9" t="s">
        <v>5</v>
      </c>
      <c r="C9" t="s">
        <v>6</v>
      </c>
      <c r="D9" t="s">
        <v>1</v>
      </c>
      <c r="E9" s="10">
        <v>41758.729166666664</v>
      </c>
      <c r="F9" s="2">
        <v>0.54166666666666663</v>
      </c>
      <c r="G9" s="10">
        <f>E9+F9</f>
        <v>41759.270833333328</v>
      </c>
      <c r="H9" s="12" t="b">
        <f>OR(WEEKDAY(INT(E9),2)&gt;5,COUNTIF('jours fériés'!$E:$E,INT(E9)))</f>
        <v>0</v>
      </c>
      <c r="I9" s="12" t="b">
        <f>OR(WEEKDAY(INT(G9),2)&gt;5,COUNTIF('jours fériés'!$E:$E,INT(G9)))</f>
        <v>0</v>
      </c>
      <c r="J9" s="13">
        <f>VLOOKUP(D9,'plage horaire de travail'!A:C,2,0)</f>
        <v>0.33333333333333331</v>
      </c>
      <c r="K9" s="10">
        <f t="shared" si="0"/>
        <v>41758.729166666664</v>
      </c>
      <c r="L9" s="13">
        <f>VLOOKUP(D9,'plage horaire de travail'!A:C,3,0)</f>
        <v>0.6875</v>
      </c>
      <c r="M9" s="10">
        <f t="shared" si="1"/>
        <v>41759.270833333328</v>
      </c>
      <c r="N9" s="2">
        <f>IF(OR(AND(H9*1=0,E9&lt;INT(E9)+J9,G9&gt;INT(E9)+L9),AND(I9*1=0,E9&lt;INT(G9)+J9,G9&gt;INT(G9)+L9)),L9-J9,)</f>
        <v>0</v>
      </c>
      <c r="O9" s="2">
        <f t="shared" si="2"/>
        <v>0.54166666666424135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B1" sqref="B1:C1048576"/>
    </sheetView>
  </sheetViews>
  <sheetFormatPr baseColWidth="10" defaultRowHeight="14.5" x14ac:dyDescent="0.35"/>
  <cols>
    <col min="2" max="3" width="10.90625" style="12"/>
  </cols>
  <sheetData>
    <row r="1" spans="1:3" x14ac:dyDescent="0.35">
      <c r="A1" t="s">
        <v>0</v>
      </c>
      <c r="B1" s="13">
        <v>0.33333333333333331</v>
      </c>
      <c r="C1" s="13">
        <v>0.75</v>
      </c>
    </row>
    <row r="2" spans="1:3" x14ac:dyDescent="0.35">
      <c r="A2" t="s">
        <v>1</v>
      </c>
      <c r="B2" s="13">
        <v>0.33333333333333331</v>
      </c>
      <c r="C2" s="13">
        <v>0.6875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F1" sqref="F1:F1048576"/>
    </sheetView>
  </sheetViews>
  <sheetFormatPr baseColWidth="10" defaultRowHeight="14.5" x14ac:dyDescent="0.35"/>
  <cols>
    <col min="1" max="3" width="12.26953125" customWidth="1"/>
    <col min="4" max="5" width="19.1796875" customWidth="1"/>
  </cols>
  <sheetData>
    <row r="1" spans="1:5" x14ac:dyDescent="0.35">
      <c r="A1" s="4">
        <v>2014</v>
      </c>
      <c r="B1" s="5" t="s">
        <v>7</v>
      </c>
      <c r="C1" s="8">
        <f>ROUND(DATE(A1,4,MOD(234-11*MOD(A1,19),30))/7,0)*7-6</f>
        <v>41749</v>
      </c>
      <c r="D1" s="5" t="s">
        <v>9</v>
      </c>
      <c r="E1" s="5" t="s">
        <v>8</v>
      </c>
    </row>
    <row r="2" spans="1:5" x14ac:dyDescent="0.35">
      <c r="A2" s="6"/>
      <c r="B2" s="6"/>
      <c r="C2" s="6"/>
      <c r="D2" s="6" t="s">
        <v>10</v>
      </c>
      <c r="E2" s="7">
        <f>DATE(A1,1,1)</f>
        <v>41640</v>
      </c>
    </row>
    <row r="3" spans="1:5" x14ac:dyDescent="0.35">
      <c r="A3" s="6"/>
      <c r="B3" s="6"/>
      <c r="C3" s="6"/>
      <c r="D3" s="6" t="s">
        <v>11</v>
      </c>
      <c r="E3" s="7">
        <f>C1+1</f>
        <v>41750</v>
      </c>
    </row>
    <row r="4" spans="1:5" x14ac:dyDescent="0.35">
      <c r="A4" s="6"/>
      <c r="B4" s="6"/>
      <c r="C4" s="6"/>
      <c r="D4" s="6" t="s">
        <v>12</v>
      </c>
      <c r="E4" s="7">
        <f>DATE(A1,5,1)</f>
        <v>41760</v>
      </c>
    </row>
    <row r="5" spans="1:5" x14ac:dyDescent="0.35">
      <c r="A5" s="6"/>
      <c r="B5" s="6"/>
      <c r="C5" s="6"/>
      <c r="D5" s="6" t="s">
        <v>13</v>
      </c>
      <c r="E5" s="7">
        <f>DATE(A1,5,8)</f>
        <v>41767</v>
      </c>
    </row>
    <row r="6" spans="1:5" x14ac:dyDescent="0.35">
      <c r="A6" s="6"/>
      <c r="B6" s="6"/>
      <c r="C6" s="6"/>
      <c r="D6" s="6" t="s">
        <v>14</v>
      </c>
      <c r="E6" s="7">
        <f>C1+39</f>
        <v>41788</v>
      </c>
    </row>
    <row r="7" spans="1:5" x14ac:dyDescent="0.35">
      <c r="A7" s="6"/>
      <c r="B7" s="6"/>
      <c r="C7" s="6"/>
      <c r="D7" s="6" t="s">
        <v>15</v>
      </c>
      <c r="E7" s="7">
        <f>C1+50</f>
        <v>41799</v>
      </c>
    </row>
    <row r="8" spans="1:5" x14ac:dyDescent="0.35">
      <c r="A8" s="6"/>
      <c r="B8" s="6"/>
      <c r="C8" s="6"/>
      <c r="D8" s="6" t="s">
        <v>16</v>
      </c>
      <c r="E8" s="7">
        <f>DATE(A1,7,14)</f>
        <v>41834</v>
      </c>
    </row>
    <row r="9" spans="1:5" x14ac:dyDescent="0.35">
      <c r="A9" s="6"/>
      <c r="B9" s="6"/>
      <c r="C9" s="6"/>
      <c r="D9" s="6" t="s">
        <v>17</v>
      </c>
      <c r="E9" s="7">
        <f>DATE(A1,8,15)</f>
        <v>41866</v>
      </c>
    </row>
    <row r="10" spans="1:5" x14ac:dyDescent="0.35">
      <c r="A10" s="6"/>
      <c r="B10" s="6"/>
      <c r="C10" s="6"/>
      <c r="D10" s="6" t="s">
        <v>18</v>
      </c>
      <c r="E10" s="7">
        <f>DATE(A1,11,1)</f>
        <v>41944</v>
      </c>
    </row>
    <row r="11" spans="1:5" x14ac:dyDescent="0.35">
      <c r="A11" s="6"/>
      <c r="B11" s="6"/>
      <c r="C11" s="6"/>
      <c r="D11" s="6" t="s">
        <v>19</v>
      </c>
      <c r="E11" s="7">
        <f>DATE(A1,11,11)</f>
        <v>41954</v>
      </c>
    </row>
    <row r="12" spans="1:5" x14ac:dyDescent="0.35">
      <c r="A12" s="6"/>
      <c r="B12" s="6"/>
      <c r="C12" s="6"/>
      <c r="D12" s="6" t="s">
        <v>20</v>
      </c>
      <c r="E12" s="7">
        <f>DATE(A1,12,25)</f>
        <v>41998</v>
      </c>
    </row>
  </sheetData>
  <conditionalFormatting sqref="E2:E12"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 heures voyage</vt:lpstr>
      <vt:lpstr>plage horaire de travail</vt:lpstr>
      <vt:lpstr>jours fériés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2014-11-08T08:43:40Z</dcterms:created>
  <dcterms:modified xsi:type="dcterms:W3CDTF">2014-11-09T15:48:44Z</dcterms:modified>
</cp:coreProperties>
</file>