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GEN" sheetId="1" r:id="rId1"/>
    <sheet name="Extrait selon date" sheetId="15" r:id="rId2"/>
    <sheet name="SECOND" sheetId="4" r:id="rId3"/>
    <sheet name="PATISS" sheetId="2" r:id="rId4"/>
    <sheet name="CREDITS" sheetId="12" r:id="rId5"/>
    <sheet name="SEPTEMBRE" sheetId="6" r:id="rId6"/>
    <sheet name="STATS" sheetId="13" r:id="rId7"/>
    <sheet name="GRAPH" sheetId="14" r:id="rId8"/>
    <sheet name="DATES" sheetId="10" r:id="rId9"/>
  </sheets>
  <definedNames>
    <definedName name="_xlnm._FilterDatabase" localSheetId="0" hidden="1">GEN!$A$1:$AG$45</definedName>
    <definedName name="_xlnm._FilterDatabase" localSheetId="3" hidden="1">PATISS!$A$1:$D$10</definedName>
    <definedName name="_xlnm._FilterDatabase" localSheetId="2" hidden="1">SECOND!$A$2:$J$33</definedName>
    <definedName name="_xlnm._FilterDatabase" localSheetId="5" hidden="1">SEPTEMBRE!$A$1:$AI$21</definedName>
    <definedName name="billet">PATISS!$G$2:$G$50</definedName>
    <definedName name="decembre">DATES!$A$92:$A$122</definedName>
    <definedName name="INVENTAIRE">PATISS!$B$20:$B$22</definedName>
    <definedName name="JANVIER">DATES!$A$123:$A$153</definedName>
    <definedName name="NONPRESENT">PATISS!$B$25</definedName>
    <definedName name="novembre">DATES!$A$62:$A$91</definedName>
    <definedName name="OCTOBRE">DATES!$A$31:$A$61</definedName>
    <definedName name="PATISSERIE">PATISS!$A$2:$A$14</definedName>
    <definedName name="PRESENCE">PATISS!$B$17:$B$18</definedName>
    <definedName name="PRESENT">PATISS!$B$24</definedName>
    <definedName name="SEPTEMBRE">DATES!$A$1:$A$30</definedName>
    <definedName name="SUPPCONFISERIE">PATISS!$B$27:$B$49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M7" i="1" l="1"/>
  <c r="M7" i="4" s="1"/>
  <c r="AK7" i="1" s="1"/>
  <c r="AT5" i="1"/>
  <c r="AT6" i="1"/>
  <c r="AT9" i="1"/>
  <c r="AT10" i="1"/>
  <c r="AT11" i="1"/>
  <c r="AT12" i="1"/>
  <c r="AT13" i="1"/>
  <c r="AT14" i="1"/>
  <c r="AT15" i="1"/>
  <c r="AT16" i="1"/>
  <c r="AT17" i="1"/>
  <c r="AT18" i="1"/>
  <c r="AT19" i="1"/>
  <c r="AT20" i="1"/>
  <c r="AT21" i="1"/>
  <c r="AT22" i="1"/>
  <c r="AT23" i="1"/>
  <c r="AT24" i="1"/>
  <c r="AT25" i="1"/>
  <c r="AT26" i="1"/>
  <c r="AT27" i="1"/>
  <c r="AT28" i="1"/>
  <c r="AT29" i="1"/>
  <c r="AT30" i="1"/>
  <c r="AT31" i="1"/>
  <c r="AT32" i="1"/>
  <c r="AQ31" i="1"/>
  <c r="AQ32" i="1"/>
  <c r="AQ5" i="1"/>
  <c r="AQ6" i="1"/>
  <c r="AQ9" i="1"/>
  <c r="AQ10" i="1"/>
  <c r="AQ11" i="1"/>
  <c r="AQ12" i="1"/>
  <c r="AQ13" i="1"/>
  <c r="AQ14" i="1"/>
  <c r="AQ15" i="1"/>
  <c r="AQ16" i="1"/>
  <c r="AQ17" i="1"/>
  <c r="AQ18" i="1"/>
  <c r="AQ19" i="1"/>
  <c r="AQ20" i="1"/>
  <c r="AQ21" i="1"/>
  <c r="AQ22" i="1"/>
  <c r="AQ23" i="1"/>
  <c r="AQ24" i="1"/>
  <c r="AQ25" i="1"/>
  <c r="AQ26" i="1"/>
  <c r="AQ27" i="1"/>
  <c r="AQ28" i="1"/>
  <c r="AQ29" i="1"/>
  <c r="AQ30" i="1"/>
  <c r="AN5" i="1"/>
  <c r="AN6" i="1"/>
  <c r="AN9" i="1"/>
  <c r="AN10" i="1"/>
  <c r="AN11" i="1"/>
  <c r="AN12" i="1"/>
  <c r="AN13" i="1"/>
  <c r="AN14" i="1"/>
  <c r="AN15" i="1"/>
  <c r="AN16" i="1"/>
  <c r="AN17" i="1"/>
  <c r="AN18" i="1"/>
  <c r="AN19" i="1"/>
  <c r="AN20" i="1"/>
  <c r="AN21" i="1"/>
  <c r="AN22" i="1"/>
  <c r="AN23" i="1"/>
  <c r="AN24" i="1"/>
  <c r="AN25" i="1"/>
  <c r="AN26" i="1"/>
  <c r="AN27" i="1"/>
  <c r="AN28" i="1"/>
  <c r="AN29" i="1"/>
  <c r="AN30" i="1"/>
  <c r="AN31" i="1"/>
  <c r="AN32" i="1"/>
  <c r="AK5" i="1"/>
  <c r="AK6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T4" i="1"/>
  <c r="AQ4" i="1"/>
  <c r="AN4" i="1"/>
  <c r="AK4" i="1"/>
  <c r="AS5" i="1"/>
  <c r="AS6" i="1"/>
  <c r="AS7" i="1"/>
  <c r="O7" i="4" s="1"/>
  <c r="AS8" i="1"/>
  <c r="AS9" i="1"/>
  <c r="AS10" i="1"/>
  <c r="AS11" i="1"/>
  <c r="AS12" i="1"/>
  <c r="AS13" i="1"/>
  <c r="AS14" i="1"/>
  <c r="AS15" i="1"/>
  <c r="AS16" i="1"/>
  <c r="AS17" i="1"/>
  <c r="AS18" i="1"/>
  <c r="AS19" i="1"/>
  <c r="AS20" i="1"/>
  <c r="AS21" i="1"/>
  <c r="AS22" i="1"/>
  <c r="AS23" i="1"/>
  <c r="AP16" i="1"/>
  <c r="AP17" i="1"/>
  <c r="AM5" i="1"/>
  <c r="AM6" i="1"/>
  <c r="AM8" i="1"/>
  <c r="M8" i="4" s="1"/>
  <c r="AK8" i="1" s="1"/>
  <c r="AM9" i="1"/>
  <c r="AM10" i="1"/>
  <c r="AM11" i="1"/>
  <c r="AM12" i="1"/>
  <c r="M12" i="4" s="1"/>
  <c r="AM13" i="1"/>
  <c r="M13" i="4" s="1"/>
  <c r="M5" i="4"/>
  <c r="M6" i="4"/>
  <c r="N6" i="4"/>
  <c r="O6" i="4"/>
  <c r="P6" i="4"/>
  <c r="N7" i="4"/>
  <c r="P7" i="4"/>
  <c r="M9" i="4"/>
  <c r="N9" i="4"/>
  <c r="O9" i="4"/>
  <c r="P9" i="4"/>
  <c r="M10" i="4"/>
  <c r="M11" i="4"/>
  <c r="N13" i="4"/>
  <c r="O13" i="4"/>
  <c r="P13" i="4"/>
  <c r="M14" i="4"/>
  <c r="N14" i="4"/>
  <c r="O14" i="4"/>
  <c r="P14" i="4"/>
  <c r="M15" i="4"/>
  <c r="N15" i="4"/>
  <c r="O15" i="4"/>
  <c r="M16" i="4"/>
  <c r="N16" i="4"/>
  <c r="M17" i="4"/>
  <c r="N17" i="4"/>
  <c r="M18" i="4"/>
  <c r="N18" i="4"/>
  <c r="O18" i="4"/>
  <c r="M19" i="4"/>
  <c r="N19" i="4"/>
  <c r="O19" i="4"/>
  <c r="M20" i="4"/>
  <c r="N20" i="4"/>
  <c r="O20" i="4"/>
  <c r="P20" i="4"/>
  <c r="M21" i="4"/>
  <c r="N21" i="4"/>
  <c r="O21" i="4"/>
  <c r="M22" i="4"/>
  <c r="N22" i="4"/>
  <c r="O22" i="4"/>
  <c r="M23" i="4"/>
  <c r="N23" i="4"/>
  <c r="O23" i="4"/>
  <c r="M24" i="4"/>
  <c r="N24" i="4"/>
  <c r="O24" i="4"/>
  <c r="P24" i="4"/>
  <c r="M25" i="4"/>
  <c r="N25" i="4"/>
  <c r="O25" i="4"/>
  <c r="P25" i="4"/>
  <c r="M26" i="4"/>
  <c r="N26" i="4"/>
  <c r="O26" i="4"/>
  <c r="P26" i="4"/>
  <c r="M27" i="4"/>
  <c r="N27" i="4"/>
  <c r="O27" i="4"/>
  <c r="P27" i="4"/>
  <c r="M28" i="4"/>
  <c r="N28" i="4"/>
  <c r="O28" i="4"/>
  <c r="P28" i="4"/>
  <c r="M29" i="4"/>
  <c r="N29" i="4"/>
  <c r="O29" i="4"/>
  <c r="P29" i="4"/>
  <c r="M30" i="4"/>
  <c r="N30" i="4"/>
  <c r="O30" i="4"/>
  <c r="P30" i="4"/>
  <c r="M31" i="4"/>
  <c r="N31" i="4"/>
  <c r="O31" i="4"/>
  <c r="P31" i="4"/>
  <c r="M32" i="4"/>
  <c r="N32" i="4"/>
  <c r="O32" i="4"/>
  <c r="P32" i="4"/>
  <c r="P4" i="4"/>
  <c r="O4" i="4"/>
  <c r="N4" i="4"/>
  <c r="M4" i="4"/>
  <c r="P2" i="4"/>
  <c r="O2" i="4"/>
  <c r="N2" i="4"/>
  <c r="M2" i="4"/>
  <c r="AN7" i="1" l="1"/>
  <c r="AQ7" i="1" s="1"/>
  <c r="AT7" i="1" s="1"/>
  <c r="M33" i="4"/>
  <c r="M35" i="4" s="1"/>
  <c r="M34" i="4" s="1"/>
  <c r="C4" i="1"/>
  <c r="BF38" i="1"/>
  <c r="BG36" i="1"/>
  <c r="BG35" i="1"/>
  <c r="BG37" i="1" s="1"/>
  <c r="BF35" i="1"/>
  <c r="BH32" i="1"/>
  <c r="BH31" i="1"/>
  <c r="BH30" i="1"/>
  <c r="BH29" i="1"/>
  <c r="BH28" i="1"/>
  <c r="BH27" i="1"/>
  <c r="BH26" i="1"/>
  <c r="BH25" i="1"/>
  <c r="BH23" i="1"/>
  <c r="BH22" i="1"/>
  <c r="BH21" i="1"/>
  <c r="BH19" i="1"/>
  <c r="BH18" i="1"/>
  <c r="BH17" i="1"/>
  <c r="BH16" i="1"/>
  <c r="BH15" i="1"/>
  <c r="BH12" i="1"/>
  <c r="BH11" i="1"/>
  <c r="BH10" i="1"/>
  <c r="BH8" i="1"/>
  <c r="BH5" i="1"/>
  <c r="BH4" i="1"/>
  <c r="BF3" i="1"/>
  <c r="BC3" i="1"/>
  <c r="BE4" i="1"/>
  <c r="BE5" i="1"/>
  <c r="BE8" i="1"/>
  <c r="BE10" i="1"/>
  <c r="BE11" i="1"/>
  <c r="BE12" i="1"/>
  <c r="BE15" i="1"/>
  <c r="BE16" i="1"/>
  <c r="BE17" i="1"/>
  <c r="BE18" i="1"/>
  <c r="BE19" i="1"/>
  <c r="BE21" i="1"/>
  <c r="BE22" i="1"/>
  <c r="BE23" i="1"/>
  <c r="BE25" i="1"/>
  <c r="BE26" i="1"/>
  <c r="BE27" i="1"/>
  <c r="BE28" i="1"/>
  <c r="BE29" i="1"/>
  <c r="BE30" i="1"/>
  <c r="BE31" i="1"/>
  <c r="BE32" i="1"/>
  <c r="BC35" i="1"/>
  <c r="BD35" i="1"/>
  <c r="BD36" i="1"/>
  <c r="BC38" i="1"/>
  <c r="AK3" i="1"/>
  <c r="AH11" i="1"/>
  <c r="M36" i="4" l="1"/>
  <c r="BE42" i="1"/>
  <c r="BE36" i="1"/>
  <c r="BH41" i="1"/>
  <c r="BE41" i="1"/>
  <c r="BE38" i="1"/>
  <c r="BE35" i="1"/>
  <c r="BE39" i="1"/>
  <c r="BH38" i="1"/>
  <c r="BH42" i="1"/>
  <c r="BH39" i="1"/>
  <c r="BH43" i="1"/>
  <c r="BH35" i="1"/>
  <c r="BH37" i="1"/>
  <c r="BH40" i="1"/>
  <c r="BH44" i="1"/>
  <c r="BH36" i="1"/>
  <c r="BE44" i="1"/>
  <c r="BE40" i="1"/>
  <c r="BE37" i="1"/>
  <c r="BE43" i="1"/>
  <c r="BD37" i="1"/>
  <c r="BE45" i="1" l="1"/>
  <c r="BE34" i="1" s="1"/>
  <c r="BH45" i="1"/>
  <c r="BH34" i="1" s="1"/>
  <c r="AZ38" i="1" l="1"/>
  <c r="BA36" i="1"/>
  <c r="BA35" i="1"/>
  <c r="BA37" i="1" s="1"/>
  <c r="AZ35" i="1"/>
  <c r="BB32" i="1"/>
  <c r="BB31" i="1"/>
  <c r="BB30" i="1"/>
  <c r="BB29" i="1"/>
  <c r="BB28" i="1"/>
  <c r="BB27" i="1"/>
  <c r="BB26" i="1"/>
  <c r="BB25" i="1"/>
  <c r="BB23" i="1"/>
  <c r="BB22" i="1"/>
  <c r="BB21" i="1"/>
  <c r="BB19" i="1"/>
  <c r="BB18" i="1"/>
  <c r="BB17" i="1"/>
  <c r="BB16" i="1"/>
  <c r="BB15" i="1"/>
  <c r="BB12" i="1"/>
  <c r="BB11" i="1"/>
  <c r="BB10" i="1"/>
  <c r="BB8" i="1"/>
  <c r="BB5" i="1"/>
  <c r="BB4" i="1"/>
  <c r="AW38" i="1"/>
  <c r="AX36" i="1"/>
  <c r="AX35" i="1"/>
  <c r="AX37" i="1" s="1"/>
  <c r="AW35" i="1"/>
  <c r="AY32" i="1"/>
  <c r="AY31" i="1"/>
  <c r="AY30" i="1"/>
  <c r="AY29" i="1"/>
  <c r="AY28" i="1"/>
  <c r="AY27" i="1"/>
  <c r="AY26" i="1"/>
  <c r="AY25" i="1"/>
  <c r="AY23" i="1"/>
  <c r="AY22" i="1"/>
  <c r="AY21" i="1"/>
  <c r="AY19" i="1"/>
  <c r="AY18" i="1"/>
  <c r="AY17" i="1"/>
  <c r="AY16" i="1"/>
  <c r="AY15" i="1"/>
  <c r="AY12" i="1"/>
  <c r="AY11" i="1"/>
  <c r="AY10" i="1"/>
  <c r="AY8" i="1"/>
  <c r="AY5" i="1"/>
  <c r="AY4" i="1"/>
  <c r="AT38" i="1"/>
  <c r="AU36" i="1"/>
  <c r="AU35" i="1"/>
  <c r="AU37" i="1" s="1"/>
  <c r="AT35" i="1"/>
  <c r="AV32" i="1"/>
  <c r="AV31" i="1"/>
  <c r="AV30" i="1"/>
  <c r="AV29" i="1"/>
  <c r="AV28" i="1"/>
  <c r="AV27" i="1"/>
  <c r="AV26" i="1"/>
  <c r="AV25" i="1"/>
  <c r="AV23" i="1"/>
  <c r="P23" i="4" s="1"/>
  <c r="AV22" i="1"/>
  <c r="P22" i="4" s="1"/>
  <c r="AV21" i="1"/>
  <c r="P21" i="4" s="1"/>
  <c r="AV19" i="1"/>
  <c r="P19" i="4" s="1"/>
  <c r="AV18" i="1"/>
  <c r="P18" i="4" s="1"/>
  <c r="P17" i="4"/>
  <c r="P16" i="4"/>
  <c r="P15" i="4"/>
  <c r="P12" i="4"/>
  <c r="P11" i="4"/>
  <c r="P10" i="4"/>
  <c r="P8" i="4"/>
  <c r="AV5" i="1"/>
  <c r="P5" i="4" s="1"/>
  <c r="AV4" i="1"/>
  <c r="AQ38" i="1"/>
  <c r="AR36" i="1"/>
  <c r="AR35" i="1"/>
  <c r="AR37" i="1" s="1"/>
  <c r="AQ35" i="1"/>
  <c r="AS32" i="1"/>
  <c r="AS31" i="1"/>
  <c r="AS30" i="1"/>
  <c r="AS29" i="1"/>
  <c r="AS28" i="1"/>
  <c r="AS27" i="1"/>
  <c r="AS26" i="1"/>
  <c r="AS25" i="1"/>
  <c r="AW24" i="1"/>
  <c r="AZ24" i="1" s="1"/>
  <c r="BC24" i="1" s="1"/>
  <c r="BF24" i="1" s="1"/>
  <c r="AW20" i="1"/>
  <c r="AZ20" i="1" s="1"/>
  <c r="BC20" i="1" s="1"/>
  <c r="BF20" i="1" s="1"/>
  <c r="O17" i="4"/>
  <c r="AW17" i="1"/>
  <c r="AZ17" i="1" s="1"/>
  <c r="BC17" i="1" s="1"/>
  <c r="BF17" i="1" s="1"/>
  <c r="O16" i="4"/>
  <c r="AW14" i="1"/>
  <c r="AZ14" i="1" s="1"/>
  <c r="BC14" i="1" s="1"/>
  <c r="BF14" i="1" s="1"/>
  <c r="O12" i="4"/>
  <c r="O11" i="4"/>
  <c r="O10" i="4"/>
  <c r="O8" i="4"/>
  <c r="O5" i="4"/>
  <c r="AS4" i="1"/>
  <c r="AN38" i="1"/>
  <c r="AO36" i="1"/>
  <c r="AO35" i="1"/>
  <c r="AO37" i="1" s="1"/>
  <c r="AN35" i="1"/>
  <c r="AP32" i="1"/>
  <c r="AP31" i="1"/>
  <c r="AP30" i="1"/>
  <c r="AP29" i="1"/>
  <c r="AP28" i="1"/>
  <c r="AP27" i="1"/>
  <c r="AW27" i="1"/>
  <c r="AZ27" i="1" s="1"/>
  <c r="BC27" i="1" s="1"/>
  <c r="BF27" i="1" s="1"/>
  <c r="AP26" i="1"/>
  <c r="AW26" i="1"/>
  <c r="AZ26" i="1" s="1"/>
  <c r="BC26" i="1" s="1"/>
  <c r="BF26" i="1" s="1"/>
  <c r="AP25" i="1"/>
  <c r="AW25" i="1"/>
  <c r="AZ25" i="1" s="1"/>
  <c r="BC25" i="1" s="1"/>
  <c r="BF25" i="1" s="1"/>
  <c r="AP23" i="1"/>
  <c r="AW23" i="1"/>
  <c r="AZ23" i="1" s="1"/>
  <c r="BC23" i="1" s="1"/>
  <c r="BF23" i="1" s="1"/>
  <c r="AP22" i="1"/>
  <c r="AW22" i="1"/>
  <c r="AZ22" i="1" s="1"/>
  <c r="BC22" i="1" s="1"/>
  <c r="BF22" i="1" s="1"/>
  <c r="AP21" i="1"/>
  <c r="AW21" i="1"/>
  <c r="AZ21" i="1" s="1"/>
  <c r="BC21" i="1" s="1"/>
  <c r="BF21" i="1" s="1"/>
  <c r="AP19" i="1"/>
  <c r="AW19" i="1"/>
  <c r="AZ19" i="1" s="1"/>
  <c r="BC19" i="1" s="1"/>
  <c r="BF19" i="1" s="1"/>
  <c r="AP18" i="1"/>
  <c r="AW18" i="1"/>
  <c r="AZ18" i="1" s="1"/>
  <c r="BC18" i="1" s="1"/>
  <c r="BF18" i="1" s="1"/>
  <c r="AW16" i="1"/>
  <c r="AZ16" i="1" s="1"/>
  <c r="BC16" i="1" s="1"/>
  <c r="BF16" i="1" s="1"/>
  <c r="AP15" i="1"/>
  <c r="AW15" i="1"/>
  <c r="AZ15" i="1" s="1"/>
  <c r="BC15" i="1" s="1"/>
  <c r="BF15" i="1" s="1"/>
  <c r="AW13" i="1"/>
  <c r="AZ13" i="1" s="1"/>
  <c r="BC13" i="1" s="1"/>
  <c r="BF13" i="1" s="1"/>
  <c r="AP12" i="1"/>
  <c r="N12" i="4" s="1"/>
  <c r="AW12" i="1"/>
  <c r="AZ12" i="1" s="1"/>
  <c r="BC12" i="1" s="1"/>
  <c r="BF12" i="1" s="1"/>
  <c r="AP11" i="1"/>
  <c r="N11" i="4" s="1"/>
  <c r="AP10" i="1"/>
  <c r="N10" i="4" s="1"/>
  <c r="AW10" i="1"/>
  <c r="AZ10" i="1" s="1"/>
  <c r="BC10" i="1" s="1"/>
  <c r="BF10" i="1" s="1"/>
  <c r="AW9" i="1"/>
  <c r="AZ9" i="1" s="1"/>
  <c r="BC9" i="1" s="1"/>
  <c r="BF9" i="1" s="1"/>
  <c r="AP8" i="1"/>
  <c r="N8" i="4" s="1"/>
  <c r="AN8" i="1" s="1"/>
  <c r="AQ8" i="1" s="1"/>
  <c r="AT8" i="1" s="1"/>
  <c r="AW8" i="1" s="1"/>
  <c r="AZ8" i="1" s="1"/>
  <c r="BC8" i="1" s="1"/>
  <c r="BF8" i="1" s="1"/>
  <c r="AW7" i="1"/>
  <c r="AZ7" i="1" s="1"/>
  <c r="BC7" i="1" s="1"/>
  <c r="BF7" i="1" s="1"/>
  <c r="AW6" i="1"/>
  <c r="AZ6" i="1" s="1"/>
  <c r="BC6" i="1" s="1"/>
  <c r="BF6" i="1" s="1"/>
  <c r="AP5" i="1"/>
  <c r="N5" i="4" s="1"/>
  <c r="AW5" i="1"/>
  <c r="AZ5" i="1" s="1"/>
  <c r="BC5" i="1" s="1"/>
  <c r="BF5" i="1" s="1"/>
  <c r="AP4" i="1"/>
  <c r="AW4" i="1"/>
  <c r="AZ4" i="1" s="1"/>
  <c r="BC4" i="1" s="1"/>
  <c r="BF4" i="1" s="1"/>
  <c r="AN3" i="1"/>
  <c r="AQ3" i="1" s="1"/>
  <c r="AT3" i="1" s="1"/>
  <c r="AW3" i="1" s="1"/>
  <c r="AZ3" i="1" s="1"/>
  <c r="AK38" i="1"/>
  <c r="AL36" i="1"/>
  <c r="AL35" i="1"/>
  <c r="AL37" i="1" s="1"/>
  <c r="AK35" i="1"/>
  <c r="AM32" i="1"/>
  <c r="AM31" i="1"/>
  <c r="AM30" i="1"/>
  <c r="AM29" i="1"/>
  <c r="AM28" i="1"/>
  <c r="AM27" i="1"/>
  <c r="AM26" i="1"/>
  <c r="AM25" i="1"/>
  <c r="AM23" i="1"/>
  <c r="AM22" i="1"/>
  <c r="AM21" i="1"/>
  <c r="AM19" i="1"/>
  <c r="AM18" i="1"/>
  <c r="AM17" i="1"/>
  <c r="AM16" i="1"/>
  <c r="AM15" i="1"/>
  <c r="AW11" i="1"/>
  <c r="AZ11" i="1" s="1"/>
  <c r="BC11" i="1" s="1"/>
  <c r="BF11" i="1" s="1"/>
  <c r="AM4" i="1"/>
  <c r="N33" i="4" l="1"/>
  <c r="N35" i="4" s="1"/>
  <c r="N36" i="4" s="1"/>
  <c r="AS44" i="1"/>
  <c r="O33" i="4"/>
  <c r="O35" i="4" s="1"/>
  <c r="P33" i="4"/>
  <c r="P35" i="4" s="1"/>
  <c r="P34" i="4" s="1"/>
  <c r="AM39" i="1"/>
  <c r="AY41" i="1"/>
  <c r="AM41" i="1"/>
  <c r="AY35" i="1"/>
  <c r="AM42" i="1"/>
  <c r="AP41" i="1"/>
  <c r="AV41" i="1"/>
  <c r="BB41" i="1"/>
  <c r="AP38" i="1"/>
  <c r="AV38" i="1"/>
  <c r="BB38" i="1"/>
  <c r="BB35" i="1"/>
  <c r="BB39" i="1"/>
  <c r="BB43" i="1"/>
  <c r="BB42" i="1"/>
  <c r="BB37" i="1"/>
  <c r="BB40" i="1"/>
  <c r="BB44" i="1"/>
  <c r="BB36" i="1"/>
  <c r="AY42" i="1"/>
  <c r="AY39" i="1"/>
  <c r="AY43" i="1"/>
  <c r="AY38" i="1"/>
  <c r="AY37" i="1"/>
  <c r="AY40" i="1"/>
  <c r="AY44" i="1"/>
  <c r="AY36" i="1"/>
  <c r="AV35" i="1"/>
  <c r="AV42" i="1"/>
  <c r="AV39" i="1"/>
  <c r="AV43" i="1"/>
  <c r="AV37" i="1"/>
  <c r="AV40" i="1"/>
  <c r="AV44" i="1"/>
  <c r="AV36" i="1"/>
  <c r="AS36" i="1"/>
  <c r="AS41" i="1"/>
  <c r="AS35" i="1"/>
  <c r="AS38" i="1"/>
  <c r="AS42" i="1"/>
  <c r="AS39" i="1"/>
  <c r="AS43" i="1"/>
  <c r="AS37" i="1"/>
  <c r="AS40" i="1"/>
  <c r="AP42" i="1"/>
  <c r="AP39" i="1"/>
  <c r="AP43" i="1"/>
  <c r="AP35" i="1"/>
  <c r="AP37" i="1"/>
  <c r="AP40" i="1"/>
  <c r="AP44" i="1"/>
  <c r="AP36" i="1"/>
  <c r="AM38" i="1"/>
  <c r="AM43" i="1"/>
  <c r="AM37" i="1"/>
  <c r="AM40" i="1"/>
  <c r="AM44" i="1"/>
  <c r="AM35" i="1"/>
  <c r="AM36" i="1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AG18" i="1"/>
  <c r="AG32" i="1"/>
  <c r="K32" i="4" s="1"/>
  <c r="AE32" i="1" s="1"/>
  <c r="AG31" i="1"/>
  <c r="K31" i="4" s="1"/>
  <c r="AE31" i="1" s="1"/>
  <c r="AJ31" i="1"/>
  <c r="L31" i="4" s="1"/>
  <c r="S31" i="1" s="1"/>
  <c r="AG30" i="1"/>
  <c r="AG29" i="1"/>
  <c r="K29" i="4"/>
  <c r="AE29" i="1" s="1"/>
  <c r="AH29" i="1" s="1"/>
  <c r="AW29" i="1" s="1"/>
  <c r="AZ29" i="1" s="1"/>
  <c r="BC29" i="1" s="1"/>
  <c r="BF29" i="1" s="1"/>
  <c r="AJ29" i="1"/>
  <c r="L29" i="4" s="1"/>
  <c r="S29" i="1" s="1"/>
  <c r="AG28" i="1"/>
  <c r="K28" i="4" s="1"/>
  <c r="AE28" i="1" s="1"/>
  <c r="AG25" i="1"/>
  <c r="K25" i="4"/>
  <c r="K24" i="4"/>
  <c r="AG22" i="1"/>
  <c r="K22" i="4"/>
  <c r="K18" i="4"/>
  <c r="AD8" i="1"/>
  <c r="AG8" i="1"/>
  <c r="K8" i="4"/>
  <c r="K7" i="4"/>
  <c r="D13" i="12"/>
  <c r="F14" i="1"/>
  <c r="G14" i="1"/>
  <c r="L14" i="1"/>
  <c r="D14" i="4"/>
  <c r="J14" i="1"/>
  <c r="E14" i="4"/>
  <c r="M14" i="1"/>
  <c r="C5" i="4"/>
  <c r="E5" i="4"/>
  <c r="F5" i="4"/>
  <c r="G5" i="4"/>
  <c r="H5" i="4"/>
  <c r="G6" i="4"/>
  <c r="H6" i="4"/>
  <c r="I6" i="4"/>
  <c r="C7" i="4"/>
  <c r="E7" i="4"/>
  <c r="F7" i="4"/>
  <c r="H7" i="4"/>
  <c r="I7" i="4"/>
  <c r="J7" i="4"/>
  <c r="F8" i="4"/>
  <c r="G8" i="4"/>
  <c r="H8" i="4"/>
  <c r="I8" i="4"/>
  <c r="C9" i="4"/>
  <c r="E9" i="4"/>
  <c r="F9" i="4"/>
  <c r="G9" i="4"/>
  <c r="H9" i="4"/>
  <c r="I9" i="4"/>
  <c r="J9" i="4"/>
  <c r="C10" i="4"/>
  <c r="E10" i="4"/>
  <c r="F10" i="4"/>
  <c r="H10" i="4"/>
  <c r="I10" i="4"/>
  <c r="H11" i="4"/>
  <c r="C12" i="4"/>
  <c r="E12" i="4"/>
  <c r="F12" i="4"/>
  <c r="G12" i="4"/>
  <c r="H12" i="4"/>
  <c r="I12" i="4"/>
  <c r="C13" i="4"/>
  <c r="E13" i="4"/>
  <c r="F13" i="4"/>
  <c r="H13" i="4"/>
  <c r="I13" i="4"/>
  <c r="F14" i="4"/>
  <c r="H14" i="4"/>
  <c r="I14" i="4"/>
  <c r="C15" i="4"/>
  <c r="E15" i="4"/>
  <c r="F15" i="4"/>
  <c r="H15" i="4"/>
  <c r="I15" i="4"/>
  <c r="C16" i="4"/>
  <c r="E16" i="4"/>
  <c r="F16" i="4"/>
  <c r="G16" i="4"/>
  <c r="C17" i="4"/>
  <c r="E17" i="4"/>
  <c r="F17" i="4"/>
  <c r="I17" i="4"/>
  <c r="F18" i="4"/>
  <c r="H18" i="4"/>
  <c r="I18" i="4"/>
  <c r="C19" i="4"/>
  <c r="E19" i="4"/>
  <c r="C20" i="4"/>
  <c r="D20" i="4"/>
  <c r="E20" i="4"/>
  <c r="F20" i="4"/>
  <c r="G20" i="4"/>
  <c r="H20" i="4"/>
  <c r="I20" i="4"/>
  <c r="J20" i="4"/>
  <c r="K20" i="4"/>
  <c r="L20" i="4"/>
  <c r="C22" i="4"/>
  <c r="E22" i="4"/>
  <c r="F22" i="4"/>
  <c r="H22" i="4"/>
  <c r="I22" i="4"/>
  <c r="C23" i="4"/>
  <c r="E23" i="4"/>
  <c r="H23" i="4"/>
  <c r="I23" i="4"/>
  <c r="C24" i="4"/>
  <c r="E24" i="4"/>
  <c r="F24" i="4"/>
  <c r="G24" i="4"/>
  <c r="H24" i="4"/>
  <c r="I24" i="4"/>
  <c r="J24" i="4"/>
  <c r="C25" i="4"/>
  <c r="E25" i="4"/>
  <c r="F25" i="4"/>
  <c r="H25" i="4"/>
  <c r="I25" i="4"/>
  <c r="F26" i="4"/>
  <c r="H26" i="4"/>
  <c r="I26" i="4"/>
  <c r="J26" i="4"/>
  <c r="F27" i="4"/>
  <c r="H27" i="4"/>
  <c r="I27" i="4"/>
  <c r="I4" i="4"/>
  <c r="G4" i="4"/>
  <c r="F4" i="4"/>
  <c r="E4" i="4"/>
  <c r="C4" i="4"/>
  <c r="X32" i="1"/>
  <c r="H32" i="4" s="1"/>
  <c r="X31" i="1"/>
  <c r="H31" i="4" s="1"/>
  <c r="X30" i="1"/>
  <c r="H30" i="4" s="1"/>
  <c r="X29" i="1"/>
  <c r="H29" i="4" s="1"/>
  <c r="X28" i="1"/>
  <c r="X42" i="1" s="1"/>
  <c r="AJ32" i="1"/>
  <c r="L32" i="4" s="1"/>
  <c r="S32" i="1" s="1"/>
  <c r="AJ30" i="1"/>
  <c r="L30" i="4" s="1"/>
  <c r="S30" i="1" s="1"/>
  <c r="AJ28" i="1"/>
  <c r="AJ35" i="1" s="1"/>
  <c r="AD32" i="1"/>
  <c r="J32" i="4" s="1"/>
  <c r="AD31" i="1"/>
  <c r="J31" i="4" s="1"/>
  <c r="AD30" i="1"/>
  <c r="J30" i="4" s="1"/>
  <c r="AD29" i="1"/>
  <c r="J29" i="4"/>
  <c r="AD28" i="1"/>
  <c r="J28" i="4" s="1"/>
  <c r="AA32" i="1"/>
  <c r="I32" i="4" s="1"/>
  <c r="AA31" i="1"/>
  <c r="I31" i="4" s="1"/>
  <c r="AA30" i="1"/>
  <c r="I30" i="4"/>
  <c r="AA29" i="1"/>
  <c r="I29" i="4" s="1"/>
  <c r="AA28" i="1"/>
  <c r="I28" i="4" s="1"/>
  <c r="U32" i="1"/>
  <c r="G32" i="4" s="1"/>
  <c r="U31" i="1"/>
  <c r="G31" i="4"/>
  <c r="U30" i="1"/>
  <c r="G30" i="4" s="1"/>
  <c r="U29" i="1"/>
  <c r="G29" i="4" s="1"/>
  <c r="U28" i="1"/>
  <c r="G28" i="4" s="1"/>
  <c r="R32" i="1"/>
  <c r="F32" i="4"/>
  <c r="R31" i="1"/>
  <c r="F31" i="4" s="1"/>
  <c r="R30" i="1"/>
  <c r="F30" i="4" s="1"/>
  <c r="R29" i="1"/>
  <c r="F29" i="4" s="1"/>
  <c r="R28" i="1"/>
  <c r="F28" i="4"/>
  <c r="O32" i="1"/>
  <c r="E32" i="4" s="1"/>
  <c r="O31" i="1"/>
  <c r="E31" i="4" s="1"/>
  <c r="O30" i="1"/>
  <c r="E30" i="4" s="1"/>
  <c r="O29" i="1"/>
  <c r="E29" i="4"/>
  <c r="O28" i="1"/>
  <c r="E28" i="4" s="1"/>
  <c r="L32" i="1"/>
  <c r="D32" i="4" s="1"/>
  <c r="J32" i="1" s="1"/>
  <c r="L31" i="1"/>
  <c r="D31" i="4" s="1"/>
  <c r="J31" i="1" s="1"/>
  <c r="L30" i="1"/>
  <c r="D30" i="4"/>
  <c r="J30" i="1" s="1"/>
  <c r="L29" i="1"/>
  <c r="D29" i="4" s="1"/>
  <c r="J29" i="1" s="1"/>
  <c r="L28" i="1"/>
  <c r="D28" i="4" s="1"/>
  <c r="I32" i="1"/>
  <c r="C32" i="4" s="1"/>
  <c r="I31" i="1"/>
  <c r="C31" i="4" s="1"/>
  <c r="I30" i="1"/>
  <c r="C30" i="4" s="1"/>
  <c r="I29" i="1"/>
  <c r="C29" i="4" s="1"/>
  <c r="I28" i="1"/>
  <c r="U27" i="1"/>
  <c r="G27" i="4"/>
  <c r="AJ4" i="1"/>
  <c r="L5" i="4"/>
  <c r="L6" i="4"/>
  <c r="AJ7" i="1"/>
  <c r="L7" i="4"/>
  <c r="L8" i="4"/>
  <c r="L9" i="4"/>
  <c r="L10" i="4"/>
  <c r="L11" i="4"/>
  <c r="AJ12" i="1"/>
  <c r="L12" i="4"/>
  <c r="L13" i="4"/>
  <c r="L14" i="4"/>
  <c r="AJ15" i="1"/>
  <c r="L15" i="4"/>
  <c r="L16" i="4"/>
  <c r="L17" i="4"/>
  <c r="AJ18" i="1"/>
  <c r="L18" i="4"/>
  <c r="AJ19" i="1"/>
  <c r="L19" i="4"/>
  <c r="L21" i="4"/>
  <c r="L22" i="4"/>
  <c r="L23" i="4"/>
  <c r="L24" i="4"/>
  <c r="L25" i="4"/>
  <c r="L26" i="4"/>
  <c r="L27" i="4"/>
  <c r="AI35" i="1"/>
  <c r="AI37" i="1"/>
  <c r="AI36" i="1"/>
  <c r="L4" i="4"/>
  <c r="AG27" i="1"/>
  <c r="K27" i="4"/>
  <c r="AG26" i="1"/>
  <c r="K26" i="4"/>
  <c r="AG23" i="1"/>
  <c r="K23" i="4"/>
  <c r="AG21" i="1"/>
  <c r="K21" i="4"/>
  <c r="AG19" i="1"/>
  <c r="K19" i="4"/>
  <c r="AG17" i="1"/>
  <c r="K17" i="4"/>
  <c r="AG16" i="1"/>
  <c r="K16" i="4"/>
  <c r="AG15" i="1"/>
  <c r="AG4" i="1"/>
  <c r="AG5" i="1"/>
  <c r="AG10" i="1"/>
  <c r="AG11" i="1"/>
  <c r="AG12" i="1"/>
  <c r="AG39" i="1"/>
  <c r="K14" i="4"/>
  <c r="K13" i="4"/>
  <c r="K12" i="4"/>
  <c r="K11" i="4"/>
  <c r="K10" i="4"/>
  <c r="K9" i="4"/>
  <c r="K6" i="4"/>
  <c r="K5" i="4"/>
  <c r="AD5" i="1"/>
  <c r="J5" i="4"/>
  <c r="AD6" i="1"/>
  <c r="J6" i="4"/>
  <c r="J8" i="4"/>
  <c r="AD10" i="1"/>
  <c r="J10" i="4"/>
  <c r="J12" i="4"/>
  <c r="AD13" i="1"/>
  <c r="J13" i="4"/>
  <c r="AD14" i="1"/>
  <c r="J14" i="4"/>
  <c r="AD15" i="1"/>
  <c r="J15" i="4"/>
  <c r="AD16" i="1"/>
  <c r="J16" i="4"/>
  <c r="J17" i="4"/>
  <c r="AD18" i="1"/>
  <c r="J18" i="4"/>
  <c r="AD19" i="1"/>
  <c r="J19" i="4"/>
  <c r="AD21" i="1"/>
  <c r="J21" i="4"/>
  <c r="AD22" i="1"/>
  <c r="J22" i="4"/>
  <c r="AD23" i="1"/>
  <c r="J23" i="4"/>
  <c r="J25" i="4"/>
  <c r="J27" i="4"/>
  <c r="AD4" i="1"/>
  <c r="J4" i="4"/>
  <c r="K4" i="4"/>
  <c r="AB20" i="1"/>
  <c r="C3" i="1"/>
  <c r="L16" i="1"/>
  <c r="D16" i="4"/>
  <c r="I6" i="1"/>
  <c r="C6" i="4"/>
  <c r="I8" i="1"/>
  <c r="C8" i="4"/>
  <c r="I11" i="1"/>
  <c r="C11" i="4"/>
  <c r="I14" i="1"/>
  <c r="C14" i="4"/>
  <c r="I18" i="1"/>
  <c r="C18" i="4"/>
  <c r="I21" i="1"/>
  <c r="C21" i="4"/>
  <c r="I27" i="1"/>
  <c r="C27" i="4"/>
  <c r="I26" i="1"/>
  <c r="C26" i="4"/>
  <c r="L27" i="1"/>
  <c r="D27" i="4"/>
  <c r="L26" i="1"/>
  <c r="D26" i="4"/>
  <c r="L25" i="1"/>
  <c r="D25" i="4"/>
  <c r="D24" i="12"/>
  <c r="F25" i="1"/>
  <c r="G25" i="1"/>
  <c r="J25" i="1"/>
  <c r="L24" i="1"/>
  <c r="D24" i="4"/>
  <c r="D23" i="12"/>
  <c r="F24" i="1"/>
  <c r="G24" i="1"/>
  <c r="J24" i="1"/>
  <c r="L23" i="1"/>
  <c r="D23" i="4"/>
  <c r="L22" i="1"/>
  <c r="D22" i="4"/>
  <c r="L21" i="1"/>
  <c r="D21" i="4"/>
  <c r="L19" i="1"/>
  <c r="D19" i="4"/>
  <c r="L18" i="1"/>
  <c r="D18" i="4"/>
  <c r="D17" i="12"/>
  <c r="F18" i="1"/>
  <c r="G18" i="1"/>
  <c r="J18" i="1"/>
  <c r="L17" i="1"/>
  <c r="D17" i="4"/>
  <c r="L15" i="1"/>
  <c r="D15" i="4"/>
  <c r="L13" i="1"/>
  <c r="D13" i="4"/>
  <c r="L12" i="1"/>
  <c r="D12" i="4"/>
  <c r="D11" i="12"/>
  <c r="F12" i="1"/>
  <c r="G12" i="1"/>
  <c r="J12" i="1"/>
  <c r="L11" i="1"/>
  <c r="D11" i="4"/>
  <c r="L10" i="1"/>
  <c r="D10" i="4"/>
  <c r="D9" i="12"/>
  <c r="F10" i="1"/>
  <c r="G10" i="1"/>
  <c r="J10" i="1"/>
  <c r="L9" i="1"/>
  <c r="D9" i="4"/>
  <c r="L8" i="1"/>
  <c r="D8" i="4"/>
  <c r="L7" i="1"/>
  <c r="D7" i="4"/>
  <c r="D6" i="12"/>
  <c r="F7" i="1"/>
  <c r="G7" i="1"/>
  <c r="J7" i="1"/>
  <c r="L6" i="1"/>
  <c r="D6" i="4"/>
  <c r="L5" i="1"/>
  <c r="D5" i="4"/>
  <c r="L4" i="1"/>
  <c r="D4" i="4"/>
  <c r="O6" i="1"/>
  <c r="E6" i="4"/>
  <c r="O8" i="1"/>
  <c r="E8" i="4"/>
  <c r="O11" i="1"/>
  <c r="E11" i="4"/>
  <c r="O21" i="1"/>
  <c r="E21" i="4"/>
  <c r="O18" i="1"/>
  <c r="E18" i="4"/>
  <c r="M18" i="1"/>
  <c r="O26" i="1"/>
  <c r="E26" i="4"/>
  <c r="O27" i="1"/>
  <c r="E27" i="4"/>
  <c r="D26" i="12"/>
  <c r="F27" i="1"/>
  <c r="G27" i="1"/>
  <c r="J27" i="1"/>
  <c r="M27" i="1"/>
  <c r="R23" i="1"/>
  <c r="F23" i="4"/>
  <c r="R21" i="1"/>
  <c r="F21" i="4"/>
  <c r="R19" i="1"/>
  <c r="F19" i="4"/>
  <c r="R11" i="1"/>
  <c r="F11" i="4"/>
  <c r="R6" i="1"/>
  <c r="F6" i="4"/>
  <c r="U26" i="1"/>
  <c r="G26" i="4"/>
  <c r="U25" i="1"/>
  <c r="G25" i="4"/>
  <c r="U23" i="1"/>
  <c r="G23" i="4"/>
  <c r="U22" i="1"/>
  <c r="G22" i="4"/>
  <c r="U21" i="1"/>
  <c r="G21" i="4"/>
  <c r="U19" i="1"/>
  <c r="G19" i="4"/>
  <c r="U18" i="1"/>
  <c r="G18" i="4"/>
  <c r="U17" i="1"/>
  <c r="G17" i="4"/>
  <c r="U15" i="1"/>
  <c r="G15" i="4"/>
  <c r="U14" i="1"/>
  <c r="G14" i="4"/>
  <c r="U13" i="1"/>
  <c r="G13" i="4"/>
  <c r="U11" i="1"/>
  <c r="G11" i="4"/>
  <c r="U10" i="1"/>
  <c r="G10" i="4"/>
  <c r="U7" i="1"/>
  <c r="G7" i="4"/>
  <c r="D2" i="4"/>
  <c r="E2" i="4"/>
  <c r="X4" i="1"/>
  <c r="X17" i="1"/>
  <c r="H17" i="4"/>
  <c r="X16" i="1"/>
  <c r="H16" i="4"/>
  <c r="X21" i="1"/>
  <c r="H21" i="4"/>
  <c r="X19" i="1"/>
  <c r="H19" i="4"/>
  <c r="AA5" i="1"/>
  <c r="I5" i="4"/>
  <c r="AA11" i="1"/>
  <c r="I11" i="4"/>
  <c r="AA16" i="1"/>
  <c r="I16" i="4"/>
  <c r="AA19" i="1"/>
  <c r="I19" i="4"/>
  <c r="AA21" i="1"/>
  <c r="I21" i="4"/>
  <c r="U3" i="6"/>
  <c r="V3" i="6"/>
  <c r="AG3" i="6"/>
  <c r="L3" i="6"/>
  <c r="W3" i="6"/>
  <c r="AH3" i="6"/>
  <c r="O3" i="6"/>
  <c r="X3" i="6"/>
  <c r="AI3" i="6"/>
  <c r="Y3" i="6"/>
  <c r="U4" i="6"/>
  <c r="I4" i="6"/>
  <c r="V4" i="6"/>
  <c r="AB4" i="6"/>
  <c r="L4" i="6"/>
  <c r="W4" i="6"/>
  <c r="AH4" i="6"/>
  <c r="O4" i="6"/>
  <c r="X4" i="6"/>
  <c r="AI4" i="6"/>
  <c r="Y4" i="6"/>
  <c r="U6" i="6"/>
  <c r="AF6" i="6"/>
  <c r="I6" i="6"/>
  <c r="V6" i="6"/>
  <c r="L6" i="6"/>
  <c r="W6" i="6"/>
  <c r="AC6" i="6"/>
  <c r="AQ6" i="6"/>
  <c r="X6" i="6"/>
  <c r="Y6" i="6"/>
  <c r="AE6" i="6"/>
  <c r="U7" i="6"/>
  <c r="I7" i="6"/>
  <c r="V7" i="6"/>
  <c r="W7" i="6"/>
  <c r="AH7" i="6"/>
  <c r="X7" i="6"/>
  <c r="Y7" i="6"/>
  <c r="AE7" i="6"/>
  <c r="AN7" i="6"/>
  <c r="U8" i="6"/>
  <c r="I8" i="6"/>
  <c r="V8" i="6"/>
  <c r="L8" i="6"/>
  <c r="W8" i="6"/>
  <c r="O8" i="6"/>
  <c r="X8" i="6"/>
  <c r="Y8" i="6"/>
  <c r="U11" i="6"/>
  <c r="I11" i="6"/>
  <c r="V11" i="6"/>
  <c r="L11" i="6"/>
  <c r="W11" i="6"/>
  <c r="O11" i="6"/>
  <c r="X11" i="6"/>
  <c r="Y11" i="6"/>
  <c r="U16" i="6"/>
  <c r="V16" i="6"/>
  <c r="L16" i="6"/>
  <c r="W16" i="6"/>
  <c r="AC16" i="6"/>
  <c r="O16" i="6"/>
  <c r="X16" i="6"/>
  <c r="AD16" i="6"/>
  <c r="Y16" i="6"/>
  <c r="U17" i="6"/>
  <c r="AF17" i="6"/>
  <c r="I17" i="6"/>
  <c r="V17" i="6"/>
  <c r="AB17" i="6"/>
  <c r="L17" i="6"/>
  <c r="W17" i="6"/>
  <c r="AH17" i="6"/>
  <c r="O17" i="6"/>
  <c r="X17" i="6"/>
  <c r="Y17" i="6"/>
  <c r="U20" i="6"/>
  <c r="AF20" i="6"/>
  <c r="I20" i="6"/>
  <c r="V20" i="6"/>
  <c r="AB20" i="6"/>
  <c r="L20" i="6"/>
  <c r="W20" i="6"/>
  <c r="AC20" i="6"/>
  <c r="AL20" i="6"/>
  <c r="X20" i="6"/>
  <c r="Y20" i="6"/>
  <c r="AE20" i="6"/>
  <c r="AS20" i="6"/>
  <c r="U21" i="6"/>
  <c r="I21" i="6"/>
  <c r="V21" i="6"/>
  <c r="L21" i="6"/>
  <c r="W21" i="6"/>
  <c r="O21" i="6"/>
  <c r="X21" i="6"/>
  <c r="Y21" i="6"/>
  <c r="Z21" i="6"/>
  <c r="U22" i="6"/>
  <c r="V22" i="6"/>
  <c r="L22" i="6"/>
  <c r="W22" i="6"/>
  <c r="AC22" i="6"/>
  <c r="O22" i="6"/>
  <c r="X22" i="6"/>
  <c r="AI22" i="6"/>
  <c r="Y22" i="6"/>
  <c r="U23" i="6"/>
  <c r="V23" i="6"/>
  <c r="W23" i="6"/>
  <c r="AH23" i="6"/>
  <c r="X23" i="6"/>
  <c r="Y23" i="6"/>
  <c r="AE23" i="6"/>
  <c r="U24" i="6"/>
  <c r="V24" i="6"/>
  <c r="W24" i="6"/>
  <c r="X24" i="6"/>
  <c r="Y24" i="6"/>
  <c r="Z24" i="6"/>
  <c r="A26" i="1"/>
  <c r="U25" i="6"/>
  <c r="AA25" i="6"/>
  <c r="V25" i="6"/>
  <c r="W25" i="6"/>
  <c r="AH25" i="6"/>
  <c r="X25" i="6"/>
  <c r="Y25" i="6"/>
  <c r="AE25" i="6"/>
  <c r="AX25" i="6"/>
  <c r="U26" i="6"/>
  <c r="V26" i="6"/>
  <c r="AB26" i="6"/>
  <c r="W26" i="6"/>
  <c r="X26" i="6"/>
  <c r="Y26" i="6"/>
  <c r="Z26" i="6"/>
  <c r="A28" i="1"/>
  <c r="U27" i="6"/>
  <c r="V27" i="6"/>
  <c r="W27" i="6"/>
  <c r="X27" i="6"/>
  <c r="Y27" i="6"/>
  <c r="Z27" i="6"/>
  <c r="A29" i="1"/>
  <c r="AE27" i="6"/>
  <c r="U28" i="6"/>
  <c r="V28" i="6"/>
  <c r="AG28" i="6"/>
  <c r="W28" i="6"/>
  <c r="X28" i="6"/>
  <c r="AI28" i="6"/>
  <c r="Y28" i="6"/>
  <c r="U29" i="6"/>
  <c r="AA29" i="6"/>
  <c r="V29" i="6"/>
  <c r="W29" i="6"/>
  <c r="AH29" i="6"/>
  <c r="X29" i="6"/>
  <c r="Y29" i="6"/>
  <c r="AE29" i="6"/>
  <c r="AX29" i="6"/>
  <c r="U30" i="6"/>
  <c r="V30" i="6"/>
  <c r="AB30" i="6"/>
  <c r="W30" i="6"/>
  <c r="X30" i="6"/>
  <c r="AD30" i="6"/>
  <c r="AW30" i="6"/>
  <c r="Y30" i="6"/>
  <c r="D28" i="12"/>
  <c r="F29" i="1"/>
  <c r="D29" i="12"/>
  <c r="F30" i="1"/>
  <c r="D30" i="12"/>
  <c r="F31" i="1"/>
  <c r="D31" i="12"/>
  <c r="F32" i="1"/>
  <c r="D27" i="12"/>
  <c r="F28" i="1"/>
  <c r="D25" i="12"/>
  <c r="F26" i="1"/>
  <c r="G26" i="1"/>
  <c r="D22" i="12"/>
  <c r="F23" i="1"/>
  <c r="G23" i="1"/>
  <c r="D21" i="12"/>
  <c r="F22" i="1"/>
  <c r="G22" i="1"/>
  <c r="D20" i="12"/>
  <c r="F21" i="1"/>
  <c r="G21" i="1"/>
  <c r="D18" i="12"/>
  <c r="F19" i="1"/>
  <c r="G19" i="1"/>
  <c r="D16" i="12"/>
  <c r="F17" i="1"/>
  <c r="G17" i="1"/>
  <c r="D15" i="12"/>
  <c r="F16" i="1"/>
  <c r="G16" i="1"/>
  <c r="D14" i="12"/>
  <c r="F15" i="1"/>
  <c r="G15" i="1"/>
  <c r="D12" i="12"/>
  <c r="F13" i="1"/>
  <c r="G13" i="1"/>
  <c r="D10" i="12"/>
  <c r="F11" i="1"/>
  <c r="G11" i="1"/>
  <c r="D8" i="12"/>
  <c r="F9" i="1"/>
  <c r="G9" i="1"/>
  <c r="D7" i="12"/>
  <c r="F8" i="1"/>
  <c r="G8" i="1"/>
  <c r="J8" i="1"/>
  <c r="D5" i="12"/>
  <c r="F6" i="1"/>
  <c r="G6" i="1"/>
  <c r="H35" i="1"/>
  <c r="D3" i="12"/>
  <c r="F4" i="1"/>
  <c r="D4" i="12"/>
  <c r="F5" i="1"/>
  <c r="G5" i="1"/>
  <c r="J21" i="1"/>
  <c r="G3" i="1"/>
  <c r="Q35" i="1"/>
  <c r="Q37" i="1"/>
  <c r="Q36" i="1"/>
  <c r="B4" i="4"/>
  <c r="E2" i="10"/>
  <c r="F2" i="10"/>
  <c r="G2" i="10"/>
  <c r="C5" i="12"/>
  <c r="C23" i="12"/>
  <c r="C3" i="12"/>
  <c r="D4" i="1"/>
  <c r="H2" i="10"/>
  <c r="A6" i="12"/>
  <c r="A7" i="12"/>
  <c r="A8" i="12"/>
  <c r="A9" i="12"/>
  <c r="A10" i="12"/>
  <c r="A11" i="12"/>
  <c r="A12" i="12"/>
  <c r="A13" i="12"/>
  <c r="A14" i="12"/>
  <c r="A15" i="12"/>
  <c r="A16" i="12"/>
  <c r="A17" i="12"/>
  <c r="A18" i="12"/>
  <c r="A19" i="12"/>
  <c r="A20" i="12"/>
  <c r="A21" i="12"/>
  <c r="A22" i="12"/>
  <c r="A23" i="12"/>
  <c r="A24" i="12"/>
  <c r="A25" i="12"/>
  <c r="A26" i="12"/>
  <c r="A27" i="12"/>
  <c r="A28" i="12"/>
  <c r="A29" i="12"/>
  <c r="A30" i="12"/>
  <c r="A31" i="12"/>
  <c r="N41" i="12"/>
  <c r="A4" i="12"/>
  <c r="A5" i="12"/>
  <c r="A3" i="12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19" i="12"/>
  <c r="F20" i="1"/>
  <c r="D21" i="1"/>
  <c r="D22" i="1"/>
  <c r="D23" i="1"/>
  <c r="D24" i="1"/>
  <c r="D25" i="1"/>
  <c r="D26" i="1"/>
  <c r="D27" i="1"/>
  <c r="I2" i="10"/>
  <c r="G4" i="12"/>
  <c r="C4" i="12" s="1"/>
  <c r="G6" i="12"/>
  <c r="C6" i="12" s="1"/>
  <c r="C7" i="12"/>
  <c r="G8" i="12"/>
  <c r="C8" i="12" s="1"/>
  <c r="G9" i="12"/>
  <c r="G11" i="12"/>
  <c r="C11" i="12" s="1"/>
  <c r="G12" i="12"/>
  <c r="C12" i="12" s="1"/>
  <c r="G13" i="12"/>
  <c r="G14" i="12"/>
  <c r="G15" i="12"/>
  <c r="C15" i="12" s="1"/>
  <c r="G16" i="12"/>
  <c r="C16" i="12" s="1"/>
  <c r="G17" i="12"/>
  <c r="G18" i="12"/>
  <c r="G19" i="12"/>
  <c r="C19" i="12" s="1"/>
  <c r="G20" i="12"/>
  <c r="C20" i="12" s="1"/>
  <c r="G21" i="12"/>
  <c r="G22" i="12"/>
  <c r="G24" i="12"/>
  <c r="C24" i="12" s="1"/>
  <c r="G25" i="12"/>
  <c r="G26" i="12"/>
  <c r="G27" i="12"/>
  <c r="C27" i="12" s="1"/>
  <c r="G28" i="12"/>
  <c r="C28" i="12" s="1"/>
  <c r="G29" i="12"/>
  <c r="G30" i="12"/>
  <c r="G31" i="12"/>
  <c r="C31" i="12" s="1"/>
  <c r="J16" i="1"/>
  <c r="J20" i="1"/>
  <c r="I2" i="6"/>
  <c r="V2" i="6"/>
  <c r="AB2" i="6"/>
  <c r="L2" i="6"/>
  <c r="O2" i="6"/>
  <c r="X2" i="6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E4" i="6"/>
  <c r="AS4" i="6"/>
  <c r="U5" i="6"/>
  <c r="AA5" i="6"/>
  <c r="V5" i="6"/>
  <c r="L5" i="6"/>
  <c r="W5" i="6"/>
  <c r="O5" i="6"/>
  <c r="X5" i="6"/>
  <c r="Y5" i="6"/>
  <c r="AE5" i="6"/>
  <c r="AG8" i="6"/>
  <c r="U9" i="6"/>
  <c r="AF9" i="6"/>
  <c r="I9" i="6"/>
  <c r="V9" i="6"/>
  <c r="AB9" i="6"/>
  <c r="L9" i="6"/>
  <c r="O9" i="6"/>
  <c r="X9" i="6"/>
  <c r="AI9" i="6"/>
  <c r="Y9" i="6"/>
  <c r="AE9" i="6"/>
  <c r="U10" i="6"/>
  <c r="AA10" i="6"/>
  <c r="AJ10" i="6"/>
  <c r="I10" i="6"/>
  <c r="V10" i="6"/>
  <c r="L10" i="6"/>
  <c r="W10" i="6"/>
  <c r="X10" i="6"/>
  <c r="AD10" i="6"/>
  <c r="Y10" i="6"/>
  <c r="AE10" i="6"/>
  <c r="U12" i="6"/>
  <c r="AA12" i="6"/>
  <c r="AO12" i="6"/>
  <c r="I12" i="6"/>
  <c r="V12" i="6"/>
  <c r="L12" i="6"/>
  <c r="W12" i="6"/>
  <c r="O12" i="6"/>
  <c r="X12" i="6"/>
  <c r="AD12" i="6"/>
  <c r="Y12" i="6"/>
  <c r="AE12" i="6"/>
  <c r="U13" i="6"/>
  <c r="AA13" i="6"/>
  <c r="V13" i="6"/>
  <c r="W13" i="6"/>
  <c r="AC13" i="6"/>
  <c r="AL13" i="6"/>
  <c r="O13" i="6"/>
  <c r="X13" i="6"/>
  <c r="Y13" i="6"/>
  <c r="AE13" i="6"/>
  <c r="U14" i="6"/>
  <c r="AA14" i="6"/>
  <c r="I14" i="6"/>
  <c r="V14" i="6"/>
  <c r="L14" i="6"/>
  <c r="W14" i="6"/>
  <c r="O14" i="6"/>
  <c r="X14" i="6"/>
  <c r="Y14" i="6"/>
  <c r="U15" i="6"/>
  <c r="AF15" i="6"/>
  <c r="V15" i="6"/>
  <c r="L15" i="6"/>
  <c r="W15" i="6"/>
  <c r="O15" i="6"/>
  <c r="X15" i="6"/>
  <c r="AD15" i="6"/>
  <c r="AW15" i="6"/>
  <c r="AR15" i="6"/>
  <c r="Y15" i="6"/>
  <c r="AE15" i="6"/>
  <c r="AN15" i="6"/>
  <c r="AF16" i="6"/>
  <c r="AG16" i="6"/>
  <c r="AE16" i="6"/>
  <c r="AX16" i="6"/>
  <c r="AE17" i="6"/>
  <c r="U19" i="6"/>
  <c r="AA19" i="6"/>
  <c r="AT19" i="6"/>
  <c r="V19" i="6"/>
  <c r="L19" i="6"/>
  <c r="W19" i="6"/>
  <c r="X19" i="6"/>
  <c r="Y19" i="6"/>
  <c r="AE19" i="6"/>
  <c r="AX19" i="6"/>
  <c r="AI20" i="6"/>
  <c r="AN20" i="6"/>
  <c r="AF21" i="6"/>
  <c r="AE21" i="6"/>
  <c r="AE22" i="6"/>
  <c r="AG23" i="6"/>
  <c r="AD23" i="6"/>
  <c r="AA24" i="6"/>
  <c r="AT24" i="6"/>
  <c r="AC24" i="6"/>
  <c r="AE24" i="6"/>
  <c r="AG25" i="6"/>
  <c r="AI25" i="6"/>
  <c r="AS25" i="6"/>
  <c r="AF26" i="6"/>
  <c r="AD26" i="6"/>
  <c r="AE26" i="6"/>
  <c r="AS26" i="6"/>
  <c r="AF28" i="6"/>
  <c r="AC28" i="6"/>
  <c r="AE28" i="6"/>
  <c r="AC29" i="6"/>
  <c r="AL29" i="6"/>
  <c r="AD29" i="6"/>
  <c r="AR29" i="6"/>
  <c r="AN29" i="6"/>
  <c r="AF30" i="6"/>
  <c r="AG30" i="6"/>
  <c r="AM30" i="6"/>
  <c r="AE30" i="6"/>
  <c r="AS30" i="6"/>
  <c r="U2" i="6"/>
  <c r="AA2" i="6"/>
  <c r="AJ2" i="6"/>
  <c r="W2" i="6"/>
  <c r="Y2" i="6"/>
  <c r="Z2" i="6"/>
  <c r="AE2" i="6"/>
  <c r="AN2" i="6"/>
  <c r="U18" i="6"/>
  <c r="W18" i="6"/>
  <c r="AH18" i="6"/>
  <c r="X18" i="6"/>
  <c r="Y18" i="6"/>
  <c r="AE18" i="6"/>
  <c r="A24" i="6"/>
  <c r="C33" i="6"/>
  <c r="C32" i="6"/>
  <c r="T32" i="6"/>
  <c r="T33" i="6"/>
  <c r="F33" i="6"/>
  <c r="I48" i="6"/>
  <c r="I47" i="6"/>
  <c r="F48" i="6"/>
  <c r="T38" i="6"/>
  <c r="T39" i="6"/>
  <c r="T40" i="6"/>
  <c r="B23" i="6"/>
  <c r="B24" i="6"/>
  <c r="B25" i="6"/>
  <c r="B26" i="6"/>
  <c r="B27" i="6"/>
  <c r="B28" i="6"/>
  <c r="B29" i="6"/>
  <c r="B30" i="6"/>
  <c r="V18" i="6"/>
  <c r="E13" i="6"/>
  <c r="E2" i="6"/>
  <c r="E3" i="6"/>
  <c r="E4" i="6"/>
  <c r="E5" i="6"/>
  <c r="E6" i="6"/>
  <c r="E7" i="6"/>
  <c r="E8" i="6"/>
  <c r="E9" i="6"/>
  <c r="E10" i="6"/>
  <c r="E11" i="6"/>
  <c r="E12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U1" i="6"/>
  <c r="V1" i="6"/>
  <c r="W1" i="6"/>
  <c r="X1" i="6"/>
  <c r="Y1" i="6"/>
  <c r="AA1" i="6"/>
  <c r="AB1" i="6"/>
  <c r="AC1" i="6"/>
  <c r="AD1" i="6"/>
  <c r="AE1" i="6"/>
  <c r="H2" i="6"/>
  <c r="K2" i="6"/>
  <c r="N2" i="6"/>
  <c r="Q2" i="6"/>
  <c r="H3" i="6"/>
  <c r="K3" i="6"/>
  <c r="N3" i="6"/>
  <c r="Q3" i="6"/>
  <c r="H4" i="6"/>
  <c r="K4" i="6"/>
  <c r="N4" i="6"/>
  <c r="Q4" i="6"/>
  <c r="H5" i="6"/>
  <c r="K5" i="6"/>
  <c r="N5" i="6"/>
  <c r="Q5" i="6"/>
  <c r="H6" i="6"/>
  <c r="K6" i="6"/>
  <c r="N6" i="6"/>
  <c r="Q6" i="6"/>
  <c r="H7" i="6"/>
  <c r="B7" i="6"/>
  <c r="K7" i="6"/>
  <c r="N7" i="6"/>
  <c r="Q7" i="6"/>
  <c r="H8" i="6"/>
  <c r="K8" i="6"/>
  <c r="N8" i="6"/>
  <c r="Q8" i="6"/>
  <c r="H9" i="6"/>
  <c r="K9" i="6"/>
  <c r="N9" i="6"/>
  <c r="Q9" i="6"/>
  <c r="H10" i="6"/>
  <c r="K10" i="6"/>
  <c r="N10" i="6"/>
  <c r="Q10" i="6"/>
  <c r="H11" i="6"/>
  <c r="K11" i="6"/>
  <c r="N11" i="6"/>
  <c r="Q11" i="6"/>
  <c r="H12" i="6"/>
  <c r="K12" i="6"/>
  <c r="N12" i="6"/>
  <c r="Q12" i="6"/>
  <c r="H13" i="6"/>
  <c r="K13" i="6"/>
  <c r="N13" i="6"/>
  <c r="B13" i="6"/>
  <c r="Q13" i="6"/>
  <c r="H14" i="6"/>
  <c r="K14" i="6"/>
  <c r="N14" i="6"/>
  <c r="Q14" i="6"/>
  <c r="H15" i="6"/>
  <c r="K15" i="6"/>
  <c r="N15" i="6"/>
  <c r="B15" i="6"/>
  <c r="Q15" i="6"/>
  <c r="H16" i="6"/>
  <c r="K16" i="6"/>
  <c r="N16" i="6"/>
  <c r="Q16" i="6"/>
  <c r="H17" i="6"/>
  <c r="K17" i="6"/>
  <c r="N17" i="6"/>
  <c r="Q17" i="6"/>
  <c r="H18" i="6"/>
  <c r="K18" i="6"/>
  <c r="N18" i="6"/>
  <c r="B18" i="6"/>
  <c r="Q18" i="6"/>
  <c r="H19" i="6"/>
  <c r="K19" i="6"/>
  <c r="B19" i="6"/>
  <c r="N19" i="6"/>
  <c r="Q19" i="6"/>
  <c r="H20" i="6"/>
  <c r="K20" i="6"/>
  <c r="N20" i="6"/>
  <c r="Q20" i="6"/>
  <c r="H21" i="6"/>
  <c r="K21" i="6"/>
  <c r="N21" i="6"/>
  <c r="Q21" i="6"/>
  <c r="H22" i="6"/>
  <c r="K22" i="6"/>
  <c r="N22" i="6"/>
  <c r="Q22" i="6"/>
  <c r="H23" i="6"/>
  <c r="K23" i="6"/>
  <c r="N23" i="6"/>
  <c r="Q23" i="6"/>
  <c r="H24" i="6"/>
  <c r="K24" i="6"/>
  <c r="N24" i="6"/>
  <c r="Q24" i="6"/>
  <c r="H25" i="6"/>
  <c r="K25" i="6"/>
  <c r="N25" i="6"/>
  <c r="Q25" i="6"/>
  <c r="H26" i="6"/>
  <c r="K26" i="6"/>
  <c r="N26" i="6"/>
  <c r="Q26" i="6"/>
  <c r="H27" i="6"/>
  <c r="K27" i="6"/>
  <c r="N27" i="6"/>
  <c r="Q27" i="6"/>
  <c r="H28" i="6"/>
  <c r="K28" i="6"/>
  <c r="N28" i="6"/>
  <c r="Q28" i="6"/>
  <c r="H29" i="6"/>
  <c r="K29" i="6"/>
  <c r="N29" i="6"/>
  <c r="Q29" i="6"/>
  <c r="H30" i="6"/>
  <c r="K30" i="6"/>
  <c r="N30" i="6"/>
  <c r="Q30" i="6"/>
  <c r="R33" i="6"/>
  <c r="R32" i="6"/>
  <c r="F32" i="6"/>
  <c r="B10" i="6"/>
  <c r="B21" i="6"/>
  <c r="B12" i="6"/>
  <c r="B3" i="6"/>
  <c r="L48" i="6"/>
  <c r="I46" i="6"/>
  <c r="O48" i="6"/>
  <c r="R48" i="6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A3" i="6"/>
  <c r="A4" i="6"/>
  <c r="A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5" i="6"/>
  <c r="A26" i="6"/>
  <c r="A27" i="6"/>
  <c r="A28" i="6"/>
  <c r="A29" i="6"/>
  <c r="A30" i="6"/>
  <c r="A2" i="6"/>
  <c r="AD25" i="6"/>
  <c r="AR25" i="6"/>
  <c r="AA21" i="6"/>
  <c r="AT21" i="6"/>
  <c r="AB23" i="6"/>
  <c r="AK23" i="6"/>
  <c r="AA16" i="6"/>
  <c r="AJ16" i="6"/>
  <c r="AI26" i="6"/>
  <c r="AA9" i="6"/>
  <c r="AO9" i="6"/>
  <c r="AB3" i="6"/>
  <c r="AI23" i="6"/>
  <c r="AS17" i="6"/>
  <c r="AX17" i="6"/>
  <c r="AK30" i="6"/>
  <c r="AI16" i="6"/>
  <c r="AD20" i="6"/>
  <c r="AW20" i="6"/>
  <c r="AC7" i="6"/>
  <c r="AL7" i="6"/>
  <c r="AF24" i="6"/>
  <c r="AI12" i="6"/>
  <c r="AH24" i="6"/>
  <c r="AJ9" i="6"/>
  <c r="AT13" i="6"/>
  <c r="AM29" i="6"/>
  <c r="AW29" i="6"/>
  <c r="AL28" i="6"/>
  <c r="AD27" i="6"/>
  <c r="AR27" i="6"/>
  <c r="AI27" i="6"/>
  <c r="AF13" i="6"/>
  <c r="AD7" i="6"/>
  <c r="AM7" i="6"/>
  <c r="AI7" i="6"/>
  <c r="AB25" i="6"/>
  <c r="AG9" i="6"/>
  <c r="AF10" i="6"/>
  <c r="AH13" i="6"/>
  <c r="AH28" i="6"/>
  <c r="AF5" i="6"/>
  <c r="AA30" i="6"/>
  <c r="AF12" i="6"/>
  <c r="AF19" i="6"/>
  <c r="AI15" i="6"/>
  <c r="AI30" i="6"/>
  <c r="AB8" i="6"/>
  <c r="AK8" i="6"/>
  <c r="AN17" i="6"/>
  <c r="AO2" i="6"/>
  <c r="AF2" i="6"/>
  <c r="AR30" i="6"/>
  <c r="AS29" i="6"/>
  <c r="AQ29" i="6"/>
  <c r="AF29" i="6"/>
  <c r="AB28" i="6"/>
  <c r="AU28" i="6"/>
  <c r="AN25" i="6"/>
  <c r="AW23" i="6"/>
  <c r="AJ19" i="6"/>
  <c r="AM15" i="6"/>
  <c r="AD11" i="6"/>
  <c r="AW11" i="6"/>
  <c r="AI11" i="6"/>
  <c r="AF11" i="6"/>
  <c r="AI10" i="6"/>
  <c r="AF8" i="6"/>
  <c r="AA8" i="6"/>
  <c r="AB7" i="6"/>
  <c r="AG7" i="6"/>
  <c r="AI6" i="6"/>
  <c r="AD6" i="6"/>
  <c r="AF3" i="6"/>
  <c r="AA3" i="6"/>
  <c r="AG18" i="6"/>
  <c r="AB18" i="6"/>
  <c r="AX26" i="6"/>
  <c r="AC30" i="6"/>
  <c r="AV30" i="6"/>
  <c r="AB27" i="6"/>
  <c r="AG27" i="6"/>
  <c r="AF22" i="6"/>
  <c r="AG19" i="6"/>
  <c r="AA15" i="6"/>
  <c r="AO15" i="6"/>
  <c r="AK9" i="6"/>
  <c r="AO19" i="6"/>
  <c r="AB19" i="6"/>
  <c r="AA28" i="6"/>
  <c r="AA22" i="6"/>
  <c r="AN26" i="6"/>
  <c r="AA26" i="6"/>
  <c r="AI29" i="6"/>
  <c r="AX4" i="6"/>
  <c r="AN4" i="6"/>
  <c r="AC25" i="6"/>
  <c r="AF14" i="6"/>
  <c r="AG11" i="6"/>
  <c r="AB11" i="6"/>
  <c r="AX18" i="6"/>
  <c r="AS2" i="6"/>
  <c r="AX30" i="6"/>
  <c r="AN30" i="6"/>
  <c r="AB29" i="6"/>
  <c r="AU29" i="6"/>
  <c r="AG29" i="6"/>
  <c r="AD28" i="6"/>
  <c r="AC26" i="6"/>
  <c r="AH26" i="6"/>
  <c r="AF25" i="6"/>
  <c r="AX24" i="6"/>
  <c r="AA17" i="6"/>
  <c r="AA7" i="6"/>
  <c r="AS5" i="6"/>
  <c r="AB5" i="6"/>
  <c r="AG5" i="6"/>
  <c r="AT2" i="6"/>
  <c r="AV29" i="6"/>
  <c r="AC18" i="6"/>
  <c r="AF7" i="6"/>
  <c r="AA11" i="6"/>
  <c r="AA20" i="6"/>
  <c r="AO20" i="6"/>
  <c r="AH30" i="6"/>
  <c r="AX2" i="6"/>
  <c r="AE3" i="6"/>
  <c r="AG26" i="6"/>
  <c r="AN16" i="6"/>
  <c r="AS16" i="6"/>
  <c r="AD13" i="6"/>
  <c r="AR13" i="6"/>
  <c r="AI13" i="6"/>
  <c r="AS6" i="6"/>
  <c r="J2" i="10"/>
  <c r="AO16" i="6"/>
  <c r="AR20" i="6"/>
  <c r="AW25" i="6"/>
  <c r="AU23" i="6"/>
  <c r="AM25" i="6"/>
  <c r="AP30" i="6"/>
  <c r="AJ21" i="6"/>
  <c r="AO21" i="6"/>
  <c r="AU30" i="6"/>
  <c r="AT16" i="6"/>
  <c r="AU3" i="6"/>
  <c r="AM20" i="6"/>
  <c r="AT9" i="6"/>
  <c r="AM11" i="6"/>
  <c r="AW7" i="6"/>
  <c r="AR11" i="6"/>
  <c r="AR7" i="6"/>
  <c r="AQ7" i="6"/>
  <c r="AO30" i="6"/>
  <c r="AT30" i="6"/>
  <c r="AJ30" i="6"/>
  <c r="AU25" i="6"/>
  <c r="AP25" i="6"/>
  <c r="AK25" i="6"/>
  <c r="AU8" i="6"/>
  <c r="AP8" i="6"/>
  <c r="AO3" i="6"/>
  <c r="AJ3" i="6"/>
  <c r="AM6" i="6"/>
  <c r="AR6" i="6"/>
  <c r="AJ8" i="6"/>
  <c r="AT8" i="6"/>
  <c r="AO8" i="6"/>
  <c r="AP28" i="6"/>
  <c r="AW6" i="6"/>
  <c r="AT3" i="6"/>
  <c r="AU7" i="6"/>
  <c r="AP7" i="6"/>
  <c r="AK7" i="6"/>
  <c r="AW10" i="6"/>
  <c r="AM10" i="6"/>
  <c r="AR10" i="6"/>
  <c r="AJ29" i="6"/>
  <c r="AO29" i="6"/>
  <c r="AT29" i="6"/>
  <c r="AP11" i="6"/>
  <c r="AK11" i="6"/>
  <c r="AU11" i="6"/>
  <c r="AJ26" i="6"/>
  <c r="AT26" i="6"/>
  <c r="AO26" i="6"/>
  <c r="AJ28" i="6"/>
  <c r="AT28" i="6"/>
  <c r="AO28" i="6"/>
  <c r="AP19" i="6"/>
  <c r="AU19" i="6"/>
  <c r="AK19" i="6"/>
  <c r="AJ15" i="6"/>
  <c r="AU27" i="6"/>
  <c r="AP27" i="6"/>
  <c r="AK27" i="6"/>
  <c r="AL30" i="6"/>
  <c r="AQ30" i="6"/>
  <c r="AQ25" i="6"/>
  <c r="AT22" i="6"/>
  <c r="AO22" i="6"/>
  <c r="AJ22" i="6"/>
  <c r="AK18" i="6"/>
  <c r="AP18" i="6"/>
  <c r="AU18" i="6"/>
  <c r="AW13" i="6"/>
  <c r="AK26" i="6"/>
  <c r="AP26" i="6"/>
  <c r="AU26" i="6"/>
  <c r="AJ20" i="6"/>
  <c r="AT20" i="6"/>
  <c r="AV18" i="6"/>
  <c r="AL18" i="6"/>
  <c r="AQ18" i="6"/>
  <c r="AV26" i="6"/>
  <c r="AQ26" i="6"/>
  <c r="AL26" i="6"/>
  <c r="AW28" i="6"/>
  <c r="AP29" i="6"/>
  <c r="AK29" i="6"/>
  <c r="AO11" i="6"/>
  <c r="AJ11" i="6"/>
  <c r="AT11" i="6"/>
  <c r="AU5" i="6"/>
  <c r="AP5" i="6"/>
  <c r="AK5" i="6"/>
  <c r="AT7" i="6"/>
  <c r="AO7" i="6"/>
  <c r="AJ7" i="6"/>
  <c r="AO17" i="6"/>
  <c r="AJ25" i="6"/>
  <c r="AO25" i="6"/>
  <c r="AT25" i="6"/>
  <c r="K2" i="10"/>
  <c r="L2" i="10"/>
  <c r="M2" i="10"/>
  <c r="N2" i="10"/>
  <c r="O2" i="10"/>
  <c r="P2" i="10"/>
  <c r="Q2" i="10"/>
  <c r="R2" i="10"/>
  <c r="S2" i="10"/>
  <c r="T2" i="10"/>
  <c r="U2" i="10"/>
  <c r="V2" i="10"/>
  <c r="W2" i="10"/>
  <c r="X2" i="10"/>
  <c r="Y2" i="10"/>
  <c r="Z2" i="10"/>
  <c r="AA2" i="10"/>
  <c r="AB2" i="10"/>
  <c r="AC2" i="10"/>
  <c r="AD2" i="10"/>
  <c r="AE2" i="10"/>
  <c r="AF2" i="10"/>
  <c r="AG2" i="10"/>
  <c r="AH2" i="10"/>
  <c r="AI2" i="10"/>
  <c r="AJ2" i="10"/>
  <c r="AK2" i="10"/>
  <c r="AL2" i="10"/>
  <c r="AM2" i="10"/>
  <c r="AN2" i="10"/>
  <c r="AO2" i="10"/>
  <c r="AP2" i="10"/>
  <c r="AQ2" i="10"/>
  <c r="AR2" i="10"/>
  <c r="AS2" i="10"/>
  <c r="Z35" i="1"/>
  <c r="Z37" i="1"/>
  <c r="Z36" i="1"/>
  <c r="K35" i="1"/>
  <c r="N35" i="1"/>
  <c r="D28" i="1"/>
  <c r="T35" i="1"/>
  <c r="T37" i="1"/>
  <c r="T36" i="1"/>
  <c r="AC36" i="1"/>
  <c r="D31" i="1"/>
  <c r="D29" i="1"/>
  <c r="H36" i="1"/>
  <c r="D30" i="1"/>
  <c r="N36" i="1"/>
  <c r="D32" i="1"/>
  <c r="K36" i="1"/>
  <c r="W36" i="1"/>
  <c r="W35" i="1"/>
  <c r="W37" i="1"/>
  <c r="J6" i="1"/>
  <c r="J17" i="1"/>
  <c r="J19" i="1"/>
  <c r="J22" i="1"/>
  <c r="J26" i="1"/>
  <c r="L37" i="1"/>
  <c r="B5" i="6"/>
  <c r="B17" i="6"/>
  <c r="B8" i="6"/>
  <c r="B11" i="6"/>
  <c r="L39" i="1"/>
  <c r="AD2" i="6"/>
  <c r="AM2" i="6"/>
  <c r="AI2" i="6"/>
  <c r="AG2" i="6"/>
  <c r="I33" i="6"/>
  <c r="B4" i="6"/>
  <c r="B6" i="6"/>
  <c r="B16" i="6"/>
  <c r="B20" i="6"/>
  <c r="B22" i="6"/>
  <c r="F2" i="4"/>
  <c r="G2" i="4"/>
  <c r="H2" i="4"/>
  <c r="I2" i="4"/>
  <c r="J2" i="4"/>
  <c r="K2" i="4"/>
  <c r="L2" i="4"/>
  <c r="R43" i="1"/>
  <c r="J11" i="4"/>
  <c r="H4" i="4"/>
  <c r="O32" i="6"/>
  <c r="B14" i="6"/>
  <c r="O33" i="6"/>
  <c r="G2" i="1"/>
  <c r="J3" i="1"/>
  <c r="M3" i="1"/>
  <c r="P3" i="1"/>
  <c r="S3" i="1"/>
  <c r="V3" i="1"/>
  <c r="Y3" i="1"/>
  <c r="AB3" i="1"/>
  <c r="AE3" i="1"/>
  <c r="AH3" i="1"/>
  <c r="I32" i="6"/>
  <c r="O42" i="1"/>
  <c r="O36" i="1"/>
  <c r="R38" i="1"/>
  <c r="R40" i="1"/>
  <c r="M25" i="1"/>
  <c r="P25" i="1"/>
  <c r="S25" i="1"/>
  <c r="V25" i="1"/>
  <c r="Y25" i="1"/>
  <c r="AB25" i="1"/>
  <c r="AE25" i="1"/>
  <c r="O39" i="1"/>
  <c r="B2" i="6"/>
  <c r="U36" i="1"/>
  <c r="O43" i="1"/>
  <c r="AH10" i="6"/>
  <c r="AC10" i="6"/>
  <c r="R35" i="1"/>
  <c r="AH15" i="6"/>
  <c r="AC15" i="6"/>
  <c r="AV15" i="6"/>
  <c r="AI5" i="6"/>
  <c r="AD5" i="6"/>
  <c r="AR5" i="6"/>
  <c r="AG20" i="6"/>
  <c r="AD8" i="6"/>
  <c r="AI8" i="6"/>
  <c r="Z3" i="6"/>
  <c r="A5" i="1"/>
  <c r="A35" i="1"/>
  <c r="T49" i="6"/>
  <c r="AC3" i="6"/>
  <c r="AL3" i="6"/>
  <c r="AH5" i="6"/>
  <c r="Z5" i="6"/>
  <c r="AC5" i="6"/>
  <c r="AH20" i="6"/>
  <c r="AC11" i="6"/>
  <c r="AV11" i="6"/>
  <c r="AH11" i="6"/>
  <c r="AC8" i="6"/>
  <c r="AH8" i="6"/>
  <c r="AD3" i="6"/>
  <c r="U44" i="1"/>
  <c r="O44" i="1"/>
  <c r="J9" i="1"/>
  <c r="J13" i="1"/>
  <c r="J15" i="1"/>
  <c r="J23" i="1"/>
  <c r="M23" i="1"/>
  <c r="AV10" i="6"/>
  <c r="AB14" i="6"/>
  <c r="AU14" i="6"/>
  <c r="AG14" i="6"/>
  <c r="AC21" i="6"/>
  <c r="AH21" i="6"/>
  <c r="Z17" i="6"/>
  <c r="A19" i="1"/>
  <c r="AG17" i="6"/>
  <c r="AC4" i="6"/>
  <c r="AL4" i="6"/>
  <c r="AH19" i="6"/>
  <c r="AC19" i="6"/>
  <c r="AH14" i="6"/>
  <c r="AC14" i="6"/>
  <c r="AQ14" i="6"/>
  <c r="AH12" i="6"/>
  <c r="Z12" i="6"/>
  <c r="AC12" i="6"/>
  <c r="AD9" i="6"/>
  <c r="AR9" i="6"/>
  <c r="AH22" i="6"/>
  <c r="AD21" i="6"/>
  <c r="AM21" i="6"/>
  <c r="AI21" i="6"/>
  <c r="AB21" i="6"/>
  <c r="AP21" i="6"/>
  <c r="A23" i="1"/>
  <c r="AG21" i="6"/>
  <c r="AC17" i="6"/>
  <c r="AD4" i="6"/>
  <c r="AG4" i="6"/>
  <c r="L32" i="6"/>
  <c r="M19" i="1"/>
  <c r="P19" i="1"/>
  <c r="S19" i="1"/>
  <c r="V19" i="1"/>
  <c r="Y19" i="1"/>
  <c r="AB19" i="1"/>
  <c r="AE19" i="1"/>
  <c r="AH19" i="1"/>
  <c r="X39" i="1"/>
  <c r="M26" i="1"/>
  <c r="AA40" i="1"/>
  <c r="R39" i="1"/>
  <c r="AA36" i="1"/>
  <c r="AA35" i="1"/>
  <c r="R37" i="1"/>
  <c r="U39" i="1"/>
  <c r="M24" i="1"/>
  <c r="AS19" i="6"/>
  <c r="AS15" i="6"/>
  <c r="AX15" i="6"/>
  <c r="AO14" i="6"/>
  <c r="AJ14" i="6"/>
  <c r="AT14" i="6"/>
  <c r="AM12" i="6"/>
  <c r="AR12" i="6"/>
  <c r="AW12" i="6"/>
  <c r="AN12" i="6"/>
  <c r="AX12" i="6"/>
  <c r="AS12" i="6"/>
  <c r="Z29" i="6"/>
  <c r="A31" i="1"/>
  <c r="Z25" i="6"/>
  <c r="A27" i="1"/>
  <c r="Z20" i="6"/>
  <c r="A22" i="1"/>
  <c r="Z7" i="6"/>
  <c r="A9" i="1"/>
  <c r="AP14" i="6"/>
  <c r="AJ12" i="6"/>
  <c r="AS10" i="6"/>
  <c r="AN10" i="6"/>
  <c r="AX10" i="6"/>
  <c r="AT5" i="6"/>
  <c r="AO5" i="6"/>
  <c r="AJ5" i="6"/>
  <c r="AQ13" i="6"/>
  <c r="AV13" i="6"/>
  <c r="AT10" i="6"/>
  <c r="AO10" i="6"/>
  <c r="M21" i="1"/>
  <c r="P21" i="1"/>
  <c r="S21" i="1"/>
  <c r="V21" i="1"/>
  <c r="Y21" i="1"/>
  <c r="AB21" i="1"/>
  <c r="AE21" i="1"/>
  <c r="AH21" i="1"/>
  <c r="M8" i="1"/>
  <c r="M12" i="1"/>
  <c r="P12" i="1"/>
  <c r="S12" i="1"/>
  <c r="G33" i="1"/>
  <c r="M7" i="1"/>
  <c r="P7" i="1"/>
  <c r="S7" i="1"/>
  <c r="G4" i="1"/>
  <c r="J4" i="1"/>
  <c r="P18" i="1"/>
  <c r="S18" i="1"/>
  <c r="V18" i="1"/>
  <c r="Y18" i="1"/>
  <c r="M16" i="1"/>
  <c r="P16" i="1"/>
  <c r="AA38" i="1"/>
  <c r="AA39" i="1"/>
  <c r="W9" i="6"/>
  <c r="AH9" i="6"/>
  <c r="L33" i="6"/>
  <c r="B9" i="6"/>
  <c r="M6" i="1"/>
  <c r="P6" i="1"/>
  <c r="S6" i="1"/>
  <c r="V6" i="1"/>
  <c r="Y6" i="1"/>
  <c r="AB6" i="1"/>
  <c r="AE6" i="1"/>
  <c r="AH6" i="1"/>
  <c r="AU2" i="6"/>
  <c r="I37" i="6"/>
  <c r="I43" i="6"/>
  <c r="P14" i="1"/>
  <c r="S14" i="1"/>
  <c r="V14" i="1"/>
  <c r="Y14" i="1"/>
  <c r="AB14" i="1"/>
  <c r="AE14" i="1"/>
  <c r="AH14" i="1"/>
  <c r="AR2" i="6"/>
  <c r="O36" i="6"/>
  <c r="O42" i="6"/>
  <c r="O35" i="6"/>
  <c r="O41" i="6"/>
  <c r="AW2" i="6"/>
  <c r="O37" i="6"/>
  <c r="O43" i="6"/>
  <c r="O45" i="6"/>
  <c r="O47" i="6"/>
  <c r="J5" i="1"/>
  <c r="M5" i="1"/>
  <c r="P5" i="1"/>
  <c r="S5" i="1"/>
  <c r="V5" i="1"/>
  <c r="Y5" i="1"/>
  <c r="AB5" i="1"/>
  <c r="AE5" i="1"/>
  <c r="AH5" i="1"/>
  <c r="M13" i="1"/>
  <c r="P13" i="1"/>
  <c r="S13" i="1"/>
  <c r="V13" i="1"/>
  <c r="P8" i="1"/>
  <c r="S8" i="1"/>
  <c r="V8" i="1"/>
  <c r="Y8" i="1"/>
  <c r="AB8" i="1"/>
  <c r="AE8" i="1"/>
  <c r="AH8" i="1"/>
  <c r="AL10" i="6"/>
  <c r="AQ10" i="6"/>
  <c r="AW3" i="6"/>
  <c r="AQ8" i="6"/>
  <c r="AV8" i="6"/>
  <c r="AL8" i="6"/>
  <c r="AQ11" i="6"/>
  <c r="AL11" i="6"/>
  <c r="AQ3" i="6"/>
  <c r="AR8" i="6"/>
  <c r="AM8" i="6"/>
  <c r="AW8" i="6"/>
  <c r="AP20" i="6"/>
  <c r="AK20" i="6"/>
  <c r="AU20" i="6"/>
  <c r="AV20" i="6"/>
  <c r="AQ20" i="6"/>
  <c r="AL5" i="6"/>
  <c r="AQ5" i="6"/>
  <c r="AV5" i="6"/>
  <c r="AW5" i="6"/>
  <c r="AM5" i="6"/>
  <c r="AQ15" i="6"/>
  <c r="AP4" i="6"/>
  <c r="AK4" i="6"/>
  <c r="AU4" i="6"/>
  <c r="AV16" i="6"/>
  <c r="AQ16" i="6"/>
  <c r="AL16" i="6"/>
  <c r="AK21" i="6"/>
  <c r="AU21" i="6"/>
  <c r="AW21" i="6"/>
  <c r="AQ12" i="6"/>
  <c r="AL12" i="6"/>
  <c r="AV12" i="6"/>
  <c r="AV19" i="6"/>
  <c r="AL19" i="6"/>
  <c r="AQ19" i="6"/>
  <c r="AV6" i="6"/>
  <c r="AL6" i="6"/>
  <c r="AK17" i="6"/>
  <c r="AP17" i="6"/>
  <c r="AU17" i="6"/>
  <c r="AQ21" i="6"/>
  <c r="AL21" i="6"/>
  <c r="AV21" i="6"/>
  <c r="AW4" i="6"/>
  <c r="AR4" i="6"/>
  <c r="AM4" i="6"/>
  <c r="AV17" i="6"/>
  <c r="AQ22" i="6"/>
  <c r="AL22" i="6"/>
  <c r="AV22" i="6"/>
  <c r="AM9" i="6"/>
  <c r="AW9" i="6"/>
  <c r="AV14" i="6"/>
  <c r="AL14" i="6"/>
  <c r="AV4" i="6"/>
  <c r="P26" i="1"/>
  <c r="S26" i="1"/>
  <c r="V26" i="1"/>
  <c r="Y26" i="1"/>
  <c r="AB26" i="1"/>
  <c r="AE26" i="1"/>
  <c r="AH26" i="1"/>
  <c r="P27" i="1"/>
  <c r="S27" i="1"/>
  <c r="V27" i="1"/>
  <c r="M22" i="1"/>
  <c r="P22" i="1"/>
  <c r="S22" i="1"/>
  <c r="V22" i="1"/>
  <c r="Y22" i="1"/>
  <c r="AB22" i="1"/>
  <c r="AE22" i="1"/>
  <c r="AH22" i="1"/>
  <c r="V12" i="1"/>
  <c r="Y12" i="1"/>
  <c r="AB12" i="1"/>
  <c r="AE12" i="1"/>
  <c r="AH12" i="1"/>
  <c r="AB18" i="1"/>
  <c r="AE18" i="1"/>
  <c r="AH18" i="1"/>
  <c r="P24" i="1"/>
  <c r="S24" i="1"/>
  <c r="V24" i="1"/>
  <c r="Y24" i="1"/>
  <c r="AB24" i="1"/>
  <c r="AE24" i="1"/>
  <c r="S16" i="1"/>
  <c r="V16" i="1"/>
  <c r="Y16" i="1"/>
  <c r="AB16" i="1"/>
  <c r="AE16" i="1"/>
  <c r="AH16" i="1"/>
  <c r="M10" i="1"/>
  <c r="P10" i="1"/>
  <c r="S10" i="1"/>
  <c r="V10" i="1"/>
  <c r="Y10" i="1"/>
  <c r="AB10" i="1"/>
  <c r="M4" i="1"/>
  <c r="V7" i="1"/>
  <c r="Y7" i="1"/>
  <c r="AB7" i="1"/>
  <c r="AE7" i="1"/>
  <c r="AH7" i="1"/>
  <c r="M17" i="1"/>
  <c r="P17" i="1"/>
  <c r="S17" i="1"/>
  <c r="V17" i="1"/>
  <c r="Y17" i="1"/>
  <c r="AB17" i="1"/>
  <c r="AE17" i="1"/>
  <c r="AH17" i="1"/>
  <c r="M9" i="1"/>
  <c r="P9" i="1"/>
  <c r="S9" i="1"/>
  <c r="V9" i="1"/>
  <c r="Y9" i="1"/>
  <c r="AB9" i="1"/>
  <c r="AE9" i="1"/>
  <c r="AH9" i="1"/>
  <c r="P23" i="1"/>
  <c r="S23" i="1"/>
  <c r="V23" i="1"/>
  <c r="Y23" i="1"/>
  <c r="AB23" i="1"/>
  <c r="AE23" i="1"/>
  <c r="AH23" i="1"/>
  <c r="M15" i="1"/>
  <c r="P15" i="1"/>
  <c r="S15" i="1"/>
  <c r="V15" i="1"/>
  <c r="Y15" i="1"/>
  <c r="AB15" i="1"/>
  <c r="AC9" i="6"/>
  <c r="AL9" i="6"/>
  <c r="Z9" i="6"/>
  <c r="A11" i="1"/>
  <c r="P4" i="1"/>
  <c r="Y27" i="1"/>
  <c r="AB27" i="1"/>
  <c r="AE27" i="1"/>
  <c r="AH27" i="1"/>
  <c r="Y13" i="1"/>
  <c r="AB13" i="1"/>
  <c r="AE13" i="1"/>
  <c r="AH13" i="1"/>
  <c r="AG43" i="1"/>
  <c r="AF36" i="1"/>
  <c r="AF35" i="1"/>
  <c r="AF37" i="1"/>
  <c r="AD42" i="1"/>
  <c r="AD37" i="1"/>
  <c r="AD41" i="1"/>
  <c r="AD38" i="1"/>
  <c r="AD40" i="1"/>
  <c r="AC35" i="1"/>
  <c r="AC37" i="1"/>
  <c r="AG35" i="1"/>
  <c r="K15" i="4"/>
  <c r="AE15" i="1"/>
  <c r="AH15" i="1"/>
  <c r="AG36" i="1"/>
  <c r="G36" i="1"/>
  <c r="J11" i="1"/>
  <c r="F35" i="1"/>
  <c r="C37" i="4"/>
  <c r="AQ9" i="6"/>
  <c r="AV9" i="6"/>
  <c r="AM3" i="6"/>
  <c r="AR3" i="6"/>
  <c r="S4" i="1"/>
  <c r="O46" i="6"/>
  <c r="AL17" i="6"/>
  <c r="AQ17" i="6"/>
  <c r="AQ4" i="6"/>
  <c r="AR21" i="6"/>
  <c r="AL15" i="6"/>
  <c r="AV3" i="6"/>
  <c r="AT12" i="6"/>
  <c r="AH16" i="6"/>
  <c r="AD22" i="6"/>
  <c r="AP23" i="6"/>
  <c r="AV25" i="6"/>
  <c r="AL25" i="6"/>
  <c r="AF18" i="6"/>
  <c r="Z18" i="6"/>
  <c r="AA18" i="6"/>
  <c r="AD19" i="6"/>
  <c r="AI19" i="6"/>
  <c r="AE14" i="6"/>
  <c r="Z14" i="6"/>
  <c r="Z28" i="6"/>
  <c r="A30" i="1"/>
  <c r="AH27" i="6"/>
  <c r="AC27" i="6"/>
  <c r="AD24" i="6"/>
  <c r="AI24" i="6"/>
  <c r="AS23" i="6"/>
  <c r="AX23" i="6"/>
  <c r="AF23" i="6"/>
  <c r="Z23" i="6"/>
  <c r="A25" i="1"/>
  <c r="AA23" i="6"/>
  <c r="AI17" i="6"/>
  <c r="AD17" i="6"/>
  <c r="AW16" i="6"/>
  <c r="AM16" i="6"/>
  <c r="AR16" i="6"/>
  <c r="AB16" i="6"/>
  <c r="Z16" i="6"/>
  <c r="A18" i="1"/>
  <c r="AX6" i="6"/>
  <c r="AN6" i="6"/>
  <c r="AG6" i="6"/>
  <c r="AB6" i="6"/>
  <c r="AJ17" i="6"/>
  <c r="AT17" i="6"/>
  <c r="AP3" i="6"/>
  <c r="AK3" i="6"/>
  <c r="AQ24" i="6"/>
  <c r="AL24" i="6"/>
  <c r="AN22" i="6"/>
  <c r="AS22" i="6"/>
  <c r="AX22" i="6"/>
  <c r="AX13" i="6"/>
  <c r="AS13" i="6"/>
  <c r="AN13" i="6"/>
  <c r="AG13" i="6"/>
  <c r="AB13" i="6"/>
  <c r="Z13" i="6"/>
  <c r="AG10" i="6"/>
  <c r="AB10" i="6"/>
  <c r="AX9" i="6"/>
  <c r="AS9" i="6"/>
  <c r="AH24" i="1"/>
  <c r="AX3" i="6"/>
  <c r="AN3" i="6"/>
  <c r="AM28" i="6"/>
  <c r="AR28" i="6"/>
  <c r="AW27" i="6"/>
  <c r="AM27" i="6"/>
  <c r="AC2" i="6"/>
  <c r="AH2" i="6"/>
  <c r="AN28" i="6"/>
  <c r="AS28" i="6"/>
  <c r="AX28" i="6"/>
  <c r="AN21" i="6"/>
  <c r="AS21" i="6"/>
  <c r="AX21" i="6"/>
  <c r="AA27" i="6"/>
  <c r="AF27" i="6"/>
  <c r="AG24" i="6"/>
  <c r="AB24" i="6"/>
  <c r="AG22" i="6"/>
  <c r="AB22" i="6"/>
  <c r="Z22" i="6"/>
  <c r="A24" i="1"/>
  <c r="AE11" i="6"/>
  <c r="Z11" i="6"/>
  <c r="A13" i="1"/>
  <c r="AE8" i="6"/>
  <c r="Z8" i="6"/>
  <c r="A10" i="1"/>
  <c r="AX7" i="6"/>
  <c r="AS7" i="6"/>
  <c r="AA6" i="6"/>
  <c r="Z6" i="6"/>
  <c r="A8" i="1"/>
  <c r="AF4" i="6"/>
  <c r="Z4" i="6"/>
  <c r="A6" i="1"/>
  <c r="AV24" i="6"/>
  <c r="AD18" i="6"/>
  <c r="AI18" i="6"/>
  <c r="AJ24" i="6"/>
  <c r="AO24" i="6"/>
  <c r="AB15" i="6"/>
  <c r="AG15" i="6"/>
  <c r="Z15" i="6"/>
  <c r="AS27" i="6"/>
  <c r="AN27" i="6"/>
  <c r="AX27" i="6"/>
  <c r="AK14" i="6"/>
  <c r="AN19" i="6"/>
  <c r="Z19" i="6"/>
  <c r="AH6" i="6"/>
  <c r="Z10" i="6"/>
  <c r="AS3" i="6"/>
  <c r="AM13" i="6"/>
  <c r="AT15" i="6"/>
  <c r="AK28" i="6"/>
  <c r="AV7" i="6"/>
  <c r="AN23" i="6"/>
  <c r="AN9" i="6"/>
  <c r="AC23" i="6"/>
  <c r="AX20" i="6"/>
  <c r="AA4" i="6"/>
  <c r="AM26" i="6"/>
  <c r="AR26" i="6"/>
  <c r="AW26" i="6"/>
  <c r="AR23" i="6"/>
  <c r="AM23" i="6"/>
  <c r="AG12" i="6"/>
  <c r="AB12" i="6"/>
  <c r="AP2" i="6"/>
  <c r="I36" i="6"/>
  <c r="I42" i="6"/>
  <c r="AK2" i="6"/>
  <c r="I35" i="6"/>
  <c r="I41" i="6"/>
  <c r="AS18" i="6"/>
  <c r="AN18" i="6"/>
  <c r="AS24" i="6"/>
  <c r="AN24" i="6"/>
  <c r="AO13" i="6"/>
  <c r="AJ13" i="6"/>
  <c r="AP9" i="6"/>
  <c r="AU9" i="6"/>
  <c r="AX5" i="6"/>
  <c r="AN5" i="6"/>
  <c r="M11" i="1"/>
  <c r="P11" i="1"/>
  <c r="S11" i="1"/>
  <c r="V11" i="1"/>
  <c r="Y11" i="1"/>
  <c r="AB11" i="1"/>
  <c r="AE11" i="1"/>
  <c r="AV28" i="6"/>
  <c r="AQ28" i="6"/>
  <c r="AD14" i="6"/>
  <c r="AI14" i="6"/>
  <c r="Z30" i="6"/>
  <c r="A32" i="1"/>
  <c r="AE20" i="1"/>
  <c r="AH20" i="1"/>
  <c r="AH25" i="1"/>
  <c r="AE10" i="1"/>
  <c r="AH10" i="1"/>
  <c r="AJ38" i="1"/>
  <c r="AJ23" i="6"/>
  <c r="AT23" i="6"/>
  <c r="AO23" i="6"/>
  <c r="AR22" i="6"/>
  <c r="AW22" i="6"/>
  <c r="AM22" i="6"/>
  <c r="V4" i="1"/>
  <c r="AQ23" i="6"/>
  <c r="AV23" i="6"/>
  <c r="AL23" i="6"/>
  <c r="AO6" i="6"/>
  <c r="AJ6" i="6"/>
  <c r="AT6" i="6"/>
  <c r="AS8" i="6"/>
  <c r="AS11" i="6"/>
  <c r="AS14" i="6"/>
  <c r="R36" i="6"/>
  <c r="R42" i="6"/>
  <c r="AN8" i="6"/>
  <c r="R45" i="6"/>
  <c r="AX8" i="6"/>
  <c r="AX11" i="6"/>
  <c r="AX14" i="6"/>
  <c r="R37" i="6"/>
  <c r="R43" i="6"/>
  <c r="AK22" i="6"/>
  <c r="AP22" i="6"/>
  <c r="AU22" i="6"/>
  <c r="AK6" i="6"/>
  <c r="AP6" i="6"/>
  <c r="AU6" i="6"/>
  <c r="AR19" i="6"/>
  <c r="AW19" i="6"/>
  <c r="AM19" i="6"/>
  <c r="AK12" i="6"/>
  <c r="AP12" i="6"/>
  <c r="AU12" i="6"/>
  <c r="AP15" i="6"/>
  <c r="AK15" i="6"/>
  <c r="AU15" i="6"/>
  <c r="AJ27" i="6"/>
  <c r="AT27" i="6"/>
  <c r="AO27" i="6"/>
  <c r="AV2" i="6"/>
  <c r="L37" i="6"/>
  <c r="L43" i="6"/>
  <c r="AQ2" i="6"/>
  <c r="L36" i="6"/>
  <c r="L42" i="6"/>
  <c r="AL2" i="6"/>
  <c r="L35" i="6"/>
  <c r="L41" i="6"/>
  <c r="L45" i="6"/>
  <c r="AU16" i="6"/>
  <c r="AK16" i="6"/>
  <c r="AP16" i="6"/>
  <c r="AR17" i="6"/>
  <c r="AW17" i="6"/>
  <c r="AM17" i="6"/>
  <c r="AW24" i="6"/>
  <c r="AM24" i="6"/>
  <c r="AR24" i="6"/>
  <c r="AO18" i="6"/>
  <c r="AT18" i="6"/>
  <c r="AJ18" i="6"/>
  <c r="M36" i="1"/>
  <c r="AM18" i="6"/>
  <c r="AW18" i="6"/>
  <c r="AR18" i="6"/>
  <c r="AK10" i="6"/>
  <c r="AP10" i="6"/>
  <c r="AU10" i="6"/>
  <c r="AM14" i="6"/>
  <c r="AW14" i="6"/>
  <c r="AR14" i="6"/>
  <c r="AJ4" i="6"/>
  <c r="F35" i="6"/>
  <c r="AT4" i="6"/>
  <c r="F37" i="6"/>
  <c r="F45" i="6"/>
  <c r="AO4" i="6"/>
  <c r="AN11" i="6"/>
  <c r="AN14" i="6"/>
  <c r="R35" i="6"/>
  <c r="R41" i="6"/>
  <c r="AP24" i="6"/>
  <c r="AK24" i="6"/>
  <c r="AU24" i="6"/>
  <c r="AU13" i="6"/>
  <c r="AK13" i="6"/>
  <c r="AP13" i="6"/>
  <c r="AQ27" i="6"/>
  <c r="AV27" i="6"/>
  <c r="AL27" i="6"/>
  <c r="P36" i="1"/>
  <c r="T35" i="6"/>
  <c r="F41" i="6"/>
  <c r="T41" i="6"/>
  <c r="F36" i="6"/>
  <c r="R47" i="6"/>
  <c r="R46" i="6"/>
  <c r="F43" i="6"/>
  <c r="T43" i="6"/>
  <c r="T37" i="6"/>
  <c r="F47" i="6"/>
  <c r="F46" i="6"/>
  <c r="F49" i="6"/>
  <c r="I49" i="6"/>
  <c r="L47" i="6"/>
  <c r="L46" i="6"/>
  <c r="Y4" i="1"/>
  <c r="V36" i="1"/>
  <c r="L49" i="6"/>
  <c r="O49" i="6"/>
  <c r="R49" i="6"/>
  <c r="AB4" i="1"/>
  <c r="Y36" i="1"/>
  <c r="T36" i="6"/>
  <c r="F42" i="6"/>
  <c r="T42" i="6"/>
  <c r="AE4" i="1"/>
  <c r="AB36" i="1"/>
  <c r="AH4" i="1"/>
  <c r="C22" i="1" l="1"/>
  <c r="A2" i="15"/>
  <c r="C22" i="12"/>
  <c r="C18" i="12"/>
  <c r="C14" i="12"/>
  <c r="C10" i="12"/>
  <c r="E11" i="1" s="1"/>
  <c r="C30" i="12"/>
  <c r="E31" i="1" s="1"/>
  <c r="C26" i="12"/>
  <c r="E27" i="1" s="1"/>
  <c r="C21" i="12"/>
  <c r="E22" i="1" s="1"/>
  <c r="C17" i="12"/>
  <c r="E18" i="1" s="1"/>
  <c r="C13" i="12"/>
  <c r="E14" i="1" s="1"/>
  <c r="C9" i="12"/>
  <c r="E10" i="1" s="1"/>
  <c r="C29" i="12"/>
  <c r="E30" i="1" s="1"/>
  <c r="C25" i="12"/>
  <c r="E26" i="1" s="1"/>
  <c r="E13" i="1"/>
  <c r="E24" i="1"/>
  <c r="E6" i="1"/>
  <c r="E4" i="1"/>
  <c r="O36" i="4"/>
  <c r="P36" i="4" s="1"/>
  <c r="O34" i="4"/>
  <c r="N34" i="4"/>
  <c r="C17" i="1"/>
  <c r="B16" i="12" s="1"/>
  <c r="C24" i="1"/>
  <c r="C19" i="1"/>
  <c r="B18" i="12" s="1"/>
  <c r="C21" i="1"/>
  <c r="B20" i="12" s="1"/>
  <c r="I44" i="1"/>
  <c r="G33" i="4"/>
  <c r="G35" i="4" s="1"/>
  <c r="S38" i="1" s="1"/>
  <c r="L44" i="1"/>
  <c r="C31" i="1"/>
  <c r="B30" i="12" s="1"/>
  <c r="C27" i="1"/>
  <c r="B26" i="12" s="1"/>
  <c r="C23" i="1"/>
  <c r="C15" i="1"/>
  <c r="C11" i="1"/>
  <c r="B10" i="12" s="1"/>
  <c r="C7" i="1"/>
  <c r="C30" i="1"/>
  <c r="C26" i="1"/>
  <c r="B25" i="12" s="1"/>
  <c r="C18" i="1"/>
  <c r="B17" i="12" s="1"/>
  <c r="C14" i="1"/>
  <c r="C10" i="1"/>
  <c r="B9" i="12" s="1"/>
  <c r="C6" i="1"/>
  <c r="B5" i="12" s="1"/>
  <c r="C29" i="1"/>
  <c r="C25" i="1"/>
  <c r="B24" i="12" s="1"/>
  <c r="C13" i="1"/>
  <c r="B12" i="12" s="1"/>
  <c r="C9" i="1"/>
  <c r="C32" i="1"/>
  <c r="C28" i="1"/>
  <c r="B27" i="12" s="1"/>
  <c r="C20" i="1"/>
  <c r="B19" i="12" s="1"/>
  <c r="C16" i="1"/>
  <c r="B15" i="12" s="1"/>
  <c r="C12" i="1"/>
  <c r="C8" i="1"/>
  <c r="B7" i="12" s="1"/>
  <c r="AG38" i="1"/>
  <c r="AD35" i="1"/>
  <c r="AD45" i="1" s="1"/>
  <c r="AD34" i="1" s="1"/>
  <c r="AD36" i="1"/>
  <c r="AD43" i="1"/>
  <c r="AA42" i="1"/>
  <c r="U43" i="1"/>
  <c r="AA37" i="1"/>
  <c r="O35" i="1"/>
  <c r="AA44" i="1"/>
  <c r="R44" i="1"/>
  <c r="O41" i="1"/>
  <c r="O37" i="1"/>
  <c r="U42" i="1"/>
  <c r="O40" i="1"/>
  <c r="O45" i="1" s="1"/>
  <c r="O34" i="1" s="1"/>
  <c r="R42" i="1"/>
  <c r="U37" i="1"/>
  <c r="U38" i="1"/>
  <c r="I39" i="1"/>
  <c r="AJ36" i="1"/>
  <c r="AD39" i="1"/>
  <c r="AD44" i="1"/>
  <c r="AA43" i="1"/>
  <c r="AA45" i="1" s="1"/>
  <c r="AA34" i="1" s="1"/>
  <c r="U35" i="1"/>
  <c r="R41" i="1"/>
  <c r="U41" i="1"/>
  <c r="U40" i="1"/>
  <c r="AA41" i="1"/>
  <c r="R36" i="1"/>
  <c r="O38" i="1"/>
  <c r="L38" i="1"/>
  <c r="L36" i="1"/>
  <c r="J33" i="4"/>
  <c r="AH32" i="1"/>
  <c r="AW32" i="1" s="1"/>
  <c r="AZ32" i="1" s="1"/>
  <c r="BC32" i="1" s="1"/>
  <c r="BF32" i="1" s="1"/>
  <c r="C5" i="1"/>
  <c r="E33" i="4"/>
  <c r="F33" i="4"/>
  <c r="F35" i="4" s="1"/>
  <c r="AJ39" i="1"/>
  <c r="X37" i="1"/>
  <c r="X44" i="1"/>
  <c r="X35" i="1"/>
  <c r="I41" i="1"/>
  <c r="I35" i="1"/>
  <c r="AH31" i="1"/>
  <c r="AW31" i="1" s="1"/>
  <c r="AZ31" i="1" s="1"/>
  <c r="BC31" i="1" s="1"/>
  <c r="BF31" i="1" s="1"/>
  <c r="I33" i="4"/>
  <c r="AJ40" i="1"/>
  <c r="X36" i="1"/>
  <c r="AG41" i="1"/>
  <c r="AJ37" i="1"/>
  <c r="X38" i="1"/>
  <c r="I38" i="1"/>
  <c r="I36" i="1"/>
  <c r="J28" i="1"/>
  <c r="J36" i="1" s="1"/>
  <c r="D33" i="4"/>
  <c r="E35" i="4"/>
  <c r="M38" i="1" s="1"/>
  <c r="I35" i="4"/>
  <c r="Y38" i="1" s="1"/>
  <c r="J35" i="4"/>
  <c r="AB38" i="1" s="1"/>
  <c r="C38" i="1" s="1"/>
  <c r="AJ43" i="1"/>
  <c r="AJ41" i="1"/>
  <c r="AJ42" i="1"/>
  <c r="G34" i="4"/>
  <c r="AG37" i="1"/>
  <c r="AG45" i="1" s="1"/>
  <c r="AG34" i="1" s="1"/>
  <c r="AG40" i="1"/>
  <c r="AG42" i="1"/>
  <c r="X41" i="1"/>
  <c r="X43" i="1"/>
  <c r="L43" i="1"/>
  <c r="I37" i="1"/>
  <c r="I42" i="1"/>
  <c r="L40" i="1"/>
  <c r="I43" i="1"/>
  <c r="C28" i="4"/>
  <c r="C33" i="4" s="1"/>
  <c r="L28" i="4"/>
  <c r="H28" i="4"/>
  <c r="H33" i="4" s="1"/>
  <c r="K30" i="4"/>
  <c r="AY45" i="1"/>
  <c r="AY34" i="1" s="1"/>
  <c r="AJ44" i="1"/>
  <c r="AG44" i="1"/>
  <c r="X40" i="1"/>
  <c r="L35" i="1"/>
  <c r="L42" i="1"/>
  <c r="L41" i="1"/>
  <c r="I40" i="1"/>
  <c r="B3" i="12"/>
  <c r="BB45" i="1"/>
  <c r="BB34" i="1" s="1"/>
  <c r="E23" i="1"/>
  <c r="E19" i="1"/>
  <c r="E15" i="1"/>
  <c r="E7" i="1"/>
  <c r="AV45" i="1"/>
  <c r="AV34" i="1" s="1"/>
  <c r="C36" i="1"/>
  <c r="AS45" i="1"/>
  <c r="AS34" i="1" s="1"/>
  <c r="B21" i="12"/>
  <c r="E32" i="1"/>
  <c r="E28" i="1"/>
  <c r="E5" i="1"/>
  <c r="E21" i="1"/>
  <c r="AP45" i="1"/>
  <c r="AP34" i="1" s="1"/>
  <c r="E16" i="1"/>
  <c r="AM45" i="1"/>
  <c r="AM34" i="1" s="1"/>
  <c r="E20" i="1"/>
  <c r="E12" i="1"/>
  <c r="E8" i="1"/>
  <c r="E29" i="1"/>
  <c r="E17" i="1"/>
  <c r="E9" i="1"/>
  <c r="E25" i="1"/>
  <c r="P38" i="1" l="1"/>
  <c r="F34" i="4"/>
  <c r="I34" i="4"/>
  <c r="R45" i="1"/>
  <c r="R34" i="1" s="1"/>
  <c r="U45" i="1"/>
  <c r="U34" i="1" s="1"/>
  <c r="X45" i="1"/>
  <c r="X34" i="1" s="1"/>
  <c r="C16" i="13"/>
  <c r="I45" i="1"/>
  <c r="I34" i="1" s="1"/>
  <c r="AJ45" i="1"/>
  <c r="AJ34" i="1" s="1"/>
  <c r="L33" i="4"/>
  <c r="S28" i="1"/>
  <c r="S36" i="1" s="1"/>
  <c r="C35" i="4"/>
  <c r="C34" i="4" s="1"/>
  <c r="AH28" i="1"/>
  <c r="D35" i="4"/>
  <c r="J38" i="1" s="1"/>
  <c r="E19" i="13"/>
  <c r="L8" i="13"/>
  <c r="L45" i="1"/>
  <c r="L34" i="1" s="1"/>
  <c r="AE30" i="1"/>
  <c r="K33" i="4"/>
  <c r="J34" i="4"/>
  <c r="B24" i="13"/>
  <c r="H35" i="4"/>
  <c r="V38" i="1" s="1"/>
  <c r="E34" i="4"/>
  <c r="M14" i="13"/>
  <c r="C17" i="13"/>
  <c r="B18" i="13"/>
  <c r="L18" i="13"/>
  <c r="M29" i="13"/>
  <c r="G24" i="13"/>
  <c r="I25" i="13"/>
  <c r="I20" i="13"/>
  <c r="I2" i="13"/>
  <c r="C24" i="13"/>
  <c r="H19" i="13"/>
  <c r="B2" i="13"/>
  <c r="D2" i="13"/>
  <c r="K2" i="13"/>
  <c r="K24" i="13"/>
  <c r="G2" i="13"/>
  <c r="L4" i="13"/>
  <c r="L2" i="13"/>
  <c r="F11" i="13"/>
  <c r="L24" i="13"/>
  <c r="B9" i="13"/>
  <c r="M2" i="13"/>
  <c r="K4" i="13"/>
  <c r="E17" i="13"/>
  <c r="D24" i="13"/>
  <c r="J18" i="13"/>
  <c r="B14" i="13"/>
  <c r="C4" i="13"/>
  <c r="F2" i="13"/>
  <c r="H24" i="13"/>
  <c r="J2" i="13"/>
  <c r="C18" i="13"/>
  <c r="G19" i="13"/>
  <c r="C2" i="13"/>
  <c r="E2" i="13"/>
  <c r="H2" i="13"/>
  <c r="F24" i="13"/>
  <c r="I6" i="13"/>
  <c r="G9" i="13"/>
  <c r="E15" i="13"/>
  <c r="E29" i="13"/>
  <c r="B15" i="13"/>
  <c r="D15" i="13"/>
  <c r="C9" i="13"/>
  <c r="H16" i="13"/>
  <c r="H9" i="13"/>
  <c r="M15" i="13"/>
  <c r="I9" i="13"/>
  <c r="I24" i="13"/>
  <c r="K18" i="13"/>
  <c r="H20" i="13"/>
  <c r="L19" i="13"/>
  <c r="M18" i="13"/>
  <c r="M24" i="13"/>
  <c r="M19" i="13"/>
  <c r="C15" i="13"/>
  <c r="J24" i="13"/>
  <c r="E24" i="13"/>
  <c r="H18" i="13"/>
  <c r="F19" i="13"/>
  <c r="E11" i="13"/>
  <c r="F16" i="13"/>
  <c r="D9" i="13"/>
  <c r="H15" i="13"/>
  <c r="L9" i="13"/>
  <c r="K9" i="13"/>
  <c r="I18" i="13"/>
  <c r="F18" i="13"/>
  <c r="C19" i="13"/>
  <c r="B19" i="13"/>
  <c r="D19" i="13"/>
  <c r="E9" i="13"/>
  <c r="K16" i="13"/>
  <c r="D20" i="13"/>
  <c r="F20" i="13"/>
  <c r="J19" i="13"/>
  <c r="J9" i="13"/>
  <c r="M9" i="13"/>
  <c r="F9" i="13"/>
  <c r="E18" i="13"/>
  <c r="G18" i="13"/>
  <c r="I19" i="13"/>
  <c r="K19" i="13"/>
  <c r="D18" i="13"/>
  <c r="G16" i="13"/>
  <c r="J29" i="13"/>
  <c r="E16" i="13"/>
  <c r="K23" i="13"/>
  <c r="E20" i="13"/>
  <c r="L20" i="13"/>
  <c r="K25" i="13"/>
  <c r="D16" i="13"/>
  <c r="M20" i="13"/>
  <c r="B29" i="12"/>
  <c r="J23" i="13"/>
  <c r="J20" i="13"/>
  <c r="B20" i="13"/>
  <c r="K20" i="13"/>
  <c r="C20" i="13"/>
  <c r="G20" i="13"/>
  <c r="E23" i="13"/>
  <c r="D17" i="13"/>
  <c r="E6" i="13"/>
  <c r="D14" i="13"/>
  <c r="E14" i="13"/>
  <c r="D4" i="13"/>
  <c r="F29" i="13"/>
  <c r="H4" i="13"/>
  <c r="I8" i="13"/>
  <c r="M4" i="13"/>
  <c r="I17" i="13"/>
  <c r="B17" i="13"/>
  <c r="G17" i="13"/>
  <c r="B6" i="13"/>
  <c r="L14" i="13"/>
  <c r="C14" i="13"/>
  <c r="K14" i="13"/>
  <c r="E4" i="13"/>
  <c r="B4" i="13"/>
  <c r="G4" i="13"/>
  <c r="H8" i="13"/>
  <c r="L16" i="13"/>
  <c r="B16" i="13"/>
  <c r="F17" i="13"/>
  <c r="C29" i="13"/>
  <c r="G14" i="13"/>
  <c r="L17" i="13"/>
  <c r="K11" i="13"/>
  <c r="F4" i="13"/>
  <c r="K17" i="13"/>
  <c r="H17" i="13"/>
  <c r="J17" i="13"/>
  <c r="F14" i="13"/>
  <c r="J14" i="13"/>
  <c r="H25" i="13"/>
  <c r="M17" i="13"/>
  <c r="I4" i="13"/>
  <c r="B8" i="13"/>
  <c r="J16" i="13"/>
  <c r="I16" i="13"/>
  <c r="G29" i="13"/>
  <c r="J4" i="13"/>
  <c r="H14" i="13"/>
  <c r="I14" i="13"/>
  <c r="G11" i="13"/>
  <c r="K29" i="13"/>
  <c r="H29" i="13"/>
  <c r="D29" i="13"/>
  <c r="B29" i="13"/>
  <c r="M11" i="13"/>
  <c r="L29" i="13"/>
  <c r="I29" i="13"/>
  <c r="D6" i="13"/>
  <c r="C23" i="13"/>
  <c r="F23" i="13"/>
  <c r="L25" i="13"/>
  <c r="D25" i="13"/>
  <c r="K8" i="13"/>
  <c r="E8" i="13"/>
  <c r="C8" i="13"/>
  <c r="C6" i="13"/>
  <c r="L23" i="13"/>
  <c r="B23" i="13"/>
  <c r="M23" i="13"/>
  <c r="G25" i="13"/>
  <c r="C25" i="13"/>
  <c r="D8" i="13"/>
  <c r="F8" i="13"/>
  <c r="M8" i="13"/>
  <c r="G6" i="13"/>
  <c r="I23" i="13"/>
  <c r="J8" i="13"/>
  <c r="G8" i="13"/>
  <c r="M16" i="13"/>
  <c r="L6" i="13"/>
  <c r="J6" i="13"/>
  <c r="K6" i="13"/>
  <c r="M6" i="13"/>
  <c r="H6" i="13"/>
  <c r="F6" i="13"/>
  <c r="B11" i="13"/>
  <c r="I11" i="13"/>
  <c r="C11" i="13"/>
  <c r="L11" i="13"/>
  <c r="H11" i="13"/>
  <c r="D11" i="13"/>
  <c r="J11" i="13"/>
  <c r="H23" i="13"/>
  <c r="D23" i="13"/>
  <c r="G23" i="13"/>
  <c r="E25" i="13"/>
  <c r="F25" i="13"/>
  <c r="B25" i="13"/>
  <c r="M25" i="13"/>
  <c r="J25" i="13"/>
  <c r="F15" i="13"/>
  <c r="G15" i="13"/>
  <c r="J15" i="13"/>
  <c r="K15" i="13"/>
  <c r="L15" i="13"/>
  <c r="I15" i="13"/>
  <c r="G3" i="13"/>
  <c r="L3" i="13"/>
  <c r="C3" i="13"/>
  <c r="F3" i="13"/>
  <c r="B4" i="12"/>
  <c r="K3" i="13"/>
  <c r="H3" i="13"/>
  <c r="I3" i="13"/>
  <c r="D3" i="13"/>
  <c r="J3" i="13"/>
  <c r="B3" i="13"/>
  <c r="E3" i="13"/>
  <c r="M3" i="13"/>
  <c r="B27" i="13"/>
  <c r="I27" i="13"/>
  <c r="J27" i="13"/>
  <c r="C27" i="13"/>
  <c r="M27" i="13"/>
  <c r="E27" i="13"/>
  <c r="F27" i="13"/>
  <c r="H27" i="13"/>
  <c r="K27" i="13"/>
  <c r="D27" i="13"/>
  <c r="L27" i="13"/>
  <c r="B28" i="12"/>
  <c r="G27" i="13"/>
  <c r="B23" i="12"/>
  <c r="C22" i="13"/>
  <c r="D22" i="13"/>
  <c r="E22" i="13"/>
  <c r="K22" i="13"/>
  <c r="B22" i="13"/>
  <c r="J22" i="13"/>
  <c r="F22" i="13"/>
  <c r="M22" i="13"/>
  <c r="H22" i="13"/>
  <c r="G22" i="13"/>
  <c r="I22" i="13"/>
  <c r="L22" i="13"/>
  <c r="H12" i="13"/>
  <c r="B12" i="13"/>
  <c r="B13" i="12"/>
  <c r="I12" i="13"/>
  <c r="G12" i="13"/>
  <c r="M12" i="13"/>
  <c r="E12" i="13"/>
  <c r="C12" i="13"/>
  <c r="D12" i="13"/>
  <c r="F12" i="13"/>
  <c r="L12" i="13"/>
  <c r="K12" i="13"/>
  <c r="J12" i="13"/>
  <c r="H7" i="13"/>
  <c r="F7" i="13"/>
  <c r="B7" i="13"/>
  <c r="B8" i="12"/>
  <c r="E7" i="13"/>
  <c r="I7" i="13"/>
  <c r="K7" i="13"/>
  <c r="C7" i="13"/>
  <c r="D7" i="13"/>
  <c r="G7" i="13"/>
  <c r="M7" i="13"/>
  <c r="L7" i="13"/>
  <c r="J7" i="13"/>
  <c r="B14" i="12"/>
  <c r="E13" i="13"/>
  <c r="J13" i="13"/>
  <c r="K13" i="13"/>
  <c r="G13" i="13"/>
  <c r="D13" i="13"/>
  <c r="H13" i="13"/>
  <c r="M13" i="13"/>
  <c r="C13" i="13"/>
  <c r="I13" i="13"/>
  <c r="L13" i="13"/>
  <c r="B13" i="13"/>
  <c r="F13" i="13"/>
  <c r="K21" i="13"/>
  <c r="B22" i="12"/>
  <c r="J21" i="13"/>
  <c r="G21" i="13"/>
  <c r="M21" i="13"/>
  <c r="I21" i="13"/>
  <c r="H21" i="13"/>
  <c r="B21" i="13"/>
  <c r="D21" i="13"/>
  <c r="E21" i="13"/>
  <c r="L21" i="13"/>
  <c r="C21" i="13"/>
  <c r="F21" i="13"/>
  <c r="L10" i="13"/>
  <c r="I10" i="13"/>
  <c r="D10" i="13"/>
  <c r="E10" i="13"/>
  <c r="H10" i="13"/>
  <c r="B10" i="13"/>
  <c r="C10" i="13"/>
  <c r="B11" i="12"/>
  <c r="G10" i="13"/>
  <c r="K10" i="13"/>
  <c r="M10" i="13"/>
  <c r="F10" i="13"/>
  <c r="J10" i="13"/>
  <c r="B5" i="13"/>
  <c r="L5" i="13"/>
  <c r="B6" i="12"/>
  <c r="E5" i="13"/>
  <c r="I5" i="13"/>
  <c r="M5" i="13"/>
  <c r="F5" i="13"/>
  <c r="G5" i="13"/>
  <c r="H5" i="13"/>
  <c r="J5" i="13"/>
  <c r="K5" i="13"/>
  <c r="C5" i="13"/>
  <c r="D5" i="13"/>
  <c r="K30" i="13"/>
  <c r="I30" i="13"/>
  <c r="D30" i="13"/>
  <c r="B31" i="12"/>
  <c r="G30" i="13"/>
  <c r="L30" i="13"/>
  <c r="E30" i="13"/>
  <c r="H30" i="13"/>
  <c r="C30" i="13"/>
  <c r="F30" i="13"/>
  <c r="J30" i="13"/>
  <c r="M30" i="13"/>
  <c r="B30" i="13"/>
  <c r="H34" i="4" l="1"/>
  <c r="K35" i="4"/>
  <c r="AE38" i="1" s="1"/>
  <c r="K34" i="4"/>
  <c r="AH30" i="1"/>
  <c r="AE36" i="1"/>
  <c r="D34" i="4"/>
  <c r="C36" i="4"/>
  <c r="G38" i="1"/>
  <c r="L35" i="4"/>
  <c r="AH38" i="1" s="1"/>
  <c r="D36" i="4" l="1"/>
  <c r="G35" i="1"/>
  <c r="G37" i="1" s="1"/>
  <c r="AK36" i="1"/>
  <c r="AK37" i="1" s="1"/>
  <c r="L34" i="4"/>
  <c r="AH36" i="1"/>
  <c r="E36" i="4" l="1"/>
  <c r="J35" i="1"/>
  <c r="J37" i="1" s="1"/>
  <c r="AN36" i="1" l="1"/>
  <c r="AN37" i="1" s="1"/>
  <c r="F36" i="4"/>
  <c r="M35" i="1"/>
  <c r="M37" i="1" s="1"/>
  <c r="AQ36" i="1"/>
  <c r="AQ37" i="1" s="1"/>
  <c r="G36" i="4" l="1"/>
  <c r="P35" i="1"/>
  <c r="P37" i="1" s="1"/>
  <c r="AW28" i="1"/>
  <c r="AT36" i="1"/>
  <c r="AT37" i="1" s="1"/>
  <c r="AZ28" i="1" l="1"/>
  <c r="AW30" i="1"/>
  <c r="AW36" i="1" s="1"/>
  <c r="AW37" i="1" s="1"/>
  <c r="H36" i="4"/>
  <c r="S35" i="1"/>
  <c r="S37" i="1" s="1"/>
  <c r="AZ30" i="1" l="1"/>
  <c r="V35" i="1"/>
  <c r="V37" i="1" s="1"/>
  <c r="I36" i="4"/>
  <c r="BC28" i="1"/>
  <c r="AZ36" i="1"/>
  <c r="AZ37" i="1" s="1"/>
  <c r="BF28" i="1" l="1"/>
  <c r="G26" i="13"/>
  <c r="M26" i="13"/>
  <c r="B26" i="13"/>
  <c r="C26" i="13"/>
  <c r="J26" i="13"/>
  <c r="L26" i="13"/>
  <c r="J36" i="4"/>
  <c r="Y35" i="1"/>
  <c r="E26" i="13"/>
  <c r="BC30" i="1"/>
  <c r="BF30" i="1" l="1"/>
  <c r="B28" i="13" s="1"/>
  <c r="M28" i="13"/>
  <c r="Y37" i="1"/>
  <c r="BC36" i="1"/>
  <c r="BC37" i="1" s="1"/>
  <c r="K36" i="4"/>
  <c r="AB35" i="1"/>
  <c r="H26" i="13"/>
  <c r="I26" i="13"/>
  <c r="K26" i="13"/>
  <c r="F26" i="13"/>
  <c r="D26" i="13"/>
  <c r="L28" i="13" l="1"/>
  <c r="E28" i="13"/>
  <c r="F28" i="13"/>
  <c r="K28" i="13"/>
  <c r="I28" i="13"/>
  <c r="BF36" i="1"/>
  <c r="BF37" i="1" s="1"/>
  <c r="G28" i="13"/>
  <c r="AB37" i="1"/>
  <c r="C35" i="1"/>
  <c r="C37" i="1"/>
  <c r="AE35" i="1"/>
  <c r="AE37" i="1" s="1"/>
  <c r="L36" i="4"/>
  <c r="AH35" i="1" s="1"/>
  <c r="AH37" i="1" s="1"/>
  <c r="D28" i="13"/>
  <c r="J28" i="13"/>
  <c r="H28" i="13"/>
  <c r="C28" i="13"/>
</calcChain>
</file>

<file path=xl/comments1.xml><?xml version="1.0" encoding="utf-8"?>
<comments xmlns="http://schemas.openxmlformats.org/spreadsheetml/2006/main">
  <authors>
    <author>ROUGEOT Steven SGT</author>
  </authors>
  <commentList>
    <comment ref="F2" authorId="0" shapeId="0">
      <text>
        <r>
          <rPr>
            <b/>
            <sz val="9"/>
            <color indexed="81"/>
            <rFont val="Tahoma"/>
            <charset val="1"/>
          </rPr>
          <t xml:space="preserve">ATTENOT
</t>
        </r>
      </text>
    </comment>
  </commentList>
</comments>
</file>

<file path=xl/sharedStrings.xml><?xml version="1.0" encoding="utf-8"?>
<sst xmlns="http://schemas.openxmlformats.org/spreadsheetml/2006/main" count="1166" uniqueCount="95">
  <si>
    <t>NOMS</t>
  </si>
  <si>
    <t>CHOCOLAT</t>
  </si>
  <si>
    <t>PATES LORRAIN</t>
  </si>
  <si>
    <t>N/P</t>
  </si>
  <si>
    <t>CROISSANT</t>
  </si>
  <si>
    <t>LECOMTE</t>
  </si>
  <si>
    <t>PATISSERIE</t>
  </si>
  <si>
    <t>PATES</t>
  </si>
  <si>
    <t>FORFAIT</t>
  </si>
  <si>
    <t xml:space="preserve">NB PATES </t>
  </si>
  <si>
    <t>SANS REMISE</t>
  </si>
  <si>
    <t>NB CROISSANT</t>
  </si>
  <si>
    <t xml:space="preserve"> AVEC REMISE</t>
  </si>
  <si>
    <t>NB CHOCOLAT</t>
  </si>
  <si>
    <t>BENEFICES</t>
  </si>
  <si>
    <t>INVENTAIRE</t>
  </si>
  <si>
    <t>P</t>
  </si>
  <si>
    <t>ZZ</t>
  </si>
  <si>
    <t>GENERAL</t>
  </si>
  <si>
    <t>PRESENT</t>
  </si>
  <si>
    <t>NONPRESENT</t>
  </si>
  <si>
    <t>=</t>
  </si>
  <si>
    <t>SUPP CONFIS</t>
  </si>
  <si>
    <t>NB PATES SUPP</t>
  </si>
  <si>
    <t>NB CROI SUPP</t>
  </si>
  <si>
    <t>NB CHO SUPP</t>
  </si>
  <si>
    <t xml:space="preserve">TOTAL PATES </t>
  </si>
  <si>
    <t>TOTAL CROISSANT</t>
  </si>
  <si>
    <t>TOTAL CHOCOLAT</t>
  </si>
  <si>
    <t>SUPP</t>
  </si>
  <si>
    <t xml:space="preserve">1 er semaine       1 er semaine       </t>
  </si>
  <si>
    <t xml:space="preserve">2 ème semaine      2 ème semaine      </t>
  </si>
  <si>
    <t xml:space="preserve">3 ème semaine      3 ème semaine   </t>
  </si>
  <si>
    <t xml:space="preserve">5 ème semaine      5 ème semaine          </t>
  </si>
  <si>
    <t xml:space="preserve">4 ème semaine      4 ème semaine     </t>
  </si>
  <si>
    <t>NON PRESENT</t>
  </si>
  <si>
    <t>PRESENCE</t>
  </si>
  <si>
    <t>PRESENT MOIS</t>
  </si>
  <si>
    <t>NON PRESENT MOIS</t>
  </si>
  <si>
    <t>N/C</t>
  </si>
  <si>
    <t>DONNER</t>
  </si>
  <si>
    <t>3 eme semaine</t>
  </si>
  <si>
    <t>CONF</t>
  </si>
  <si>
    <t>1 ere semaine</t>
  </si>
  <si>
    <t>2 eme semaine</t>
  </si>
  <si>
    <t>4 eme semaine</t>
  </si>
  <si>
    <t>5 eme semaine</t>
  </si>
  <si>
    <t>billet</t>
  </si>
  <si>
    <t>TOTAL</t>
  </si>
  <si>
    <t>OCTOBRE</t>
  </si>
  <si>
    <t>rest</t>
  </si>
  <si>
    <t>total</t>
  </si>
  <si>
    <t>RICHARD</t>
  </si>
  <si>
    <t>PISANI</t>
  </si>
  <si>
    <t>N/D</t>
  </si>
  <si>
    <t>NOVEMBRE</t>
  </si>
  <si>
    <t>DECEMBRE</t>
  </si>
  <si>
    <t>CREDIT</t>
  </si>
  <si>
    <t>JOUR</t>
  </si>
  <si>
    <t>VENNOISERIE</t>
  </si>
  <si>
    <t>CROI BEURRE</t>
  </si>
  <si>
    <t>CROI NUTELLA</t>
  </si>
  <si>
    <t>CROI FRAMBOISES</t>
  </si>
  <si>
    <t>CROI CHOCOLAT</t>
  </si>
  <si>
    <t>ESCA CHOCOLAT</t>
  </si>
  <si>
    <t>PAIN CHOCOLAT</t>
  </si>
  <si>
    <t>PATES  POULET</t>
  </si>
  <si>
    <t>CROI AMANDES</t>
  </si>
  <si>
    <t>BAESA Cédric</t>
  </si>
  <si>
    <t>BALZAN Geoffrey</t>
  </si>
  <si>
    <t>BAUMGARTEN Thomas</t>
  </si>
  <si>
    <t>BOUCHET Olivier</t>
  </si>
  <si>
    <t>CIESILSKI Julien</t>
  </si>
  <si>
    <t>CALGARO Guillaume</t>
  </si>
  <si>
    <t>CHENET Johan</t>
  </si>
  <si>
    <t>CHEVALIN Marvin</t>
  </si>
  <si>
    <t>COLAS Éric</t>
  </si>
  <si>
    <t>COLLIER Thomas</t>
  </si>
  <si>
    <t>CUADRADO François</t>
  </si>
  <si>
    <t>DODET Boris</t>
  </si>
  <si>
    <t>ADJ DESPORTES</t>
  </si>
  <si>
    <t>ESPOSITO Marco</t>
  </si>
  <si>
    <t>LABAUDINIERE Julien</t>
  </si>
  <si>
    <t>LEQUEUX Amélien</t>
  </si>
  <si>
    <t>MANARANCHE Julien</t>
  </si>
  <si>
    <t>ROUGEOT Steven</t>
  </si>
  <si>
    <t>MINIAMA Yohan</t>
  </si>
  <si>
    <t xml:space="preserve"> ATTENOT adc </t>
  </si>
  <si>
    <t xml:space="preserve"> DUBUC Major</t>
  </si>
  <si>
    <t>S/7</t>
  </si>
  <si>
    <t>S</t>
  </si>
  <si>
    <t>28/09-04/10</t>
  </si>
  <si>
    <t>05/10-11/10</t>
  </si>
  <si>
    <t>N/E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</si>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</sst>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-* #,##0.00\ &quot;€&quot;_-;\-* #,##0.00\ &quot;€&quot;_-;_-* &quot;-&quot;??\ &quot;€&quot;_-;_-@_-"/>
    <numFmt numFmtId="164" formatCode="#,##0.00\ &quot;€&quot;"/>
    <numFmt numFmtId="165" formatCode="0&quot; pâté&quot;"/>
    <numFmt numFmtId="166" formatCode="0&quot; croissant&quot;"/>
    <numFmt numFmtId="167" formatCode="0&quot; chocolat&quot;"/>
    <numFmt numFmtId="168" formatCode="0&quot; fois&quot;"/>
    <numFmt numFmtId="169" formatCode="[$-40C]d\-mmm;@"/>
    <numFmt numFmtId="170" formatCode="0.0&quot; croissant&quot;"/>
    <numFmt numFmtId="171" formatCode="0.0&quot; chocolat&quot;"/>
    <numFmt numFmtId="172" formatCode="0.0&quot; pâté&quot;"/>
    <numFmt numFmtId="173" formatCode="[$-F800]dddd\,\ mmmm\ dd\,\ yyyy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b/>
      <sz val="9"/>
      <color indexed="81"/>
      <name val="Tahoma"/>
      <charset val="1"/>
    </font>
    <font>
      <sz val="14"/>
      <color theme="1"/>
      <name val="Sitka Banner"/>
    </font>
    <font>
      <sz val="11"/>
      <color theme="1" tint="0.1499984740745262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8"/>
      <name val="Calibri"/>
      <family val="2"/>
      <scheme val="minor"/>
    </font>
    <font>
      <sz val="12"/>
      <color rgb="FF00B0F0"/>
      <name val="Calibri"/>
      <family val="2"/>
      <scheme val="minor"/>
    </font>
    <font>
      <sz val="12"/>
      <color theme="6" tint="-0.249977111117893"/>
      <name val="Calibri"/>
      <family val="2"/>
      <scheme val="minor"/>
    </font>
    <font>
      <sz val="12"/>
      <color rgb="FF00990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 tint="0.1499984740745262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0" tint="-0.14999847407452621"/>
      <name val="Calibri"/>
      <family val="2"/>
      <scheme val="minor"/>
    </font>
  </fonts>
  <fills count="4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7030A0"/>
        <bgColor indexed="64"/>
      </patternFill>
    </fill>
    <fill>
      <patternFill patternType="lightUp">
        <fgColor rgb="FFECF10F"/>
        <bgColor rgb="FFFFFF66"/>
      </patternFill>
    </fill>
    <fill>
      <patternFill patternType="solid">
        <fgColor rgb="FFEB433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749992370372631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double">
        <color indexed="64"/>
      </bottom>
      <diagonal/>
    </border>
    <border>
      <left/>
      <right style="thick">
        <color indexed="64"/>
      </right>
      <top style="double">
        <color indexed="64"/>
      </top>
      <bottom style="double">
        <color indexed="64"/>
      </bottom>
      <diagonal/>
    </border>
    <border>
      <left/>
      <right style="thick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" fillId="15" borderId="0" applyNumberFormat="0" applyBorder="0" applyAlignment="0" applyProtection="0"/>
    <xf numFmtId="0" fontId="21" fillId="0" borderId="0" applyNumberFormat="0" applyFill="0" applyBorder="0" applyAlignment="0" applyProtection="0"/>
    <xf numFmtId="0" fontId="25" fillId="0" borderId="71" applyNumberFormat="0" applyFill="0" applyAlignment="0" applyProtection="0"/>
    <xf numFmtId="0" fontId="26" fillId="0" borderId="72" applyNumberFormat="0" applyFill="0" applyAlignment="0" applyProtection="0"/>
  </cellStyleXfs>
  <cellXfs count="35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44" fontId="1" fillId="6" borderId="1" xfId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/>
    </xf>
    <xf numFmtId="44" fontId="1" fillId="7" borderId="1" xfId="1" applyFill="1" applyBorder="1" applyAlignment="1">
      <alignment horizontal="center" vertical="center"/>
    </xf>
    <xf numFmtId="44" fontId="1" fillId="0" borderId="1" xfId="1" applyNumberFormat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0" applyFont="1"/>
    <xf numFmtId="0" fontId="0" fillId="0" borderId="2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44" fontId="1" fillId="6" borderId="5" xfId="1" applyFill="1" applyBorder="1" applyAlignment="1">
      <alignment horizontal="center" vertical="center"/>
    </xf>
    <xf numFmtId="11" fontId="0" fillId="0" borderId="0" xfId="0" applyNumberFormat="1" applyAlignment="1">
      <alignment horizontal="center"/>
    </xf>
    <xf numFmtId="11" fontId="0" fillId="0" borderId="0" xfId="0" applyNumberFormat="1" applyBorder="1" applyAlignment="1">
      <alignment horizontal="center"/>
    </xf>
    <xf numFmtId="0" fontId="4" fillId="0" borderId="0" xfId="0" applyFont="1" applyAlignment="1">
      <alignment horizontal="center"/>
    </xf>
    <xf numFmtId="166" fontId="4" fillId="13" borderId="1" xfId="0" applyNumberFormat="1" applyFont="1" applyFill="1" applyBorder="1" applyAlignment="1">
      <alignment horizontal="center"/>
    </xf>
    <xf numFmtId="165" fontId="4" fillId="13" borderId="13" xfId="0" applyNumberFormat="1" applyFont="1" applyFill="1" applyBorder="1" applyAlignment="1">
      <alignment horizontal="center"/>
    </xf>
    <xf numFmtId="165" fontId="4" fillId="13" borderId="14" xfId="0" applyNumberFormat="1" applyFont="1" applyFill="1" applyBorder="1" applyAlignment="1">
      <alignment horizontal="center"/>
    </xf>
    <xf numFmtId="165" fontId="4" fillId="13" borderId="15" xfId="0" applyNumberFormat="1" applyFont="1" applyFill="1" applyBorder="1" applyAlignment="1">
      <alignment horizontal="center"/>
    </xf>
    <xf numFmtId="166" fontId="4" fillId="13" borderId="6" xfId="0" applyNumberFormat="1" applyFont="1" applyFill="1" applyBorder="1" applyAlignment="1">
      <alignment horizontal="center"/>
    </xf>
    <xf numFmtId="166" fontId="4" fillId="13" borderId="7" xfId="0" applyNumberFormat="1" applyFont="1" applyFill="1" applyBorder="1" applyAlignment="1">
      <alignment horizontal="center"/>
    </xf>
    <xf numFmtId="167" fontId="4" fillId="13" borderId="8" xfId="0" applyNumberFormat="1" applyFont="1" applyFill="1" applyBorder="1" applyAlignment="1">
      <alignment horizontal="center"/>
    </xf>
    <xf numFmtId="167" fontId="4" fillId="13" borderId="16" xfId="0" applyNumberFormat="1" applyFont="1" applyFill="1" applyBorder="1" applyAlignment="1">
      <alignment horizontal="center"/>
    </xf>
    <xf numFmtId="167" fontId="4" fillId="13" borderId="9" xfId="0" applyNumberFormat="1" applyFont="1" applyFill="1" applyBorder="1" applyAlignment="1">
      <alignment horizontal="center"/>
    </xf>
    <xf numFmtId="16" fontId="0" fillId="16" borderId="14" xfId="0" applyNumberFormat="1" applyFill="1" applyBorder="1" applyAlignment="1">
      <alignment horizontal="center"/>
    </xf>
    <xf numFmtId="0" fontId="0" fillId="16" borderId="14" xfId="0" applyFill="1" applyBorder="1" applyAlignment="1">
      <alignment horizontal="center"/>
    </xf>
    <xf numFmtId="16" fontId="0" fillId="16" borderId="18" xfId="0" applyNumberFormat="1" applyFill="1" applyBorder="1" applyAlignment="1">
      <alignment horizontal="center"/>
    </xf>
    <xf numFmtId="0" fontId="0" fillId="16" borderId="19" xfId="0" applyFill="1" applyBorder="1" applyAlignment="1" applyProtection="1">
      <alignment horizontal="center"/>
      <protection locked="0"/>
    </xf>
    <xf numFmtId="16" fontId="0" fillId="16" borderId="20" xfId="0" applyNumberFormat="1" applyFill="1" applyBorder="1" applyAlignment="1" applyProtection="1">
      <alignment horizontal="center"/>
      <protection locked="0"/>
    </xf>
    <xf numFmtId="0" fontId="0" fillId="16" borderId="21" xfId="0" applyFill="1" applyBorder="1" applyAlignment="1" applyProtection="1">
      <alignment horizontal="center"/>
      <protection locked="0"/>
    </xf>
    <xf numFmtId="11" fontId="0" fillId="0" borderId="0" xfId="0" applyNumberFormat="1" applyBorder="1" applyAlignment="1">
      <alignment horizontal="center" textRotation="255"/>
    </xf>
    <xf numFmtId="0" fontId="0" fillId="0" borderId="0" xfId="0" applyAlignment="1">
      <alignment horizontal="center" vertical="center"/>
    </xf>
    <xf numFmtId="16" fontId="5" fillId="16" borderId="22" xfId="0" applyNumberFormat="1" applyFont="1" applyFill="1" applyBorder="1" applyAlignment="1" applyProtection="1">
      <alignment horizontal="center" vertical="center" textRotation="255"/>
    </xf>
    <xf numFmtId="0" fontId="0" fillId="16" borderId="24" xfId="0" applyFill="1" applyBorder="1" applyAlignment="1" applyProtection="1">
      <alignment horizontal="center"/>
      <protection locked="0"/>
    </xf>
    <xf numFmtId="16" fontId="0" fillId="16" borderId="25" xfId="0" applyNumberFormat="1" applyFill="1" applyBorder="1" applyAlignment="1" applyProtection="1">
      <alignment horizontal="center"/>
      <protection locked="0"/>
    </xf>
    <xf numFmtId="16" fontId="0" fillId="16" borderId="1" xfId="0" applyNumberFormat="1" applyFill="1" applyBorder="1" applyAlignment="1" applyProtection="1">
      <alignment horizontal="center"/>
      <protection locked="0"/>
    </xf>
    <xf numFmtId="0" fontId="0" fillId="12" borderId="1" xfId="0" applyFill="1" applyBorder="1" applyAlignment="1" applyProtection="1">
      <alignment horizontal="center"/>
      <protection locked="0"/>
    </xf>
    <xf numFmtId="16" fontId="5" fillId="16" borderId="3" xfId="0" applyNumberFormat="1" applyFont="1" applyFill="1" applyBorder="1" applyAlignment="1" applyProtection="1">
      <alignment horizontal="center" vertical="center" textRotation="255"/>
    </xf>
    <xf numFmtId="0" fontId="5" fillId="16" borderId="3" xfId="0" applyNumberFormat="1" applyFont="1" applyFill="1" applyBorder="1" applyAlignment="1" applyProtection="1">
      <alignment horizontal="center" vertical="center" textRotation="255"/>
    </xf>
    <xf numFmtId="165" fontId="0" fillId="11" borderId="14" xfId="0" applyNumberFormat="1" applyFont="1" applyFill="1" applyBorder="1" applyAlignment="1">
      <alignment horizontal="center"/>
    </xf>
    <xf numFmtId="166" fontId="0" fillId="11" borderId="1" xfId="0" applyNumberFormat="1" applyFont="1" applyFill="1" applyBorder="1" applyAlignment="1">
      <alignment horizontal="center"/>
    </xf>
    <xf numFmtId="167" fontId="0" fillId="11" borderId="16" xfId="0" applyNumberFormat="1" applyFont="1" applyFill="1" applyBorder="1" applyAlignment="1">
      <alignment horizontal="center"/>
    </xf>
    <xf numFmtId="166" fontId="0" fillId="11" borderId="6" xfId="0" applyNumberFormat="1" applyFont="1" applyFill="1" applyBorder="1" applyAlignment="1">
      <alignment horizontal="center"/>
    </xf>
    <xf numFmtId="167" fontId="0" fillId="11" borderId="8" xfId="0" applyNumberFormat="1" applyFont="1" applyFill="1" applyBorder="1" applyAlignment="1">
      <alignment horizontal="center"/>
    </xf>
    <xf numFmtId="16" fontId="5" fillId="16" borderId="28" xfId="0" applyNumberFormat="1" applyFont="1" applyFill="1" applyBorder="1" applyAlignment="1" applyProtection="1">
      <alignment horizontal="center" vertical="center" textRotation="255"/>
    </xf>
    <xf numFmtId="0" fontId="0" fillId="5" borderId="30" xfId="0" applyFill="1" applyBorder="1" applyAlignment="1">
      <alignment horizontal="center"/>
    </xf>
    <xf numFmtId="44" fontId="1" fillId="6" borderId="31" xfId="1" applyFill="1" applyBorder="1" applyAlignment="1">
      <alignment horizontal="center" vertical="center"/>
    </xf>
    <xf numFmtId="44" fontId="1" fillId="6" borderId="3" xfId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/>
    </xf>
    <xf numFmtId="44" fontId="1" fillId="7" borderId="3" xfId="1" applyFill="1" applyBorder="1" applyAlignment="1">
      <alignment horizontal="center" vertical="center"/>
    </xf>
    <xf numFmtId="44" fontId="1" fillId="0" borderId="3" xfId="1" applyNumberFormat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16" fontId="5" fillId="0" borderId="0" xfId="0" applyNumberFormat="1" applyFont="1" applyFill="1" applyBorder="1" applyAlignment="1" applyProtection="1">
      <alignment horizontal="center" vertical="center" textRotation="255"/>
    </xf>
    <xf numFmtId="0" fontId="0" fillId="0" borderId="0" xfId="0" applyFill="1" applyBorder="1" applyAlignment="1">
      <alignment horizontal="center"/>
    </xf>
    <xf numFmtId="44" fontId="1" fillId="0" borderId="0" xfId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/>
    </xf>
    <xf numFmtId="44" fontId="1" fillId="0" borderId="0" xfId="1" applyNumberFormat="1" applyFill="1" applyBorder="1" applyAlignment="1">
      <alignment horizontal="center"/>
    </xf>
    <xf numFmtId="0" fontId="0" fillId="16" borderId="22" xfId="0" applyFill="1" applyBorder="1" applyAlignment="1" applyProtection="1">
      <alignment horizontal="center"/>
      <protection locked="0"/>
    </xf>
    <xf numFmtId="0" fontId="4" fillId="13" borderId="0" xfId="0" applyFont="1" applyFill="1" applyBorder="1" applyAlignment="1">
      <alignment horizontal="center"/>
    </xf>
    <xf numFmtId="0" fontId="0" fillId="17" borderId="1" xfId="0" applyFill="1" applyBorder="1" applyAlignment="1" applyProtection="1">
      <alignment horizontal="center"/>
      <protection locked="0"/>
    </xf>
    <xf numFmtId="0" fontId="0" fillId="5" borderId="33" xfId="0" applyFill="1" applyBorder="1" applyAlignment="1" applyProtection="1">
      <alignment horizontal="center"/>
      <protection locked="0"/>
    </xf>
    <xf numFmtId="0" fontId="0" fillId="5" borderId="34" xfId="0" applyFill="1" applyBorder="1" applyAlignment="1" applyProtection="1">
      <alignment horizontal="center"/>
      <protection locked="0"/>
    </xf>
    <xf numFmtId="0" fontId="0" fillId="5" borderId="35" xfId="0" applyFill="1" applyBorder="1" applyAlignment="1" applyProtection="1">
      <alignment horizontal="center"/>
      <protection locked="0"/>
    </xf>
    <xf numFmtId="0" fontId="0" fillId="11" borderId="5" xfId="0" applyFill="1" applyBorder="1" applyAlignment="1" applyProtection="1">
      <alignment horizontal="center"/>
      <protection locked="0"/>
    </xf>
    <xf numFmtId="0" fontId="0" fillId="11" borderId="17" xfId="0" applyFill="1" applyBorder="1" applyAlignment="1" applyProtection="1">
      <alignment horizontal="center"/>
      <protection locked="0"/>
    </xf>
    <xf numFmtId="168" fontId="0" fillId="5" borderId="1" xfId="0" applyNumberFormat="1" applyFill="1" applyBorder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5" fontId="0" fillId="11" borderId="39" xfId="0" applyNumberFormat="1" applyFont="1" applyFill="1" applyBorder="1" applyAlignment="1"/>
    <xf numFmtId="0" fontId="0" fillId="6" borderId="40" xfId="0" applyFont="1" applyFill="1" applyBorder="1" applyAlignment="1">
      <alignment horizontal="center" vertical="center"/>
    </xf>
    <xf numFmtId="16" fontId="0" fillId="16" borderId="24" xfId="0" applyNumberFormat="1" applyFill="1" applyBorder="1" applyAlignment="1" applyProtection="1">
      <alignment horizontal="center"/>
      <protection locked="0"/>
    </xf>
    <xf numFmtId="165" fontId="4" fillId="13" borderId="41" xfId="0" applyNumberFormat="1" applyFont="1" applyFill="1" applyBorder="1" applyAlignment="1">
      <alignment horizontal="center"/>
    </xf>
    <xf numFmtId="166" fontId="4" fillId="13" borderId="2" xfId="0" applyNumberFormat="1" applyFont="1" applyFill="1" applyBorder="1" applyAlignment="1">
      <alignment horizontal="center"/>
    </xf>
    <xf numFmtId="167" fontId="4" fillId="13" borderId="42" xfId="0" applyNumberFormat="1" applyFont="1" applyFill="1" applyBorder="1" applyAlignment="1">
      <alignment horizontal="center"/>
    </xf>
    <xf numFmtId="165" fontId="0" fillId="11" borderId="41" xfId="0" applyNumberFormat="1" applyFont="1" applyFill="1" applyBorder="1" applyAlignment="1">
      <alignment horizontal="center"/>
    </xf>
    <xf numFmtId="166" fontId="0" fillId="11" borderId="2" xfId="0" applyNumberFormat="1" applyFont="1" applyFill="1" applyBorder="1" applyAlignment="1">
      <alignment horizontal="center"/>
    </xf>
    <xf numFmtId="167" fontId="0" fillId="11" borderId="42" xfId="0" applyNumberFormat="1" applyFont="1" applyFill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164" fontId="9" fillId="0" borderId="0" xfId="0" applyNumberFormat="1" applyFont="1" applyBorder="1" applyAlignment="1">
      <alignment horizontal="center"/>
    </xf>
    <xf numFmtId="44" fontId="11" fillId="0" borderId="0" xfId="0" applyNumberFormat="1" applyFont="1" applyFill="1" applyBorder="1" applyAlignment="1">
      <alignment horizontal="center" vertical="center"/>
    </xf>
    <xf numFmtId="44" fontId="9" fillId="0" borderId="0" xfId="0" applyNumberFormat="1" applyFont="1" applyFill="1" applyBorder="1" applyAlignment="1">
      <alignment horizontal="center"/>
    </xf>
    <xf numFmtId="44" fontId="9" fillId="0" borderId="1" xfId="0" applyNumberFormat="1" applyFont="1" applyBorder="1" applyAlignment="1" applyProtection="1">
      <alignment horizontal="center"/>
      <protection locked="0"/>
    </xf>
    <xf numFmtId="165" fontId="4" fillId="13" borderId="12" xfId="0" applyNumberFormat="1" applyFont="1" applyFill="1" applyBorder="1" applyAlignment="1">
      <alignment horizontal="center"/>
    </xf>
    <xf numFmtId="166" fontId="4" fillId="13" borderId="36" xfId="0" applyNumberFormat="1" applyFont="1" applyFill="1" applyBorder="1" applyAlignment="1">
      <alignment horizontal="center"/>
    </xf>
    <xf numFmtId="167" fontId="4" fillId="13" borderId="37" xfId="0" applyNumberFormat="1" applyFont="1" applyFill="1" applyBorder="1" applyAlignment="1">
      <alignment horizontal="center"/>
    </xf>
    <xf numFmtId="167" fontId="4" fillId="13" borderId="30" xfId="0" applyNumberFormat="1" applyFont="1" applyFill="1" applyBorder="1" applyAlignment="1">
      <alignment horizontal="center"/>
    </xf>
    <xf numFmtId="44" fontId="12" fillId="19" borderId="1" xfId="0" applyNumberFormat="1" applyFont="1" applyFill="1" applyBorder="1" applyAlignment="1">
      <alignment horizontal="center"/>
    </xf>
    <xf numFmtId="44" fontId="14" fillId="3" borderId="1" xfId="0" applyNumberFormat="1" applyFont="1" applyFill="1" applyBorder="1" applyAlignment="1">
      <alignment horizontal="center"/>
    </xf>
    <xf numFmtId="44" fontId="15" fillId="20" borderId="1" xfId="0" applyNumberFormat="1" applyFont="1" applyFill="1" applyBorder="1" applyAlignment="1">
      <alignment horizontal="center"/>
    </xf>
    <xf numFmtId="0" fontId="0" fillId="3" borderId="44" xfId="0" applyFill="1" applyBorder="1" applyAlignment="1" applyProtection="1">
      <alignment horizontal="center"/>
      <protection locked="0"/>
    </xf>
    <xf numFmtId="0" fontId="0" fillId="3" borderId="45" xfId="0" applyFill="1" applyBorder="1" applyAlignment="1" applyProtection="1">
      <alignment horizontal="center"/>
      <protection locked="0"/>
    </xf>
    <xf numFmtId="0" fontId="0" fillId="3" borderId="46" xfId="0" applyFill="1" applyBorder="1" applyAlignment="1" applyProtection="1">
      <alignment horizontal="center"/>
      <protection locked="0"/>
    </xf>
    <xf numFmtId="0" fontId="4" fillId="13" borderId="2" xfId="0" applyFont="1" applyFill="1" applyBorder="1" applyAlignment="1">
      <alignment horizontal="center"/>
    </xf>
    <xf numFmtId="0" fontId="0" fillId="14" borderId="2" xfId="0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11" borderId="1" xfId="0" applyFill="1" applyBorder="1" applyAlignment="1" applyProtection="1">
      <alignment horizontal="center"/>
      <protection locked="0"/>
    </xf>
    <xf numFmtId="0" fontId="0" fillId="11" borderId="3" xfId="0" applyFill="1" applyBorder="1" applyAlignment="1" applyProtection="1">
      <alignment horizontal="center"/>
      <protection locked="0"/>
    </xf>
    <xf numFmtId="44" fontId="16" fillId="5" borderId="38" xfId="2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44" fontId="9" fillId="4" borderId="1" xfId="0" applyNumberFormat="1" applyFont="1" applyFill="1" applyBorder="1" applyAlignment="1" applyProtection="1">
      <alignment horizontal="center"/>
      <protection locked="0"/>
    </xf>
    <xf numFmtId="165" fontId="0" fillId="11" borderId="12" xfId="0" applyNumberFormat="1" applyFont="1" applyFill="1" applyBorder="1" applyAlignment="1">
      <alignment horizontal="center"/>
    </xf>
    <xf numFmtId="166" fontId="0" fillId="11" borderId="36" xfId="0" applyNumberFormat="1" applyFont="1" applyFill="1" applyBorder="1" applyAlignment="1">
      <alignment horizontal="center"/>
    </xf>
    <xf numFmtId="167" fontId="0" fillId="11" borderId="37" xfId="0" applyNumberFormat="1" applyFont="1" applyFill="1" applyBorder="1" applyAlignment="1">
      <alignment horizontal="center"/>
    </xf>
    <xf numFmtId="164" fontId="10" fillId="24" borderId="1" xfId="0" applyNumberFormat="1" applyFont="1" applyFill="1" applyBorder="1" applyAlignment="1">
      <alignment horizontal="center"/>
    </xf>
    <xf numFmtId="164" fontId="10" fillId="23" borderId="1" xfId="0" applyNumberFormat="1" applyFont="1" applyFill="1" applyBorder="1" applyAlignment="1">
      <alignment horizontal="center"/>
    </xf>
    <xf numFmtId="164" fontId="13" fillId="25" borderId="1" xfId="0" applyNumberFormat="1" applyFont="1" applyFill="1" applyBorder="1" applyAlignment="1">
      <alignment horizontal="center" vertical="center"/>
    </xf>
    <xf numFmtId="164" fontId="13" fillId="22" borderId="1" xfId="0" applyNumberFormat="1" applyFont="1" applyFill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6" borderId="48" xfId="0" applyFont="1" applyFill="1" applyBorder="1" applyAlignment="1">
      <alignment horizontal="center" vertical="center"/>
    </xf>
    <xf numFmtId="0" fontId="0" fillId="0" borderId="16" xfId="0" applyNumberFormat="1" applyFont="1" applyBorder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0" fontId="0" fillId="6" borderId="49" xfId="0" applyFont="1" applyFill="1" applyBorder="1" applyAlignment="1">
      <alignment vertical="center"/>
    </xf>
    <xf numFmtId="14" fontId="17" fillId="2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43" xfId="0" applyFont="1" applyFill="1" applyBorder="1" applyAlignment="1">
      <alignment horizontal="center" vertical="center"/>
    </xf>
    <xf numFmtId="0" fontId="13" fillId="8" borderId="1" xfId="0" applyNumberFormat="1" applyFont="1" applyFill="1" applyBorder="1" applyAlignment="1">
      <alignment horizontal="center" vertical="center"/>
    </xf>
    <xf numFmtId="0" fontId="13" fillId="9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/>
    <xf numFmtId="44" fontId="1" fillId="0" borderId="55" xfId="1" applyFill="1" applyBorder="1" applyAlignment="1">
      <alignment horizontal="center" vertical="center"/>
    </xf>
    <xf numFmtId="44" fontId="8" fillId="27" borderId="6" xfId="1" applyNumberFormat="1" applyFont="1" applyFill="1" applyBorder="1" applyAlignment="1" applyProtection="1">
      <alignment horizontal="center" vertical="center"/>
    </xf>
    <xf numFmtId="44" fontId="8" fillId="4" borderId="6" xfId="1" applyNumberFormat="1" applyFont="1" applyFill="1" applyBorder="1" applyAlignment="1" applyProtection="1">
      <alignment horizontal="center" vertical="center"/>
    </xf>
    <xf numFmtId="0" fontId="0" fillId="4" borderId="7" xfId="0" applyFill="1" applyBorder="1" applyAlignment="1" applyProtection="1">
      <alignment horizontal="center"/>
      <protection locked="0"/>
    </xf>
    <xf numFmtId="44" fontId="8" fillId="4" borderId="8" xfId="1" applyNumberFormat="1" applyFont="1" applyFill="1" applyBorder="1" applyAlignment="1" applyProtection="1">
      <alignment horizontal="center" vertical="center"/>
    </xf>
    <xf numFmtId="44" fontId="1" fillId="29" borderId="5" xfId="1" applyFill="1" applyBorder="1" applyAlignment="1">
      <alignment horizontal="center" vertical="center"/>
    </xf>
    <xf numFmtId="0" fontId="0" fillId="28" borderId="0" xfId="0" applyFill="1"/>
    <xf numFmtId="0" fontId="0" fillId="30" borderId="0" xfId="0" applyFill="1"/>
    <xf numFmtId="0" fontId="0" fillId="23" borderId="0" xfId="0" applyFill="1"/>
    <xf numFmtId="0" fontId="1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66" fontId="9" fillId="0" borderId="0" xfId="0" applyNumberFormat="1" applyFont="1" applyFill="1" applyBorder="1" applyAlignment="1">
      <alignment horizontal="center" vertical="center"/>
    </xf>
    <xf numFmtId="167" fontId="9" fillId="0" borderId="0" xfId="0" applyNumberFormat="1" applyFont="1" applyFill="1" applyBorder="1" applyAlignment="1">
      <alignment horizontal="center" vertical="center"/>
    </xf>
    <xf numFmtId="172" fontId="9" fillId="0" borderId="0" xfId="0" applyNumberFormat="1" applyFont="1" applyFill="1" applyBorder="1" applyAlignment="1">
      <alignment horizontal="center" vertical="center"/>
    </xf>
    <xf numFmtId="170" fontId="9" fillId="0" borderId="0" xfId="0" applyNumberFormat="1" applyFont="1" applyFill="1" applyBorder="1" applyAlignment="1">
      <alignment horizontal="center" vertical="center"/>
    </xf>
    <xf numFmtId="171" fontId="9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10" borderId="1" xfId="0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center"/>
    </xf>
    <xf numFmtId="0" fontId="0" fillId="6" borderId="22" xfId="0" applyFont="1" applyFill="1" applyBorder="1" applyAlignment="1">
      <alignment vertical="center"/>
    </xf>
    <xf numFmtId="164" fontId="13" fillId="22" borderId="5" xfId="0" applyNumberFormat="1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26" borderId="1" xfId="0" applyFill="1" applyBorder="1" applyAlignment="1" applyProtection="1">
      <alignment horizontal="center"/>
      <protection locked="0"/>
    </xf>
    <xf numFmtId="0" fontId="0" fillId="27" borderId="1" xfId="0" applyFill="1" applyBorder="1" applyAlignment="1" applyProtection="1">
      <alignment horizontal="center"/>
      <protection locked="0"/>
    </xf>
    <xf numFmtId="169" fontId="0" fillId="32" borderId="47" xfId="0" applyNumberFormat="1" applyFill="1" applyBorder="1" applyAlignment="1" applyProtection="1">
      <alignment horizontal="center" vertical="center"/>
      <protection locked="0"/>
    </xf>
    <xf numFmtId="44" fontId="16" fillId="32" borderId="1" xfId="2" applyNumberFormat="1" applyFont="1" applyFill="1" applyBorder="1" applyAlignment="1" applyProtection="1">
      <alignment horizontal="center" vertical="center"/>
    </xf>
    <xf numFmtId="44" fontId="12" fillId="9" borderId="50" xfId="2" applyNumberFormat="1" applyFont="1" applyFill="1" applyBorder="1" applyAlignment="1" applyProtection="1">
      <alignment horizontal="center" vertical="center"/>
    </xf>
    <xf numFmtId="0" fontId="0" fillId="11" borderId="57" xfId="0" applyFill="1" applyBorder="1" applyAlignment="1" applyProtection="1">
      <alignment horizontal="center"/>
    </xf>
    <xf numFmtId="44" fontId="16" fillId="32" borderId="27" xfId="2" applyNumberFormat="1" applyFont="1" applyFill="1" applyBorder="1" applyAlignment="1" applyProtection="1">
      <alignment horizontal="center" vertical="center"/>
    </xf>
    <xf numFmtId="169" fontId="0" fillId="9" borderId="58" xfId="0" applyNumberFormat="1" applyFill="1" applyBorder="1" applyAlignment="1" applyProtection="1">
      <alignment horizontal="center" vertical="center"/>
      <protection locked="0"/>
    </xf>
    <xf numFmtId="44" fontId="12" fillId="9" borderId="59" xfId="2" applyNumberFormat="1" applyFont="1" applyFill="1" applyBorder="1" applyAlignment="1" applyProtection="1">
      <alignment horizontal="center" vertical="center"/>
    </xf>
    <xf numFmtId="0" fontId="0" fillId="4" borderId="1" xfId="0" applyFill="1" applyBorder="1" applyAlignment="1" applyProtection="1">
      <alignment horizontal="center"/>
      <protection locked="0"/>
    </xf>
    <xf numFmtId="44" fontId="8" fillId="26" borderId="6" xfId="1" applyNumberFormat="1" applyFont="1" applyFill="1" applyBorder="1" applyAlignment="1" applyProtection="1">
      <alignment horizontal="center" vertical="center"/>
    </xf>
    <xf numFmtId="0" fontId="0" fillId="26" borderId="7" xfId="0" applyFill="1" applyBorder="1" applyAlignment="1" applyProtection="1">
      <alignment horizontal="center"/>
      <protection locked="0"/>
    </xf>
    <xf numFmtId="44" fontId="12" fillId="0" borderId="1" xfId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64" fontId="19" fillId="25" borderId="1" xfId="0" applyNumberFormat="1" applyFont="1" applyFill="1" applyBorder="1" applyAlignment="1">
      <alignment horizontal="center" vertical="center"/>
    </xf>
    <xf numFmtId="164" fontId="18" fillId="25" borderId="1" xfId="0" applyNumberFormat="1" applyFont="1" applyFill="1" applyBorder="1" applyAlignment="1">
      <alignment horizontal="center" vertical="center"/>
    </xf>
    <xf numFmtId="44" fontId="21" fillId="5" borderId="7" xfId="3" applyNumberFormat="1" applyFill="1" applyBorder="1" applyAlignment="1" applyProtection="1">
      <alignment horizontal="center" vertical="center"/>
    </xf>
    <xf numFmtId="44" fontId="21" fillId="5" borderId="9" xfId="3" applyNumberFormat="1" applyFill="1" applyBorder="1" applyAlignment="1" applyProtection="1">
      <alignment horizontal="center" vertical="center"/>
    </xf>
    <xf numFmtId="0" fontId="0" fillId="6" borderId="13" xfId="0" applyFont="1" applyFill="1" applyBorder="1" applyAlignment="1">
      <alignment horizontal="center" vertical="center"/>
    </xf>
    <xf numFmtId="0" fontId="0" fillId="6" borderId="15" xfId="0" applyFont="1" applyFill="1" applyBorder="1" applyAlignment="1">
      <alignment horizontal="center" vertical="center"/>
    </xf>
    <xf numFmtId="169" fontId="0" fillId="5" borderId="6" xfId="0" applyNumberFormat="1" applyFill="1" applyBorder="1" applyAlignment="1" applyProtection="1">
      <alignment horizontal="center" vertical="center"/>
      <protection locked="0"/>
    </xf>
    <xf numFmtId="169" fontId="0" fillId="5" borderId="8" xfId="0" applyNumberFormat="1" applyFill="1" applyBorder="1" applyAlignment="1" applyProtection="1">
      <alignment horizontal="center" vertical="center"/>
      <protection locked="0"/>
    </xf>
    <xf numFmtId="173" fontId="0" fillId="0" borderId="0" xfId="0" applyNumberFormat="1" applyAlignment="1">
      <alignment horizontal="center"/>
    </xf>
    <xf numFmtId="173" fontId="0" fillId="0" borderId="1" xfId="0" applyNumberFormat="1" applyBorder="1" applyAlignment="1">
      <alignment horizontal="center"/>
    </xf>
    <xf numFmtId="169" fontId="0" fillId="16" borderId="56" xfId="0" applyNumberFormat="1" applyFill="1" applyBorder="1" applyAlignment="1" applyProtection="1">
      <protection locked="0"/>
    </xf>
    <xf numFmtId="169" fontId="0" fillId="16" borderId="0" xfId="0" applyNumberFormat="1" applyFill="1" applyBorder="1" applyAlignment="1" applyProtection="1">
      <protection locked="0"/>
    </xf>
    <xf numFmtId="169" fontId="0" fillId="16" borderId="19" xfId="0" applyNumberFormat="1" applyFill="1" applyBorder="1" applyAlignment="1" applyProtection="1">
      <protection locked="0"/>
    </xf>
    <xf numFmtId="0" fontId="0" fillId="0" borderId="0" xfId="0" applyAlignment="1">
      <alignment horizontal="center" vertical="center"/>
    </xf>
    <xf numFmtId="169" fontId="0" fillId="0" borderId="0" xfId="0" applyNumberFormat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13" fillId="8" borderId="2" xfId="0" applyNumberFormat="1" applyFont="1" applyFill="1" applyBorder="1" applyAlignment="1">
      <alignment horizontal="center" vertical="center"/>
    </xf>
    <xf numFmtId="0" fontId="13" fillId="9" borderId="2" xfId="0" applyNumberFormat="1" applyFont="1" applyFill="1" applyBorder="1" applyAlignment="1">
      <alignment horizontal="center" vertical="center"/>
    </xf>
    <xf numFmtId="164" fontId="13" fillId="22" borderId="30" xfId="0" applyNumberFormat="1" applyFont="1" applyFill="1" applyBorder="1" applyAlignment="1">
      <alignment horizontal="center" vertical="center"/>
    </xf>
    <xf numFmtId="0" fontId="22" fillId="27" borderId="1" xfId="0" applyFont="1" applyFill="1" applyBorder="1" applyAlignment="1">
      <alignment horizontal="center"/>
    </xf>
    <xf numFmtId="0" fontId="22" fillId="33" borderId="1" xfId="0" applyFont="1" applyFill="1" applyBorder="1" applyAlignment="1">
      <alignment horizontal="center"/>
    </xf>
    <xf numFmtId="0" fontId="22" fillId="16" borderId="1" xfId="0" applyFont="1" applyFill="1" applyBorder="1" applyAlignment="1">
      <alignment horizontal="center"/>
    </xf>
    <xf numFmtId="0" fontId="22" fillId="30" borderId="1" xfId="0" applyFont="1" applyFill="1" applyBorder="1" applyAlignment="1">
      <alignment horizontal="center"/>
    </xf>
    <xf numFmtId="0" fontId="22" fillId="2" borderId="1" xfId="0" applyFont="1" applyFill="1" applyBorder="1" applyAlignment="1">
      <alignment horizontal="center"/>
    </xf>
    <xf numFmtId="0" fontId="22" fillId="31" borderId="1" xfId="0" applyFont="1" applyFill="1" applyBorder="1" applyAlignment="1">
      <alignment horizontal="center"/>
    </xf>
    <xf numFmtId="0" fontId="22" fillId="37" borderId="1" xfId="0" applyFont="1" applyFill="1" applyBorder="1" applyAlignment="1">
      <alignment horizontal="center"/>
    </xf>
    <xf numFmtId="0" fontId="22" fillId="18" borderId="1" xfId="0" applyFont="1" applyFill="1" applyBorder="1" applyAlignment="1">
      <alignment horizontal="center"/>
    </xf>
    <xf numFmtId="0" fontId="22" fillId="34" borderId="1" xfId="0" applyFont="1" applyFill="1" applyBorder="1" applyAlignment="1">
      <alignment horizontal="center"/>
    </xf>
    <xf numFmtId="0" fontId="22" fillId="23" borderId="1" xfId="0" applyFont="1" applyFill="1" applyBorder="1" applyAlignment="1">
      <alignment horizontal="center"/>
    </xf>
    <xf numFmtId="164" fontId="10" fillId="10" borderId="5" xfId="0" applyNumberFormat="1" applyFont="1" applyFill="1" applyBorder="1" applyAlignment="1">
      <alignment horizontal="center" vertical="center"/>
    </xf>
    <xf numFmtId="0" fontId="0" fillId="10" borderId="5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/>
    </xf>
    <xf numFmtId="0" fontId="22" fillId="30" borderId="27" xfId="0" applyFont="1" applyFill="1" applyBorder="1" applyAlignment="1">
      <alignment horizontal="center"/>
    </xf>
    <xf numFmtId="0" fontId="13" fillId="0" borderId="0" xfId="0" applyNumberFormat="1" applyFont="1" applyFill="1" applyBorder="1" applyAlignment="1">
      <alignment horizontal="center" vertical="center"/>
    </xf>
    <xf numFmtId="164" fontId="10" fillId="24" borderId="62" xfId="0" applyNumberFormat="1" applyFont="1" applyFill="1" applyBorder="1" applyAlignment="1">
      <alignment horizontal="center"/>
    </xf>
    <xf numFmtId="0" fontId="20" fillId="38" borderId="1" xfId="0" applyFont="1" applyFill="1" applyBorder="1"/>
    <xf numFmtId="0" fontId="13" fillId="22" borderId="2" xfId="0" applyNumberFormat="1" applyFont="1" applyFill="1" applyBorder="1" applyAlignment="1">
      <alignment horizontal="center" vertical="center"/>
    </xf>
    <xf numFmtId="164" fontId="13" fillId="22" borderId="2" xfId="0" applyNumberFormat="1" applyFont="1" applyFill="1" applyBorder="1" applyAlignment="1">
      <alignment horizontal="center" vertical="center"/>
    </xf>
    <xf numFmtId="0" fontId="0" fillId="3" borderId="1" xfId="0" applyFill="1" applyBorder="1" applyAlignment="1" applyProtection="1">
      <alignment horizontal="center"/>
      <protection locked="0"/>
    </xf>
    <xf numFmtId="0" fontId="0" fillId="3" borderId="7" xfId="0" applyFill="1" applyBorder="1" applyAlignment="1" applyProtection="1">
      <alignment horizontal="center"/>
      <protection locked="0"/>
    </xf>
    <xf numFmtId="0" fontId="0" fillId="32" borderId="1" xfId="0" applyFill="1" applyBorder="1" applyAlignment="1" applyProtection="1">
      <alignment horizontal="center"/>
      <protection locked="0"/>
    </xf>
    <xf numFmtId="0" fontId="0" fillId="32" borderId="7" xfId="0" applyFill="1" applyBorder="1" applyAlignment="1" applyProtection="1">
      <alignment horizontal="center"/>
      <protection locked="0"/>
    </xf>
    <xf numFmtId="44" fontId="8" fillId="33" borderId="6" xfId="1" applyNumberFormat="1" applyFont="1" applyFill="1" applyBorder="1" applyAlignment="1" applyProtection="1">
      <alignment horizontal="center" vertical="center"/>
    </xf>
    <xf numFmtId="0" fontId="0" fillId="33" borderId="1" xfId="0" applyFill="1" applyBorder="1" applyAlignment="1" applyProtection="1">
      <alignment horizontal="center"/>
      <protection locked="0"/>
    </xf>
    <xf numFmtId="0" fontId="0" fillId="33" borderId="7" xfId="0" applyFill="1" applyBorder="1" applyAlignment="1" applyProtection="1">
      <alignment horizontal="center"/>
      <protection locked="0"/>
    </xf>
    <xf numFmtId="44" fontId="8" fillId="33" borderId="8" xfId="1" applyNumberFormat="1" applyFont="1" applyFill="1" applyBorder="1" applyAlignment="1" applyProtection="1">
      <alignment horizontal="center" vertical="center"/>
    </xf>
    <xf numFmtId="0" fontId="0" fillId="35" borderId="1" xfId="0" applyFill="1" applyBorder="1" applyAlignment="1" applyProtection="1">
      <alignment horizontal="center"/>
      <protection locked="0"/>
    </xf>
    <xf numFmtId="0" fontId="0" fillId="39" borderId="1" xfId="0" applyFill="1" applyBorder="1" applyAlignment="1" applyProtection="1">
      <alignment horizontal="center"/>
      <protection locked="0"/>
    </xf>
    <xf numFmtId="44" fontId="17" fillId="38" borderId="1" xfId="0" applyNumberFormat="1" applyFont="1" applyFill="1" applyBorder="1"/>
    <xf numFmtId="164" fontId="13" fillId="23" borderId="1" xfId="0" applyNumberFormat="1" applyFont="1" applyFill="1" applyBorder="1" applyAlignment="1">
      <alignment horizontal="center" vertical="center"/>
    </xf>
    <xf numFmtId="164" fontId="13" fillId="23" borderId="5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52" xfId="0" applyFont="1" applyFill="1" applyBorder="1" applyAlignment="1">
      <alignment horizontal="center" vertical="center"/>
    </xf>
    <xf numFmtId="0" fontId="0" fillId="6" borderId="54" xfId="0" applyFont="1" applyFill="1" applyBorder="1" applyAlignment="1">
      <alignment vertical="center"/>
    </xf>
    <xf numFmtId="0" fontId="0" fillId="6" borderId="65" xfId="0" applyFont="1" applyFill="1" applyBorder="1" applyAlignment="1">
      <alignment horizontal="center" vertical="center"/>
    </xf>
    <xf numFmtId="0" fontId="22" fillId="40" borderId="1" xfId="0" applyFont="1" applyFill="1" applyBorder="1" applyAlignment="1">
      <alignment horizontal="center"/>
    </xf>
    <xf numFmtId="0" fontId="22" fillId="0" borderId="1" xfId="0" applyFont="1" applyFill="1" applyBorder="1" applyAlignment="1">
      <alignment horizontal="center"/>
    </xf>
    <xf numFmtId="164" fontId="10" fillId="0" borderId="1" xfId="0" applyNumberFormat="1" applyFont="1" applyFill="1" applyBorder="1" applyAlignment="1">
      <alignment horizontal="center"/>
    </xf>
    <xf numFmtId="0" fontId="18" fillId="0" borderId="1" xfId="0" applyFont="1" applyFill="1" applyBorder="1" applyAlignment="1">
      <alignment horizontal="center" vertical="center"/>
    </xf>
    <xf numFmtId="44" fontId="24" fillId="35" borderId="6" xfId="1" applyNumberFormat="1" applyFont="1" applyFill="1" applyBorder="1" applyAlignment="1" applyProtection="1">
      <alignment horizontal="center" vertical="center"/>
    </xf>
    <xf numFmtId="44" fontId="24" fillId="35" borderId="8" xfId="1" applyNumberFormat="1" applyFont="1" applyFill="1" applyBorder="1" applyAlignment="1" applyProtection="1">
      <alignment horizontal="center" vertical="center"/>
    </xf>
    <xf numFmtId="44" fontId="24" fillId="32" borderId="6" xfId="1" applyNumberFormat="1" applyFont="1" applyFill="1" applyBorder="1" applyAlignment="1" applyProtection="1">
      <alignment horizontal="center" vertical="center"/>
    </xf>
    <xf numFmtId="44" fontId="24" fillId="32" borderId="8" xfId="1" applyNumberFormat="1" applyFont="1" applyFill="1" applyBorder="1" applyAlignment="1" applyProtection="1">
      <alignment horizontal="center" vertical="center"/>
    </xf>
    <xf numFmtId="44" fontId="24" fillId="3" borderId="6" xfId="1" applyNumberFormat="1" applyFont="1" applyFill="1" applyBorder="1" applyAlignment="1" applyProtection="1">
      <alignment horizontal="center" vertical="center"/>
    </xf>
    <xf numFmtId="44" fontId="24" fillId="3" borderId="8" xfId="1" applyNumberFormat="1" applyFont="1" applyFill="1" applyBorder="1" applyAlignment="1" applyProtection="1">
      <alignment horizontal="center" vertical="center"/>
    </xf>
    <xf numFmtId="169" fontId="0" fillId="16" borderId="0" xfId="0" applyNumberFormat="1" applyFill="1" applyBorder="1" applyAlignment="1" applyProtection="1">
      <alignment horizontal="center"/>
      <protection locked="0"/>
    </xf>
    <xf numFmtId="0" fontId="0" fillId="41" borderId="49" xfId="0" applyFont="1" applyFill="1" applyBorder="1" applyAlignment="1" applyProtection="1">
      <alignment horizontal="center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44" fontId="24" fillId="39" borderId="6" xfId="1" applyNumberFormat="1" applyFont="1" applyFill="1" applyBorder="1" applyAlignment="1" applyProtection="1">
      <alignment horizontal="left" vertical="center"/>
    </xf>
    <xf numFmtId="44" fontId="24" fillId="36" borderId="6" xfId="1" applyNumberFormat="1" applyFont="1" applyFill="1" applyBorder="1" applyAlignment="1" applyProtection="1">
      <alignment horizontal="left" vertical="center"/>
    </xf>
    <xf numFmtId="44" fontId="24" fillId="36" borderId="8" xfId="1" applyNumberFormat="1" applyFont="1" applyFill="1" applyBorder="1" applyAlignment="1" applyProtection="1">
      <alignment horizontal="left" vertical="center"/>
    </xf>
    <xf numFmtId="0" fontId="23" fillId="27" borderId="1" xfId="0" applyFont="1" applyFill="1" applyBorder="1" applyAlignment="1">
      <alignment horizontal="center" vertical="center"/>
    </xf>
    <xf numFmtId="0" fontId="23" fillId="33" borderId="1" xfId="0" applyFont="1" applyFill="1" applyBorder="1" applyAlignment="1">
      <alignment horizontal="center" vertical="center"/>
    </xf>
    <xf numFmtId="0" fontId="23" fillId="16" borderId="1" xfId="0" applyFont="1" applyFill="1" applyBorder="1" applyAlignment="1">
      <alignment horizontal="center" vertical="center"/>
    </xf>
    <xf numFmtId="0" fontId="23" fillId="30" borderId="1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23" fillId="31" borderId="1" xfId="0" applyFont="1" applyFill="1" applyBorder="1" applyAlignment="1">
      <alignment horizontal="center" vertical="center"/>
    </xf>
    <xf numFmtId="0" fontId="23" fillId="37" borderId="1" xfId="0" applyFont="1" applyFill="1" applyBorder="1" applyAlignment="1">
      <alignment horizontal="center" vertical="center"/>
    </xf>
    <xf numFmtId="0" fontId="23" fillId="18" borderId="1" xfId="0" applyFont="1" applyFill="1" applyBorder="1" applyAlignment="1">
      <alignment horizontal="center" vertical="center"/>
    </xf>
    <xf numFmtId="0" fontId="23" fillId="34" borderId="1" xfId="0" applyFont="1" applyFill="1" applyBorder="1" applyAlignment="1">
      <alignment horizontal="center" vertical="center"/>
    </xf>
    <xf numFmtId="1" fontId="23" fillId="42" borderId="1" xfId="0" applyNumberFormat="1" applyFon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20" fillId="4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41" borderId="1" xfId="0" applyFont="1" applyFill="1" applyBorder="1" applyAlignment="1" applyProtection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44" fontId="0" fillId="29" borderId="5" xfId="1" applyFont="1" applyFill="1" applyBorder="1" applyAlignment="1">
      <alignment horizontal="center" vertical="center"/>
    </xf>
    <xf numFmtId="0" fontId="0" fillId="0" borderId="0" xfId="0" applyFill="1"/>
    <xf numFmtId="169" fontId="2" fillId="0" borderId="0" xfId="0" applyNumberFormat="1" applyFont="1" applyFill="1" applyBorder="1" applyAlignment="1">
      <alignment horizontal="center" vertical="center"/>
    </xf>
    <xf numFmtId="44" fontId="8" fillId="0" borderId="0" xfId="1" applyFont="1" applyFill="1" applyBorder="1" applyAlignment="1" applyProtection="1">
      <alignment horizontal="center" vertical="center"/>
    </xf>
    <xf numFmtId="44" fontId="24" fillId="0" borderId="0" xfId="1" applyFont="1" applyFill="1" applyBorder="1" applyAlignment="1" applyProtection="1">
      <alignment horizontal="center" vertical="center"/>
    </xf>
    <xf numFmtId="0" fontId="0" fillId="6" borderId="70" xfId="0" applyFont="1" applyFill="1" applyBorder="1" applyAlignment="1">
      <alignment horizontal="center" vertical="center"/>
    </xf>
    <xf numFmtId="168" fontId="0" fillId="5" borderId="55" xfId="0" applyNumberFormat="1" applyFill="1" applyBorder="1" applyAlignment="1" applyProtection="1">
      <alignment horizontal="center"/>
      <protection locked="0"/>
    </xf>
    <xf numFmtId="0" fontId="0" fillId="6" borderId="51" xfId="0" applyFont="1" applyFill="1" applyBorder="1" applyAlignment="1">
      <alignment vertical="center"/>
    </xf>
    <xf numFmtId="0" fontId="0" fillId="6" borderId="52" xfId="0" applyFont="1" applyFill="1" applyBorder="1" applyAlignment="1">
      <alignment vertical="center"/>
    </xf>
    <xf numFmtId="0" fontId="0" fillId="6" borderId="53" xfId="0" applyFont="1" applyFill="1" applyBorder="1" applyAlignment="1">
      <alignment vertical="center"/>
    </xf>
    <xf numFmtId="0" fontId="0" fillId="6" borderId="66" xfId="0" applyFont="1" applyFill="1" applyBorder="1" applyAlignment="1">
      <alignment vertical="center"/>
    </xf>
    <xf numFmtId="0" fontId="0" fillId="6" borderId="60" xfId="0" applyFont="1" applyFill="1" applyBorder="1" applyAlignment="1">
      <alignment vertical="center"/>
    </xf>
    <xf numFmtId="0" fontId="17" fillId="27" borderId="1" xfId="0" applyFont="1" applyFill="1" applyBorder="1" applyAlignment="1">
      <alignment horizontal="center"/>
    </xf>
    <xf numFmtId="0" fontId="17" fillId="33" borderId="1" xfId="0" applyFont="1" applyFill="1" applyBorder="1" applyAlignment="1">
      <alignment horizontal="center"/>
    </xf>
    <xf numFmtId="0" fontId="17" fillId="16" borderId="1" xfId="0" applyFont="1" applyFill="1" applyBorder="1" applyAlignment="1">
      <alignment horizontal="center"/>
    </xf>
    <xf numFmtId="0" fontId="17" fillId="30" borderId="1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0" fontId="17" fillId="31" borderId="1" xfId="0" applyFont="1" applyFill="1" applyBorder="1" applyAlignment="1">
      <alignment horizontal="center"/>
    </xf>
    <xf numFmtId="0" fontId="17" fillId="37" borderId="1" xfId="0" applyFont="1" applyFill="1" applyBorder="1" applyAlignment="1">
      <alignment horizontal="center"/>
    </xf>
    <xf numFmtId="0" fontId="17" fillId="18" borderId="1" xfId="0" applyFont="1" applyFill="1" applyBorder="1" applyAlignment="1">
      <alignment horizontal="center"/>
    </xf>
    <xf numFmtId="0" fontId="17" fillId="34" borderId="1" xfId="0" applyFont="1" applyFill="1" applyBorder="1" applyAlignment="1">
      <alignment horizontal="center"/>
    </xf>
    <xf numFmtId="0" fontId="17" fillId="40" borderId="1" xfId="0" applyFont="1" applyFill="1" applyBorder="1" applyAlignment="1">
      <alignment horizontal="center"/>
    </xf>
    <xf numFmtId="0" fontId="17" fillId="23" borderId="1" xfId="0" applyFont="1" applyFill="1" applyBorder="1" applyAlignment="1">
      <alignment horizontal="center"/>
    </xf>
    <xf numFmtId="164" fontId="26" fillId="32" borderId="72" xfId="5" applyNumberFormat="1" applyFill="1" applyAlignment="1">
      <alignment horizontal="center" vertical="center"/>
    </xf>
    <xf numFmtId="0" fontId="25" fillId="0" borderId="71" xfId="4" applyFill="1" applyAlignment="1">
      <alignment horizontal="center" vertical="center"/>
    </xf>
    <xf numFmtId="0" fontId="26" fillId="0" borderId="72" xfId="5" applyFill="1" applyAlignment="1">
      <alignment horizontal="center" vertical="center"/>
    </xf>
    <xf numFmtId="0" fontId="25" fillId="6" borderId="71" xfId="4" applyFill="1" applyAlignment="1">
      <alignment vertical="center"/>
    </xf>
    <xf numFmtId="169" fontId="25" fillId="38" borderId="71" xfId="4" applyNumberFormat="1" applyFill="1" applyAlignment="1">
      <alignment vertical="center"/>
    </xf>
    <xf numFmtId="169" fontId="25" fillId="0" borderId="71" xfId="4" applyNumberFormat="1" applyAlignment="1">
      <alignment horizontal="center" vertical="center"/>
    </xf>
    <xf numFmtId="44" fontId="25" fillId="23" borderId="71" xfId="4" applyNumberFormat="1" applyFill="1" applyAlignment="1" applyProtection="1">
      <alignment horizontal="center" vertical="center"/>
    </xf>
    <xf numFmtId="44" fontId="25" fillId="22" borderId="71" xfId="4" applyNumberFormat="1" applyFill="1" applyAlignment="1" applyProtection="1">
      <alignment horizontal="center" vertical="center"/>
    </xf>
    <xf numFmtId="44" fontId="25" fillId="38" borderId="71" xfId="4" applyNumberFormat="1" applyFill="1" applyAlignment="1" applyProtection="1">
      <alignment horizontal="center" vertical="center"/>
    </xf>
    <xf numFmtId="166" fontId="25" fillId="0" borderId="71" xfId="4" applyNumberFormat="1" applyFill="1" applyAlignment="1">
      <alignment horizontal="center" vertical="center"/>
    </xf>
    <xf numFmtId="167" fontId="25" fillId="0" borderId="71" xfId="4" applyNumberFormat="1" applyFill="1" applyAlignment="1">
      <alignment horizontal="center" vertical="center"/>
    </xf>
    <xf numFmtId="0" fontId="25" fillId="0" borderId="71" xfId="4" applyAlignment="1">
      <alignment horizontal="center" vertical="center"/>
    </xf>
    <xf numFmtId="44" fontId="24" fillId="10" borderId="6" xfId="1" applyNumberFormat="1" applyFont="1" applyFill="1" applyBorder="1" applyAlignment="1" applyProtection="1">
      <alignment horizontal="left" vertical="center"/>
    </xf>
    <xf numFmtId="44" fontId="24" fillId="43" borderId="6" xfId="1" applyNumberFormat="1" applyFont="1" applyFill="1" applyBorder="1" applyAlignment="1" applyProtection="1">
      <alignment horizontal="left" vertical="center"/>
    </xf>
    <xf numFmtId="44" fontId="24" fillId="44" borderId="6" xfId="1" applyNumberFormat="1" applyFont="1" applyFill="1" applyBorder="1" applyAlignment="1" applyProtection="1">
      <alignment horizontal="left" vertical="center"/>
    </xf>
    <xf numFmtId="44" fontId="24" fillId="45" borderId="6" xfId="1" applyNumberFormat="1" applyFont="1" applyFill="1" applyBorder="1" applyAlignment="1" applyProtection="1">
      <alignment horizontal="left" vertical="center"/>
    </xf>
    <xf numFmtId="169" fontId="0" fillId="16" borderId="58" xfId="0" applyNumberFormat="1" applyFill="1" applyBorder="1" applyAlignment="1" applyProtection="1">
      <alignment horizontal="center" vertical="center"/>
      <protection locked="0"/>
    </xf>
    <xf numFmtId="44" fontId="12" fillId="16" borderId="59" xfId="2" applyNumberFormat="1" applyFont="1" applyFill="1" applyBorder="1" applyAlignment="1" applyProtection="1">
      <alignment horizontal="center" vertical="center"/>
    </xf>
    <xf numFmtId="44" fontId="12" fillId="16" borderId="50" xfId="2" applyNumberFormat="1" applyFont="1" applyFill="1" applyBorder="1" applyAlignment="1" applyProtection="1">
      <alignment horizontal="center" vertical="center"/>
    </xf>
    <xf numFmtId="169" fontId="0" fillId="9" borderId="47" xfId="0" applyNumberFormat="1" applyFill="1" applyBorder="1" applyAlignment="1" applyProtection="1">
      <alignment horizontal="center" vertical="center"/>
      <protection locked="0"/>
    </xf>
    <xf numFmtId="169" fontId="0" fillId="16" borderId="47" xfId="0" applyNumberFormat="1" applyFill="1" applyBorder="1" applyAlignment="1" applyProtection="1">
      <alignment horizontal="center" vertical="center"/>
      <protection locked="0"/>
    </xf>
    <xf numFmtId="14" fontId="0" fillId="23" borderId="0" xfId="0" applyNumberFormat="1" applyFill="1" applyAlignment="1">
      <alignment horizontal="center"/>
    </xf>
    <xf numFmtId="169" fontId="0" fillId="38" borderId="62" xfId="0" applyNumberFormat="1" applyFont="1" applyFill="1" applyBorder="1" applyAlignment="1">
      <alignment horizontal="center" vertical="center"/>
    </xf>
    <xf numFmtId="169" fontId="0" fillId="38" borderId="6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9" fontId="0" fillId="23" borderId="67" xfId="0" applyNumberFormat="1" applyFont="1" applyFill="1" applyBorder="1" applyAlignment="1">
      <alignment horizontal="center" vertical="center"/>
    </xf>
    <xf numFmtId="169" fontId="0" fillId="23" borderId="68" xfId="0" applyNumberFormat="1" applyFont="1" applyFill="1" applyBorder="1" applyAlignment="1">
      <alignment horizontal="center" vertical="center"/>
    </xf>
    <xf numFmtId="169" fontId="0" fillId="23" borderId="36" xfId="0" applyNumberFormat="1" applyFont="1" applyFill="1" applyBorder="1" applyAlignment="1">
      <alignment horizontal="center" vertical="center"/>
    </xf>
    <xf numFmtId="169" fontId="0" fillId="23" borderId="11" xfId="0" applyNumberFormat="1" applyFont="1" applyFill="1" applyBorder="1" applyAlignment="1">
      <alignment horizontal="center" vertical="center"/>
    </xf>
    <xf numFmtId="169" fontId="0" fillId="23" borderId="10" xfId="0" applyNumberFormat="1" applyFont="1" applyFill="1" applyBorder="1" applyAlignment="1">
      <alignment horizontal="center" vertical="center"/>
    </xf>
    <xf numFmtId="169" fontId="0" fillId="23" borderId="12" xfId="0" applyNumberFormat="1" applyFont="1" applyFill="1" applyBorder="1" applyAlignment="1">
      <alignment horizontal="center" vertical="center"/>
    </xf>
    <xf numFmtId="169" fontId="0" fillId="23" borderId="62" xfId="0" applyNumberFormat="1" applyFont="1" applyFill="1" applyBorder="1" applyAlignment="1">
      <alignment horizontal="center" vertical="center"/>
    </xf>
    <xf numFmtId="169" fontId="0" fillId="23" borderId="61" xfId="0" applyNumberFormat="1" applyFont="1" applyFill="1" applyBorder="1" applyAlignment="1">
      <alignment horizontal="center" vertical="center"/>
    </xf>
    <xf numFmtId="169" fontId="0" fillId="38" borderId="11" xfId="0" applyNumberFormat="1" applyFont="1" applyFill="1" applyBorder="1" applyAlignment="1">
      <alignment horizontal="center" vertical="center"/>
    </xf>
    <xf numFmtId="169" fontId="0" fillId="38" borderId="10" xfId="0" applyNumberFormat="1" applyFont="1" applyFill="1" applyBorder="1" applyAlignment="1">
      <alignment horizontal="center" vertical="center"/>
    </xf>
    <xf numFmtId="169" fontId="0" fillId="38" borderId="12" xfId="0" applyNumberFormat="1" applyFont="1" applyFill="1" applyBorder="1" applyAlignment="1">
      <alignment horizontal="center" vertical="center"/>
    </xf>
    <xf numFmtId="169" fontId="0" fillId="38" borderId="69" xfId="0" applyNumberFormat="1" applyFont="1" applyFill="1" applyBorder="1" applyAlignment="1">
      <alignment horizontal="center" vertical="center"/>
    </xf>
    <xf numFmtId="16" fontId="5" fillId="16" borderId="63" xfId="0" applyNumberFormat="1" applyFont="1" applyFill="1" applyBorder="1" applyAlignment="1" applyProtection="1">
      <alignment horizontal="center" vertical="center" textRotation="255"/>
    </xf>
    <xf numFmtId="16" fontId="5" fillId="16" borderId="64" xfId="0" applyNumberFormat="1" applyFont="1" applyFill="1" applyBorder="1" applyAlignment="1" applyProtection="1">
      <alignment horizontal="center" vertical="center" textRotation="255"/>
    </xf>
    <xf numFmtId="0" fontId="0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7" fillId="16" borderId="26" xfId="1" applyNumberFormat="1" applyFont="1" applyFill="1" applyBorder="1" applyAlignment="1">
      <alignment horizontal="center" vertical="center" textRotation="45"/>
    </xf>
    <xf numFmtId="44" fontId="15" fillId="0" borderId="2" xfId="0" applyNumberFormat="1" applyFont="1" applyFill="1" applyBorder="1" applyAlignment="1">
      <alignment horizontal="center"/>
    </xf>
    <xf numFmtId="44" fontId="15" fillId="0" borderId="5" xfId="0" applyNumberFormat="1" applyFont="1" applyFill="1" applyBorder="1" applyAlignment="1">
      <alignment horizontal="center"/>
    </xf>
    <xf numFmtId="44" fontId="9" fillId="0" borderId="2" xfId="0" applyNumberFormat="1" applyFont="1" applyFill="1" applyBorder="1" applyAlignment="1">
      <alignment horizontal="center"/>
    </xf>
    <xf numFmtId="44" fontId="9" fillId="0" borderId="5" xfId="0" applyNumberFormat="1" applyFont="1" applyFill="1" applyBorder="1" applyAlignment="1">
      <alignment horizontal="center"/>
    </xf>
    <xf numFmtId="44" fontId="12" fillId="0" borderId="2" xfId="0" applyNumberFormat="1" applyFont="1" applyFill="1" applyBorder="1" applyAlignment="1">
      <alignment horizontal="center"/>
    </xf>
    <xf numFmtId="44" fontId="12" fillId="0" borderId="5" xfId="0" applyNumberFormat="1" applyFont="1" applyFill="1" applyBorder="1" applyAlignment="1">
      <alignment horizontal="center"/>
    </xf>
    <xf numFmtId="44" fontId="14" fillId="0" borderId="2" xfId="0" applyNumberFormat="1" applyFont="1" applyFill="1" applyBorder="1" applyAlignment="1">
      <alignment horizontal="center"/>
    </xf>
    <xf numFmtId="44" fontId="14" fillId="0" borderId="5" xfId="0" applyNumberFormat="1" applyFont="1" applyFill="1" applyBorder="1" applyAlignment="1">
      <alignment horizontal="center"/>
    </xf>
    <xf numFmtId="164" fontId="10" fillId="21" borderId="2" xfId="0" applyNumberFormat="1" applyFont="1" applyFill="1" applyBorder="1" applyAlignment="1">
      <alignment horizontal="center"/>
    </xf>
    <xf numFmtId="164" fontId="10" fillId="21" borderId="5" xfId="0" applyNumberFormat="1" applyFont="1" applyFill="1" applyBorder="1" applyAlignment="1">
      <alignment horizontal="center"/>
    </xf>
    <xf numFmtId="0" fontId="0" fillId="16" borderId="11" xfId="0" applyFill="1" applyBorder="1" applyAlignment="1">
      <alignment horizontal="center"/>
    </xf>
    <xf numFmtId="0" fontId="0" fillId="16" borderId="10" xfId="0" applyFill="1" applyBorder="1" applyAlignment="1">
      <alignment horizontal="center"/>
    </xf>
    <xf numFmtId="0" fontId="0" fillId="16" borderId="12" xfId="0" applyFill="1" applyBorder="1" applyAlignment="1">
      <alignment horizontal="center"/>
    </xf>
    <xf numFmtId="0" fontId="7" fillId="16" borderId="4" xfId="1" applyNumberFormat="1" applyFont="1" applyFill="1" applyBorder="1" applyAlignment="1">
      <alignment horizontal="center" vertical="center" textRotation="45"/>
    </xf>
    <xf numFmtId="0" fontId="7" fillId="16" borderId="28" xfId="1" applyNumberFormat="1" applyFont="1" applyFill="1" applyBorder="1" applyAlignment="1">
      <alignment horizontal="center" vertical="center" textRotation="45"/>
    </xf>
    <xf numFmtId="16" fontId="5" fillId="16" borderId="3" xfId="0" applyNumberFormat="1" applyFont="1" applyFill="1" applyBorder="1" applyAlignment="1" applyProtection="1">
      <alignment horizontal="center" vertical="center" textRotation="255"/>
    </xf>
    <xf numFmtId="16" fontId="5" fillId="16" borderId="26" xfId="0" applyNumberFormat="1" applyFont="1" applyFill="1" applyBorder="1" applyAlignment="1" applyProtection="1">
      <alignment horizontal="center" vertical="center" textRotation="255"/>
    </xf>
    <xf numFmtId="16" fontId="5" fillId="16" borderId="27" xfId="0" applyNumberFormat="1" applyFont="1" applyFill="1" applyBorder="1" applyAlignment="1" applyProtection="1">
      <alignment horizontal="center" vertical="center" textRotation="255"/>
    </xf>
    <xf numFmtId="16" fontId="5" fillId="16" borderId="22" xfId="0" applyNumberFormat="1" applyFont="1" applyFill="1" applyBorder="1" applyAlignment="1" applyProtection="1">
      <alignment horizontal="center" vertical="center" textRotation="255"/>
    </xf>
    <xf numFmtId="16" fontId="5" fillId="16" borderId="0" xfId="0" applyNumberFormat="1" applyFont="1" applyFill="1" applyBorder="1" applyAlignment="1" applyProtection="1">
      <alignment horizontal="center" vertical="center" textRotation="255"/>
    </xf>
    <xf numFmtId="16" fontId="5" fillId="16" borderId="23" xfId="0" applyNumberFormat="1" applyFont="1" applyFill="1" applyBorder="1" applyAlignment="1" applyProtection="1">
      <alignment horizontal="center" vertical="center" textRotation="255"/>
    </xf>
    <xf numFmtId="0" fontId="0" fillId="10" borderId="2" xfId="0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0" fontId="0" fillId="10" borderId="1" xfId="0" applyFill="1" applyBorder="1" applyAlignment="1" applyProtection="1">
      <alignment horizontal="center"/>
      <protection locked="0"/>
    </xf>
    <xf numFmtId="0" fontId="27" fillId="0" borderId="0" xfId="0" applyFont="1" applyAlignment="1">
      <alignment horizontal="center"/>
    </xf>
  </cellXfs>
  <cellStyles count="6">
    <cellStyle name="20 % - Accent4" xfId="2" builtinId="42"/>
    <cellStyle name="Lien hypertexte" xfId="3" builtinId="8"/>
    <cellStyle name="Monétaire" xfId="1" builtinId="4"/>
    <cellStyle name="Normal" xfId="0" builtinId="0"/>
    <cellStyle name="Titre 2" xfId="4" builtinId="17"/>
    <cellStyle name="Titre 3" xfId="5" builtinId="18"/>
  </cellStyles>
  <dxfs count="270"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Up">
          <fgColor theme="6" tint="-0.24994659260841701"/>
          <bgColor rgb="FF00B050"/>
        </patternFill>
      </fill>
    </dxf>
    <dxf>
      <fill>
        <patternFill patternType="darkDown">
          <fgColor theme="5" tint="0.39994506668294322"/>
          <bgColor rgb="FFFF000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ont>
        <b/>
        <i val="0"/>
        <color rgb="FFCC3300"/>
      </font>
      <fill>
        <patternFill patternType="lightVertical">
          <fgColor theme="5" tint="0.59996337778862885"/>
          <bgColor theme="5" tint="0.39994506668294322"/>
        </patternFill>
      </fill>
    </dxf>
    <dxf>
      <font>
        <b/>
        <i val="0"/>
        <color rgb="FF7030A0"/>
      </font>
      <fill>
        <patternFill patternType="lightGray">
          <fgColor theme="0" tint="-0.14996795556505021"/>
          <bgColor theme="7" tint="0.39991454817346722"/>
        </patternFill>
      </fill>
    </dxf>
    <dxf>
      <fill>
        <patternFill patternType="darkUp">
          <fgColor rgb="FF339933"/>
          <bgColor auto="1"/>
        </patternFill>
      </fill>
    </dxf>
    <dxf>
      <font>
        <b/>
        <i val="0"/>
        <color rgb="FF009900"/>
      </font>
      <fill>
        <patternFill patternType="darkUp">
          <fgColor theme="6" tint="0.59996337778862885"/>
          <bgColor theme="8" tint="0.79992065187536243"/>
        </patternFill>
      </fill>
    </dxf>
    <dxf>
      <font>
        <b/>
        <i val="0"/>
        <color rgb="FFCC3300"/>
      </font>
      <fill>
        <patternFill patternType="gray125">
          <fgColor theme="4" tint="0.79995117038483843"/>
          <bgColor theme="5" tint="0.79998168889431442"/>
        </patternFill>
      </fill>
    </dxf>
    <dxf>
      <font>
        <b/>
        <i val="0"/>
        <color theme="5" tint="-0.24994659260841701"/>
      </font>
      <fill>
        <patternFill patternType="gray125">
          <fgColor theme="5" tint="-0.499984740745262"/>
        </patternFill>
      </fill>
    </dxf>
    <dxf>
      <font>
        <b/>
        <i val="0"/>
        <color theme="9" tint="-0.24994659260841701"/>
      </font>
      <fill>
        <patternFill patternType="lightUp">
          <fgColor theme="9" tint="0.39988402966399123"/>
          <bgColor theme="9" tint="0.79998168889431442"/>
        </patternFill>
      </fill>
    </dxf>
    <dxf>
      <font>
        <b/>
        <i val="0"/>
        <color theme="5" tint="-0.24994659260841701"/>
      </font>
      <fill>
        <patternFill patternType="gray125">
          <fgColor theme="5" tint="-0.499984740745262"/>
        </patternFill>
      </fill>
    </dxf>
    <dxf>
      <font>
        <b/>
        <i val="0"/>
        <color theme="9" tint="-0.24994659260841701"/>
      </font>
      <fill>
        <patternFill patternType="lightUp">
          <fgColor theme="9" tint="0.39988402966399123"/>
          <bgColor theme="9" tint="0.79998168889431442"/>
        </patternFill>
      </fill>
    </dxf>
    <dxf>
      <font>
        <b/>
        <i val="0"/>
        <color rgb="FF7030A0"/>
      </font>
      <fill>
        <patternFill patternType="lightGray">
          <fgColor theme="0" tint="-0.14996795556505021"/>
          <bgColor theme="7" tint="0.39991454817346722"/>
        </patternFill>
      </fill>
    </dxf>
    <dxf>
      <font>
        <b/>
        <i val="0"/>
        <color rgb="FF009900"/>
      </font>
      <fill>
        <patternFill patternType="darkUp">
          <fgColor theme="4" tint="0.79998168889431442"/>
          <bgColor theme="8" tint="0.79998168889431442"/>
        </patternFill>
      </fill>
    </dxf>
    <dxf>
      <font>
        <b/>
        <i val="0"/>
        <color rgb="FFCC3300"/>
      </font>
      <fill>
        <patternFill patternType="gray125">
          <fgColor theme="4" tint="0.79998168889431442"/>
          <bgColor theme="4" tint="0.79998168889431442"/>
        </patternFill>
      </fill>
    </dxf>
    <dxf>
      <font>
        <b/>
        <i val="0"/>
        <color rgb="FF009900"/>
      </font>
      <fill>
        <patternFill patternType="darkUp">
          <fgColor theme="4" tint="0.79998168889431442"/>
          <bgColor theme="8" tint="0.79998168889431442"/>
        </patternFill>
      </fill>
    </dxf>
    <dxf>
      <font>
        <b/>
        <i val="0"/>
        <color rgb="FFCC3300"/>
      </font>
      <fill>
        <patternFill patternType="gray125">
          <fgColor theme="4" tint="0.79998168889431442"/>
          <bgColor theme="4" tint="0.79998168889431442"/>
        </patternFill>
      </fill>
    </dxf>
    <dxf>
      <font>
        <b/>
        <i val="0"/>
        <color rgb="FF009900"/>
      </font>
      <fill>
        <patternFill patternType="darkUp">
          <fgColor theme="4" tint="0.79998168889431442"/>
          <bgColor theme="8" tint="0.79998168889431442"/>
        </patternFill>
      </fill>
    </dxf>
    <dxf>
      <font>
        <b/>
        <i val="0"/>
        <color rgb="FFCC3300"/>
      </font>
      <fill>
        <patternFill patternType="gray125">
          <fgColor theme="4" tint="0.79998168889431442"/>
          <bgColor theme="4" tint="0.79998168889431442"/>
        </patternFill>
      </fill>
    </dxf>
    <dxf>
      <font>
        <b/>
        <i val="0"/>
        <color rgb="FF009900"/>
      </font>
      <fill>
        <patternFill patternType="darkUp">
          <fgColor theme="4" tint="0.79998168889431442"/>
          <bgColor theme="8" tint="0.79998168889431442"/>
        </patternFill>
      </fill>
    </dxf>
    <dxf>
      <font>
        <b/>
        <i val="0"/>
        <color rgb="FFCC3300"/>
      </font>
      <fill>
        <patternFill patternType="gray125">
          <fgColor theme="4" tint="0.79998168889431442"/>
          <bgColor theme="4" tint="0.79998168889431442"/>
        </patternFill>
      </fill>
    </dxf>
    <dxf>
      <font>
        <b/>
        <i val="0"/>
        <color rgb="FF009900"/>
      </font>
      <fill>
        <patternFill patternType="darkUp">
          <fgColor theme="4" tint="0.79998168889431442"/>
          <bgColor theme="8" tint="0.79998168889431442"/>
        </patternFill>
      </fill>
    </dxf>
    <dxf>
      <font>
        <b/>
        <i val="0"/>
        <color rgb="FFCC3300"/>
      </font>
      <fill>
        <patternFill patternType="gray125">
          <fgColor theme="4" tint="0.79998168889431442"/>
          <bgColor theme="4" tint="0.79998168889431442"/>
        </patternFill>
      </fill>
    </dxf>
    <dxf>
      <font>
        <b/>
        <i val="0"/>
        <color rgb="FF009900"/>
      </font>
      <fill>
        <patternFill patternType="darkUp">
          <fgColor theme="6" tint="0.59996337778862885"/>
          <bgColor theme="8" tint="0.79992065187536243"/>
        </patternFill>
      </fill>
    </dxf>
    <dxf>
      <font>
        <b/>
        <i val="0"/>
        <color rgb="FFCC3300"/>
      </font>
      <fill>
        <patternFill patternType="gray125">
          <fgColor theme="4" tint="0.79995117038483843"/>
          <bgColor theme="5" tint="0.79998168889431442"/>
        </patternFill>
      </fill>
    </dxf>
    <dxf>
      <font>
        <b/>
        <i val="0"/>
        <color rgb="FFCC3300"/>
      </font>
      <fill>
        <patternFill patternType="lightVertical">
          <fgColor theme="5" tint="0.59996337778862885"/>
          <bgColor theme="5" tint="0.39994506668294322"/>
        </patternFill>
      </fill>
    </dxf>
    <dxf>
      <fill>
        <patternFill patternType="darkUp">
          <fgColor rgb="FF339933"/>
          <bgColor auto="1"/>
        </patternFill>
      </fill>
    </dxf>
    <dxf>
      <font>
        <b/>
        <i val="0"/>
        <color theme="5" tint="-0.24994659260841701"/>
      </font>
      <fill>
        <patternFill patternType="gray125">
          <fgColor theme="5" tint="-0.499984740745262"/>
        </patternFill>
      </fill>
    </dxf>
    <dxf>
      <font>
        <b/>
        <i val="0"/>
        <color theme="9" tint="-0.24994659260841701"/>
      </font>
      <fill>
        <patternFill patternType="lightUp">
          <fgColor theme="9" tint="0.39988402966399123"/>
          <bgColor theme="9" tint="0.7999816888943144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ill>
        <patternFill patternType="darkDown">
          <fgColor theme="0" tint="-0.34998626667073579"/>
          <bgColor theme="0" tint="-0.24994659260841701"/>
        </patternFill>
      </fill>
    </dxf>
    <dxf>
      <fill>
        <patternFill patternType="darkUp">
          <fgColor theme="5" tint="0.39994506668294322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00B050"/>
      </font>
      <fill>
        <patternFill>
          <bgColor theme="6" tint="0.79998168889431442"/>
        </patternFill>
      </fill>
    </dxf>
    <dxf>
      <font>
        <color rgb="FF00B050"/>
      </font>
    </dxf>
    <dxf>
      <fill>
        <patternFill patternType="lightUp">
          <fgColor rgb="FFFF0000"/>
          <bgColor theme="5" tint="0.39994506668294322"/>
        </patternFill>
      </fill>
    </dxf>
    <dxf>
      <fill>
        <patternFill patternType="lightGray">
          <fgColor theme="6" tint="0.79998168889431442"/>
          <bgColor rgb="FF00B050"/>
        </patternFill>
      </fill>
    </dxf>
    <dxf>
      <fill>
        <patternFill>
          <bgColor theme="1" tint="0.34998626667073579"/>
        </patternFill>
      </fill>
    </dxf>
    <dxf>
      <fill>
        <patternFill patternType="lightDown">
          <fgColor rgb="FF7030A0"/>
          <bgColor theme="7" tint="0.79998168889431442"/>
        </patternFill>
      </fill>
    </dxf>
    <dxf>
      <font>
        <b/>
        <i val="0"/>
        <color rgb="FFCC3300"/>
      </font>
      <fill>
        <patternFill patternType="gray125">
          <fgColor theme="4" tint="0.79995117038483843"/>
          <bgColor theme="5" tint="0.7999816888943144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color rgb="FFF81B1B"/>
      </font>
      <fill>
        <patternFill patternType="solid">
          <fgColor indexed="64"/>
          <bgColor theme="0" tint="-0.14996795556505021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color rgb="FFF81B1B"/>
      </font>
      <fill>
        <patternFill patternType="solid">
          <fgColor indexed="64"/>
          <bgColor theme="0" tint="-0.14996795556505021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F81B1B"/>
      </font>
      <fill>
        <patternFill patternType="solid">
          <fgColor indexed="64"/>
          <bgColor theme="0" tint="-0.14996795556505021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F81B1B"/>
      </font>
      <fill>
        <patternFill patternType="solid">
          <fgColor indexed="64"/>
          <bgColor theme="0" tint="-0.14996795556505021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F81B1B"/>
      </font>
      <fill>
        <patternFill patternType="solid">
          <fgColor indexed="64"/>
          <bgColor theme="0" tint="-0.14996795556505021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F81B1B"/>
      </font>
      <fill>
        <patternFill patternType="solid">
          <fgColor indexed="64"/>
          <bgColor theme="0" tint="-0.14996795556505021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F81B1B"/>
      </font>
      <fill>
        <patternFill patternType="solid">
          <fgColor indexed="64"/>
          <bgColor theme="0" tint="-0.14996795556505021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F81B1B"/>
      </font>
      <fill>
        <patternFill patternType="solid">
          <fgColor indexed="64"/>
          <bgColor theme="0" tint="-0.14996795556505021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darkUp">
          <fgColor theme="6" tint="-0.24994659260841701"/>
          <bgColor rgb="FF00B050"/>
        </patternFill>
      </fill>
    </dxf>
    <dxf>
      <fill>
        <patternFill patternType="darkDown">
          <fgColor theme="5" tint="0.39994506668294322"/>
          <bgColor rgb="FFFF0000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ont>
        <color rgb="FFF81B1B"/>
      </font>
      <fill>
        <patternFill patternType="solid">
          <fgColor indexed="64"/>
          <bgColor theme="0" tint="-0.14996795556505021"/>
        </patternFill>
      </fill>
    </dxf>
    <dxf>
      <fill>
        <patternFill patternType="darkUp">
          <fgColor theme="5" tint="0.39994506668294322"/>
          <bgColor rgb="FFFF0000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ill>
        <patternFill patternType="darkUp">
          <fgColor theme="5" tint="0.39994506668294322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0000"/>
      <color rgb="FFF81B1B"/>
      <color rgb="FFFF3300"/>
      <color rgb="FF000000"/>
      <color rgb="FFEB433F"/>
      <color rgb="FFFFFF66"/>
      <color rgb="FFECF10F"/>
      <color rgb="FFFFFF99"/>
      <color rgb="FF00CC66"/>
      <color rgb="FFD152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hart>
    <c:autoTitleDeleted val="1"/>
    <c:view3D>
      <c:rotX val="10"/>
      <c:rotY val="10"/>
      <c:depthPercent val="100"/>
      <c:rAngAx val="0"/>
      <c:perspective val="60"/>
    </c:view3D>
    <c:floor>
      <c:thickness val="0"/>
      <c:spPr>
        <a:ln>
          <a:solidFill>
            <a:schemeClr val="tx1">
              <a:lumMod val="85000"/>
              <a:lumOff val="15000"/>
            </a:schemeClr>
          </a:solidFill>
        </a:ln>
        <a:scene3d>
          <a:camera prst="orthographicFront"/>
          <a:lightRig rig="threePt" dir="t"/>
        </a:scene3d>
        <a:sp3d prstMaterial="translucentPowder">
          <a:contourClr>
            <a:srgbClr val="000000"/>
          </a:contourClr>
        </a:sp3d>
      </c:spPr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1.9454990583804142E-2"/>
          <c:y val="2.2295376072816821E-2"/>
          <c:w val="0.7471685862710985"/>
          <c:h val="0.8254537617729768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STATS!$B$1</c:f>
              <c:strCache>
                <c:ptCount val="1"/>
                <c:pt idx="0">
                  <c:v>PATES LORRAIN</c:v>
                </c:pt>
              </c:strCache>
            </c:strRef>
          </c:tx>
          <c:spPr>
            <a:solidFill>
              <a:srgbClr val="FFFF66"/>
            </a:solidFill>
          </c:spPr>
          <c:invertIfNegative val="0"/>
          <c:cat>
            <c:strRef>
              <c:f>STATS!$A$2:$A$30</c:f>
              <c:strCache>
                <c:ptCount val="29"/>
                <c:pt idx="0">
                  <c:v> ATTENOT adc </c:v>
                </c:pt>
                <c:pt idx="1">
                  <c:v>BAESA Cédric</c:v>
                </c:pt>
                <c:pt idx="2">
                  <c:v>BALZAN Geoffrey</c:v>
                </c:pt>
                <c:pt idx="3">
                  <c:v>BAUMGARTEN Thomas</c:v>
                </c:pt>
                <c:pt idx="4">
                  <c:v>BOUCHET Olivier</c:v>
                </c:pt>
                <c:pt idx="5">
                  <c:v>CIESILSKI Julien</c:v>
                </c:pt>
                <c:pt idx="6">
                  <c:v>CALGARO Guillaume</c:v>
                </c:pt>
                <c:pt idx="7">
                  <c:v>CHENET Johan</c:v>
                </c:pt>
                <c:pt idx="8">
                  <c:v>CHEVALIN Marvin</c:v>
                </c:pt>
                <c:pt idx="9">
                  <c:v>COLAS Éric</c:v>
                </c:pt>
                <c:pt idx="10">
                  <c:v>COLLIER Thomas</c:v>
                </c:pt>
                <c:pt idx="11">
                  <c:v>CUADRADO François</c:v>
                </c:pt>
                <c:pt idx="12">
                  <c:v>DODET Boris</c:v>
                </c:pt>
                <c:pt idx="13">
                  <c:v> DUBUC Major</c:v>
                </c:pt>
                <c:pt idx="14">
                  <c:v>ESPOSITO Marco</c:v>
                </c:pt>
                <c:pt idx="15">
                  <c:v>LABAUDINIERE Julien</c:v>
                </c:pt>
                <c:pt idx="16">
                  <c:v>LECOMTE</c:v>
                </c:pt>
                <c:pt idx="17">
                  <c:v>LEQUEUX Amélien</c:v>
                </c:pt>
                <c:pt idx="18">
                  <c:v>MANARANCHE Julien</c:v>
                </c:pt>
                <c:pt idx="19">
                  <c:v>MINIAMA Yohan</c:v>
                </c:pt>
                <c:pt idx="20">
                  <c:v>ROUGEOT Steven</c:v>
                </c:pt>
                <c:pt idx="21">
                  <c:v>ADJ DESPORTES</c:v>
                </c:pt>
                <c:pt idx="22">
                  <c:v>PISANI</c:v>
                </c:pt>
                <c:pt idx="23">
                  <c:v>RICHARD</c:v>
                </c:pt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STATS!$B$2:$B$30</c:f>
              <c:numCache>
                <c:formatCode>General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9A7-1E43-8D14-978B0A192F04}"/>
            </c:ext>
          </c:extLst>
        </c:ser>
        <c:ser>
          <c:idx val="1"/>
          <c:order val="1"/>
          <c:tx>
            <c:strRef>
              <c:f>STATS!$C$1</c:f>
              <c:strCache>
                <c:ptCount val="1"/>
                <c:pt idx="0">
                  <c:v>PATES  POULET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chemeClr val="accent1"/>
              </a:solidFill>
            </a:ln>
          </c:spPr>
          <c:invertIfNegative val="0"/>
          <c:cat>
            <c:strRef>
              <c:f>STATS!$A$2:$A$30</c:f>
              <c:strCache>
                <c:ptCount val="29"/>
                <c:pt idx="0">
                  <c:v> ATTENOT adc </c:v>
                </c:pt>
                <c:pt idx="1">
                  <c:v>BAESA Cédric</c:v>
                </c:pt>
                <c:pt idx="2">
                  <c:v>BALZAN Geoffrey</c:v>
                </c:pt>
                <c:pt idx="3">
                  <c:v>BAUMGARTEN Thomas</c:v>
                </c:pt>
                <c:pt idx="4">
                  <c:v>BOUCHET Olivier</c:v>
                </c:pt>
                <c:pt idx="5">
                  <c:v>CIESILSKI Julien</c:v>
                </c:pt>
                <c:pt idx="6">
                  <c:v>CALGARO Guillaume</c:v>
                </c:pt>
                <c:pt idx="7">
                  <c:v>CHENET Johan</c:v>
                </c:pt>
                <c:pt idx="8">
                  <c:v>CHEVALIN Marvin</c:v>
                </c:pt>
                <c:pt idx="9">
                  <c:v>COLAS Éric</c:v>
                </c:pt>
                <c:pt idx="10">
                  <c:v>COLLIER Thomas</c:v>
                </c:pt>
                <c:pt idx="11">
                  <c:v>CUADRADO François</c:v>
                </c:pt>
                <c:pt idx="12">
                  <c:v>DODET Boris</c:v>
                </c:pt>
                <c:pt idx="13">
                  <c:v> DUBUC Major</c:v>
                </c:pt>
                <c:pt idx="14">
                  <c:v>ESPOSITO Marco</c:v>
                </c:pt>
                <c:pt idx="15">
                  <c:v>LABAUDINIERE Julien</c:v>
                </c:pt>
                <c:pt idx="16">
                  <c:v>LECOMTE</c:v>
                </c:pt>
                <c:pt idx="17">
                  <c:v>LEQUEUX Amélien</c:v>
                </c:pt>
                <c:pt idx="18">
                  <c:v>MANARANCHE Julien</c:v>
                </c:pt>
                <c:pt idx="19">
                  <c:v>MINIAMA Yohan</c:v>
                </c:pt>
                <c:pt idx="20">
                  <c:v>ROUGEOT Steven</c:v>
                </c:pt>
                <c:pt idx="21">
                  <c:v>ADJ DESPORTES</c:v>
                </c:pt>
                <c:pt idx="22">
                  <c:v>PISANI</c:v>
                </c:pt>
                <c:pt idx="23">
                  <c:v>RICHARD</c:v>
                </c:pt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STATS!$C$2:$C$30</c:f>
              <c:numCache>
                <c:formatCode>General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C9A7-1E43-8D14-978B0A192F04}"/>
            </c:ext>
          </c:extLst>
        </c:ser>
        <c:ser>
          <c:idx val="2"/>
          <c:order val="2"/>
          <c:tx>
            <c:strRef>
              <c:f>STATS!$D$1</c:f>
              <c:strCache>
                <c:ptCount val="1"/>
                <c:pt idx="0">
                  <c:v>PAIN CHOCOLAT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cat>
            <c:strRef>
              <c:f>STATS!$A$2:$A$30</c:f>
              <c:strCache>
                <c:ptCount val="29"/>
                <c:pt idx="0">
                  <c:v> ATTENOT adc </c:v>
                </c:pt>
                <c:pt idx="1">
                  <c:v>BAESA Cédric</c:v>
                </c:pt>
                <c:pt idx="2">
                  <c:v>BALZAN Geoffrey</c:v>
                </c:pt>
                <c:pt idx="3">
                  <c:v>BAUMGARTEN Thomas</c:v>
                </c:pt>
                <c:pt idx="4">
                  <c:v>BOUCHET Olivier</c:v>
                </c:pt>
                <c:pt idx="5">
                  <c:v>CIESILSKI Julien</c:v>
                </c:pt>
                <c:pt idx="6">
                  <c:v>CALGARO Guillaume</c:v>
                </c:pt>
                <c:pt idx="7">
                  <c:v>CHENET Johan</c:v>
                </c:pt>
                <c:pt idx="8">
                  <c:v>CHEVALIN Marvin</c:v>
                </c:pt>
                <c:pt idx="9">
                  <c:v>COLAS Éric</c:v>
                </c:pt>
                <c:pt idx="10">
                  <c:v>COLLIER Thomas</c:v>
                </c:pt>
                <c:pt idx="11">
                  <c:v>CUADRADO François</c:v>
                </c:pt>
                <c:pt idx="12">
                  <c:v>DODET Boris</c:v>
                </c:pt>
                <c:pt idx="13">
                  <c:v> DUBUC Major</c:v>
                </c:pt>
                <c:pt idx="14">
                  <c:v>ESPOSITO Marco</c:v>
                </c:pt>
                <c:pt idx="15">
                  <c:v>LABAUDINIERE Julien</c:v>
                </c:pt>
                <c:pt idx="16">
                  <c:v>LECOMTE</c:v>
                </c:pt>
                <c:pt idx="17">
                  <c:v>LEQUEUX Amélien</c:v>
                </c:pt>
                <c:pt idx="18">
                  <c:v>MANARANCHE Julien</c:v>
                </c:pt>
                <c:pt idx="19">
                  <c:v>MINIAMA Yohan</c:v>
                </c:pt>
                <c:pt idx="20">
                  <c:v>ROUGEOT Steven</c:v>
                </c:pt>
                <c:pt idx="21">
                  <c:v>ADJ DESPORTES</c:v>
                </c:pt>
                <c:pt idx="22">
                  <c:v>PISANI</c:v>
                </c:pt>
                <c:pt idx="23">
                  <c:v>RICHARD</c:v>
                </c:pt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STATS!$D$2:$D$30</c:f>
              <c:numCache>
                <c:formatCode>General</c:formatCode>
                <c:ptCount val="29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4</c:v>
                </c:pt>
                <c:pt idx="4">
                  <c:v>1</c:v>
                </c:pt>
                <c:pt idx="5">
                  <c:v>4</c:v>
                </c:pt>
                <c:pt idx="6">
                  <c:v>3</c:v>
                </c:pt>
                <c:pt idx="7">
                  <c:v>0</c:v>
                </c:pt>
                <c:pt idx="8">
                  <c:v>4</c:v>
                </c:pt>
                <c:pt idx="9">
                  <c:v>3</c:v>
                </c:pt>
                <c:pt idx="10">
                  <c:v>4</c:v>
                </c:pt>
                <c:pt idx="11">
                  <c:v>1</c:v>
                </c:pt>
                <c:pt idx="12">
                  <c:v>0</c:v>
                </c:pt>
                <c:pt idx="13">
                  <c:v>2</c:v>
                </c:pt>
                <c:pt idx="14">
                  <c:v>0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3</c:v>
                </c:pt>
                <c:pt idx="19">
                  <c:v>6</c:v>
                </c:pt>
                <c:pt idx="20">
                  <c:v>3</c:v>
                </c:pt>
                <c:pt idx="21">
                  <c:v>4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C9A7-1E43-8D14-978B0A192F04}"/>
            </c:ext>
          </c:extLst>
        </c:ser>
        <c:ser>
          <c:idx val="3"/>
          <c:order val="3"/>
          <c:tx>
            <c:strRef>
              <c:f>STATS!$E$1</c:f>
              <c:strCache>
                <c:ptCount val="1"/>
                <c:pt idx="0">
                  <c:v>ESCA CHOCOLAT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</c:spPr>
          <c:invertIfNegative val="0"/>
          <c:cat>
            <c:strRef>
              <c:f>STATS!$A$2:$A$30</c:f>
              <c:strCache>
                <c:ptCount val="29"/>
                <c:pt idx="0">
                  <c:v> ATTENOT adc </c:v>
                </c:pt>
                <c:pt idx="1">
                  <c:v>BAESA Cédric</c:v>
                </c:pt>
                <c:pt idx="2">
                  <c:v>BALZAN Geoffrey</c:v>
                </c:pt>
                <c:pt idx="3">
                  <c:v>BAUMGARTEN Thomas</c:v>
                </c:pt>
                <c:pt idx="4">
                  <c:v>BOUCHET Olivier</c:v>
                </c:pt>
                <c:pt idx="5">
                  <c:v>CIESILSKI Julien</c:v>
                </c:pt>
                <c:pt idx="6">
                  <c:v>CALGARO Guillaume</c:v>
                </c:pt>
                <c:pt idx="7">
                  <c:v>CHENET Johan</c:v>
                </c:pt>
                <c:pt idx="8">
                  <c:v>CHEVALIN Marvin</c:v>
                </c:pt>
                <c:pt idx="9">
                  <c:v>COLAS Éric</c:v>
                </c:pt>
                <c:pt idx="10">
                  <c:v>COLLIER Thomas</c:v>
                </c:pt>
                <c:pt idx="11">
                  <c:v>CUADRADO François</c:v>
                </c:pt>
                <c:pt idx="12">
                  <c:v>DODET Boris</c:v>
                </c:pt>
                <c:pt idx="13">
                  <c:v> DUBUC Major</c:v>
                </c:pt>
                <c:pt idx="14">
                  <c:v>ESPOSITO Marco</c:v>
                </c:pt>
                <c:pt idx="15">
                  <c:v>LABAUDINIERE Julien</c:v>
                </c:pt>
                <c:pt idx="16">
                  <c:v>LECOMTE</c:v>
                </c:pt>
                <c:pt idx="17">
                  <c:v>LEQUEUX Amélien</c:v>
                </c:pt>
                <c:pt idx="18">
                  <c:v>MANARANCHE Julien</c:v>
                </c:pt>
                <c:pt idx="19">
                  <c:v>MINIAMA Yohan</c:v>
                </c:pt>
                <c:pt idx="20">
                  <c:v>ROUGEOT Steven</c:v>
                </c:pt>
                <c:pt idx="21">
                  <c:v>ADJ DESPORTES</c:v>
                </c:pt>
                <c:pt idx="22">
                  <c:v>PISANI</c:v>
                </c:pt>
                <c:pt idx="23">
                  <c:v>RICHARD</c:v>
                </c:pt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STATS!$E$2:$E$30</c:f>
              <c:numCache>
                <c:formatCode>General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C9A7-1E43-8D14-978B0A192F04}"/>
            </c:ext>
          </c:extLst>
        </c:ser>
        <c:ser>
          <c:idx val="4"/>
          <c:order val="4"/>
          <c:tx>
            <c:strRef>
              <c:f>STATS!$F$1</c:f>
              <c:strCache>
                <c:ptCount val="1"/>
                <c:pt idx="0">
                  <c:v>CROI BEURRE</c:v>
                </c:pt>
              </c:strCache>
            </c:strRef>
          </c:tx>
          <c:spPr>
            <a:solidFill>
              <a:schemeClr val="accent6">
                <a:lumMod val="20000"/>
                <a:lumOff val="80000"/>
              </a:schemeClr>
            </a:solidFill>
          </c:spPr>
          <c:invertIfNegative val="0"/>
          <c:cat>
            <c:strRef>
              <c:f>STATS!$A$2:$A$30</c:f>
              <c:strCache>
                <c:ptCount val="29"/>
                <c:pt idx="0">
                  <c:v> ATTENOT adc </c:v>
                </c:pt>
                <c:pt idx="1">
                  <c:v>BAESA Cédric</c:v>
                </c:pt>
                <c:pt idx="2">
                  <c:v>BALZAN Geoffrey</c:v>
                </c:pt>
                <c:pt idx="3">
                  <c:v>BAUMGARTEN Thomas</c:v>
                </c:pt>
                <c:pt idx="4">
                  <c:v>BOUCHET Olivier</c:v>
                </c:pt>
                <c:pt idx="5">
                  <c:v>CIESILSKI Julien</c:v>
                </c:pt>
                <c:pt idx="6">
                  <c:v>CALGARO Guillaume</c:v>
                </c:pt>
                <c:pt idx="7">
                  <c:v>CHENET Johan</c:v>
                </c:pt>
                <c:pt idx="8">
                  <c:v>CHEVALIN Marvin</c:v>
                </c:pt>
                <c:pt idx="9">
                  <c:v>COLAS Éric</c:v>
                </c:pt>
                <c:pt idx="10">
                  <c:v>COLLIER Thomas</c:v>
                </c:pt>
                <c:pt idx="11">
                  <c:v>CUADRADO François</c:v>
                </c:pt>
                <c:pt idx="12">
                  <c:v>DODET Boris</c:v>
                </c:pt>
                <c:pt idx="13">
                  <c:v> DUBUC Major</c:v>
                </c:pt>
                <c:pt idx="14">
                  <c:v>ESPOSITO Marco</c:v>
                </c:pt>
                <c:pt idx="15">
                  <c:v>LABAUDINIERE Julien</c:v>
                </c:pt>
                <c:pt idx="16">
                  <c:v>LECOMTE</c:v>
                </c:pt>
                <c:pt idx="17">
                  <c:v>LEQUEUX Amélien</c:v>
                </c:pt>
                <c:pt idx="18">
                  <c:v>MANARANCHE Julien</c:v>
                </c:pt>
                <c:pt idx="19">
                  <c:v>MINIAMA Yohan</c:v>
                </c:pt>
                <c:pt idx="20">
                  <c:v>ROUGEOT Steven</c:v>
                </c:pt>
                <c:pt idx="21">
                  <c:v>ADJ DESPORTES</c:v>
                </c:pt>
                <c:pt idx="22">
                  <c:v>PISANI</c:v>
                </c:pt>
                <c:pt idx="23">
                  <c:v>RICHARD</c:v>
                </c:pt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STATS!$F$2:$F$30</c:f>
              <c:numCache>
                <c:formatCode>General</c:formatCode>
                <c:ptCount val="29"/>
                <c:pt idx="0">
                  <c:v>6</c:v>
                </c:pt>
                <c:pt idx="1">
                  <c:v>2</c:v>
                </c:pt>
                <c:pt idx="2">
                  <c:v>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</c:v>
                </c:pt>
                <c:pt idx="12">
                  <c:v>4</c:v>
                </c:pt>
                <c:pt idx="13">
                  <c:v>4</c:v>
                </c:pt>
                <c:pt idx="14">
                  <c:v>1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3</c:v>
                </c:pt>
                <c:pt idx="22">
                  <c:v>5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C9A7-1E43-8D14-978B0A192F04}"/>
            </c:ext>
          </c:extLst>
        </c:ser>
        <c:ser>
          <c:idx val="5"/>
          <c:order val="5"/>
          <c:tx>
            <c:strRef>
              <c:f>STATS!$G$1</c:f>
              <c:strCache>
                <c:ptCount val="1"/>
                <c:pt idx="0">
                  <c:v>CROI NUTELLA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</c:spPr>
          <c:invertIfNegative val="0"/>
          <c:cat>
            <c:strRef>
              <c:f>STATS!$A$2:$A$30</c:f>
              <c:strCache>
                <c:ptCount val="29"/>
                <c:pt idx="0">
                  <c:v> ATTENOT adc </c:v>
                </c:pt>
                <c:pt idx="1">
                  <c:v>BAESA Cédric</c:v>
                </c:pt>
                <c:pt idx="2">
                  <c:v>BALZAN Geoffrey</c:v>
                </c:pt>
                <c:pt idx="3">
                  <c:v>BAUMGARTEN Thomas</c:v>
                </c:pt>
                <c:pt idx="4">
                  <c:v>BOUCHET Olivier</c:v>
                </c:pt>
                <c:pt idx="5">
                  <c:v>CIESILSKI Julien</c:v>
                </c:pt>
                <c:pt idx="6">
                  <c:v>CALGARO Guillaume</c:v>
                </c:pt>
                <c:pt idx="7">
                  <c:v>CHENET Johan</c:v>
                </c:pt>
                <c:pt idx="8">
                  <c:v>CHEVALIN Marvin</c:v>
                </c:pt>
                <c:pt idx="9">
                  <c:v>COLAS Éric</c:v>
                </c:pt>
                <c:pt idx="10">
                  <c:v>COLLIER Thomas</c:v>
                </c:pt>
                <c:pt idx="11">
                  <c:v>CUADRADO François</c:v>
                </c:pt>
                <c:pt idx="12">
                  <c:v>DODET Boris</c:v>
                </c:pt>
                <c:pt idx="13">
                  <c:v> DUBUC Major</c:v>
                </c:pt>
                <c:pt idx="14">
                  <c:v>ESPOSITO Marco</c:v>
                </c:pt>
                <c:pt idx="15">
                  <c:v>LABAUDINIERE Julien</c:v>
                </c:pt>
                <c:pt idx="16">
                  <c:v>LECOMTE</c:v>
                </c:pt>
                <c:pt idx="17">
                  <c:v>LEQUEUX Amélien</c:v>
                </c:pt>
                <c:pt idx="18">
                  <c:v>MANARANCHE Julien</c:v>
                </c:pt>
                <c:pt idx="19">
                  <c:v>MINIAMA Yohan</c:v>
                </c:pt>
                <c:pt idx="20">
                  <c:v>ROUGEOT Steven</c:v>
                </c:pt>
                <c:pt idx="21">
                  <c:v>ADJ DESPORTES</c:v>
                </c:pt>
                <c:pt idx="22">
                  <c:v>PISANI</c:v>
                </c:pt>
                <c:pt idx="23">
                  <c:v>RICHARD</c:v>
                </c:pt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STATS!$G$2:$G$30</c:f>
              <c:numCache>
                <c:formatCode>General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3</c:v>
                </c:pt>
                <c:pt idx="6">
                  <c:v>3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2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2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C9A7-1E43-8D14-978B0A192F04}"/>
            </c:ext>
          </c:extLst>
        </c:ser>
        <c:ser>
          <c:idx val="6"/>
          <c:order val="6"/>
          <c:tx>
            <c:strRef>
              <c:f>STATS!$H$1</c:f>
              <c:strCache>
                <c:ptCount val="1"/>
                <c:pt idx="0">
                  <c:v>CROI FRAMBOISES</c:v>
                </c:pt>
              </c:strCache>
            </c:strRef>
          </c:tx>
          <c:spPr>
            <a:solidFill>
              <a:schemeClr val="accent6"/>
            </a:solidFill>
          </c:spPr>
          <c:invertIfNegative val="0"/>
          <c:cat>
            <c:strRef>
              <c:f>STATS!$A$2:$A$30</c:f>
              <c:strCache>
                <c:ptCount val="29"/>
                <c:pt idx="0">
                  <c:v> ATTENOT adc </c:v>
                </c:pt>
                <c:pt idx="1">
                  <c:v>BAESA Cédric</c:v>
                </c:pt>
                <c:pt idx="2">
                  <c:v>BALZAN Geoffrey</c:v>
                </c:pt>
                <c:pt idx="3">
                  <c:v>BAUMGARTEN Thomas</c:v>
                </c:pt>
                <c:pt idx="4">
                  <c:v>BOUCHET Olivier</c:v>
                </c:pt>
                <c:pt idx="5">
                  <c:v>CIESILSKI Julien</c:v>
                </c:pt>
                <c:pt idx="6">
                  <c:v>CALGARO Guillaume</c:v>
                </c:pt>
                <c:pt idx="7">
                  <c:v>CHENET Johan</c:v>
                </c:pt>
                <c:pt idx="8">
                  <c:v>CHEVALIN Marvin</c:v>
                </c:pt>
                <c:pt idx="9">
                  <c:v>COLAS Éric</c:v>
                </c:pt>
                <c:pt idx="10">
                  <c:v>COLLIER Thomas</c:v>
                </c:pt>
                <c:pt idx="11">
                  <c:v>CUADRADO François</c:v>
                </c:pt>
                <c:pt idx="12">
                  <c:v>DODET Boris</c:v>
                </c:pt>
                <c:pt idx="13">
                  <c:v> DUBUC Major</c:v>
                </c:pt>
                <c:pt idx="14">
                  <c:v>ESPOSITO Marco</c:v>
                </c:pt>
                <c:pt idx="15">
                  <c:v>LABAUDINIERE Julien</c:v>
                </c:pt>
                <c:pt idx="16">
                  <c:v>LECOMTE</c:v>
                </c:pt>
                <c:pt idx="17">
                  <c:v>LEQUEUX Amélien</c:v>
                </c:pt>
                <c:pt idx="18">
                  <c:v>MANARANCHE Julien</c:v>
                </c:pt>
                <c:pt idx="19">
                  <c:v>MINIAMA Yohan</c:v>
                </c:pt>
                <c:pt idx="20">
                  <c:v>ROUGEOT Steven</c:v>
                </c:pt>
                <c:pt idx="21">
                  <c:v>ADJ DESPORTES</c:v>
                </c:pt>
                <c:pt idx="22">
                  <c:v>PISANI</c:v>
                </c:pt>
                <c:pt idx="23">
                  <c:v>RICHARD</c:v>
                </c:pt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STATS!$H$2:$H$30</c:f>
              <c:numCache>
                <c:formatCode>General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2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C9A7-1E43-8D14-978B0A192F04}"/>
            </c:ext>
          </c:extLst>
        </c:ser>
        <c:ser>
          <c:idx val="7"/>
          <c:order val="7"/>
          <c:tx>
            <c:strRef>
              <c:f>STATS!$I$1</c:f>
              <c:strCache>
                <c:ptCount val="1"/>
                <c:pt idx="0">
                  <c:v>CROI AMANDES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invertIfNegative val="0"/>
          <c:cat>
            <c:strRef>
              <c:f>STATS!$A$2:$A$30</c:f>
              <c:strCache>
                <c:ptCount val="29"/>
                <c:pt idx="0">
                  <c:v> ATTENOT adc </c:v>
                </c:pt>
                <c:pt idx="1">
                  <c:v>BAESA Cédric</c:v>
                </c:pt>
                <c:pt idx="2">
                  <c:v>BALZAN Geoffrey</c:v>
                </c:pt>
                <c:pt idx="3">
                  <c:v>BAUMGARTEN Thomas</c:v>
                </c:pt>
                <c:pt idx="4">
                  <c:v>BOUCHET Olivier</c:v>
                </c:pt>
                <c:pt idx="5">
                  <c:v>CIESILSKI Julien</c:v>
                </c:pt>
                <c:pt idx="6">
                  <c:v>CALGARO Guillaume</c:v>
                </c:pt>
                <c:pt idx="7">
                  <c:v>CHENET Johan</c:v>
                </c:pt>
                <c:pt idx="8">
                  <c:v>CHEVALIN Marvin</c:v>
                </c:pt>
                <c:pt idx="9">
                  <c:v>COLAS Éric</c:v>
                </c:pt>
                <c:pt idx="10">
                  <c:v>COLLIER Thomas</c:v>
                </c:pt>
                <c:pt idx="11">
                  <c:v>CUADRADO François</c:v>
                </c:pt>
                <c:pt idx="12">
                  <c:v>DODET Boris</c:v>
                </c:pt>
                <c:pt idx="13">
                  <c:v> DUBUC Major</c:v>
                </c:pt>
                <c:pt idx="14">
                  <c:v>ESPOSITO Marco</c:v>
                </c:pt>
                <c:pt idx="15">
                  <c:v>LABAUDINIERE Julien</c:v>
                </c:pt>
                <c:pt idx="16">
                  <c:v>LECOMTE</c:v>
                </c:pt>
                <c:pt idx="17">
                  <c:v>LEQUEUX Amélien</c:v>
                </c:pt>
                <c:pt idx="18">
                  <c:v>MANARANCHE Julien</c:v>
                </c:pt>
                <c:pt idx="19">
                  <c:v>MINIAMA Yohan</c:v>
                </c:pt>
                <c:pt idx="20">
                  <c:v>ROUGEOT Steven</c:v>
                </c:pt>
                <c:pt idx="21">
                  <c:v>ADJ DESPORTES</c:v>
                </c:pt>
                <c:pt idx="22">
                  <c:v>PISANI</c:v>
                </c:pt>
                <c:pt idx="23">
                  <c:v>RICHARD</c:v>
                </c:pt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STATS!$I$2:$I$30</c:f>
              <c:numCache>
                <c:formatCode>General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C9A7-1E43-8D14-978B0A192F04}"/>
            </c:ext>
          </c:extLst>
        </c:ser>
        <c:ser>
          <c:idx val="8"/>
          <c:order val="8"/>
          <c:tx>
            <c:strRef>
              <c:f>STATS!$J$1</c:f>
              <c:strCache>
                <c:ptCount val="1"/>
                <c:pt idx="0">
                  <c:v>CROI CHOCOLAT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</c:spPr>
          <c:invertIfNegative val="0"/>
          <c:cat>
            <c:strRef>
              <c:f>STATS!$A$2:$A$30</c:f>
              <c:strCache>
                <c:ptCount val="29"/>
                <c:pt idx="0">
                  <c:v> ATTENOT adc </c:v>
                </c:pt>
                <c:pt idx="1">
                  <c:v>BAESA Cédric</c:v>
                </c:pt>
                <c:pt idx="2">
                  <c:v>BALZAN Geoffrey</c:v>
                </c:pt>
                <c:pt idx="3">
                  <c:v>BAUMGARTEN Thomas</c:v>
                </c:pt>
                <c:pt idx="4">
                  <c:v>BOUCHET Olivier</c:v>
                </c:pt>
                <c:pt idx="5">
                  <c:v>CIESILSKI Julien</c:v>
                </c:pt>
                <c:pt idx="6">
                  <c:v>CALGARO Guillaume</c:v>
                </c:pt>
                <c:pt idx="7">
                  <c:v>CHENET Johan</c:v>
                </c:pt>
                <c:pt idx="8">
                  <c:v>CHEVALIN Marvin</c:v>
                </c:pt>
                <c:pt idx="9">
                  <c:v>COLAS Éric</c:v>
                </c:pt>
                <c:pt idx="10">
                  <c:v>COLLIER Thomas</c:v>
                </c:pt>
                <c:pt idx="11">
                  <c:v>CUADRADO François</c:v>
                </c:pt>
                <c:pt idx="12">
                  <c:v>DODET Boris</c:v>
                </c:pt>
                <c:pt idx="13">
                  <c:v> DUBUC Major</c:v>
                </c:pt>
                <c:pt idx="14">
                  <c:v>ESPOSITO Marco</c:v>
                </c:pt>
                <c:pt idx="15">
                  <c:v>LABAUDINIERE Julien</c:v>
                </c:pt>
                <c:pt idx="16">
                  <c:v>LECOMTE</c:v>
                </c:pt>
                <c:pt idx="17">
                  <c:v>LEQUEUX Amélien</c:v>
                </c:pt>
                <c:pt idx="18">
                  <c:v>MANARANCHE Julien</c:v>
                </c:pt>
                <c:pt idx="19">
                  <c:v>MINIAMA Yohan</c:v>
                </c:pt>
                <c:pt idx="20">
                  <c:v>ROUGEOT Steven</c:v>
                </c:pt>
                <c:pt idx="21">
                  <c:v>ADJ DESPORTES</c:v>
                </c:pt>
                <c:pt idx="22">
                  <c:v>PISANI</c:v>
                </c:pt>
                <c:pt idx="23">
                  <c:v>RICHARD</c:v>
                </c:pt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STATS!$J$2:$J$30</c:f>
              <c:numCache>
                <c:formatCode>General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C9A7-1E43-8D14-978B0A192F04}"/>
            </c:ext>
          </c:extLst>
        </c:ser>
        <c:ser>
          <c:idx val="9"/>
          <c:order val="9"/>
          <c:tx>
            <c:strRef>
              <c:f>STATS!$K$1</c:f>
              <c:strCache>
                <c:ptCount val="1"/>
                <c:pt idx="0">
                  <c:v>N/C</c:v>
                </c:pt>
              </c:strCache>
            </c:strRef>
          </c:tx>
          <c:spPr>
            <a:pattFill prst="dkVert">
              <a:fgClr>
                <a:schemeClr val="accent4">
                  <a:lumMod val="75000"/>
                </a:schemeClr>
              </a:fgClr>
              <a:bgClr>
                <a:schemeClr val="bg1"/>
              </a:bgClr>
            </a:pattFill>
          </c:spPr>
          <c:invertIfNegative val="0"/>
          <c:cat>
            <c:strRef>
              <c:f>STATS!$A$2:$A$30</c:f>
              <c:strCache>
                <c:ptCount val="29"/>
                <c:pt idx="0">
                  <c:v> ATTENOT adc </c:v>
                </c:pt>
                <c:pt idx="1">
                  <c:v>BAESA Cédric</c:v>
                </c:pt>
                <c:pt idx="2">
                  <c:v>BALZAN Geoffrey</c:v>
                </c:pt>
                <c:pt idx="3">
                  <c:v>BAUMGARTEN Thomas</c:v>
                </c:pt>
                <c:pt idx="4">
                  <c:v>BOUCHET Olivier</c:v>
                </c:pt>
                <c:pt idx="5">
                  <c:v>CIESILSKI Julien</c:v>
                </c:pt>
                <c:pt idx="6">
                  <c:v>CALGARO Guillaume</c:v>
                </c:pt>
                <c:pt idx="7">
                  <c:v>CHENET Johan</c:v>
                </c:pt>
                <c:pt idx="8">
                  <c:v>CHEVALIN Marvin</c:v>
                </c:pt>
                <c:pt idx="9">
                  <c:v>COLAS Éric</c:v>
                </c:pt>
                <c:pt idx="10">
                  <c:v>COLLIER Thomas</c:v>
                </c:pt>
                <c:pt idx="11">
                  <c:v>CUADRADO François</c:v>
                </c:pt>
                <c:pt idx="12">
                  <c:v>DODET Boris</c:v>
                </c:pt>
                <c:pt idx="13">
                  <c:v> DUBUC Major</c:v>
                </c:pt>
                <c:pt idx="14">
                  <c:v>ESPOSITO Marco</c:v>
                </c:pt>
                <c:pt idx="15">
                  <c:v>LABAUDINIERE Julien</c:v>
                </c:pt>
                <c:pt idx="16">
                  <c:v>LECOMTE</c:v>
                </c:pt>
                <c:pt idx="17">
                  <c:v>LEQUEUX Amélien</c:v>
                </c:pt>
                <c:pt idx="18">
                  <c:v>MANARANCHE Julien</c:v>
                </c:pt>
                <c:pt idx="19">
                  <c:v>MINIAMA Yohan</c:v>
                </c:pt>
                <c:pt idx="20">
                  <c:v>ROUGEOT Steven</c:v>
                </c:pt>
                <c:pt idx="21">
                  <c:v>ADJ DESPORTES</c:v>
                </c:pt>
                <c:pt idx="22">
                  <c:v>PISANI</c:v>
                </c:pt>
                <c:pt idx="23">
                  <c:v>RICHARD</c:v>
                </c:pt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STATS!$K$2:$K$30</c:f>
              <c:numCache>
                <c:formatCode>General</c:formatCode>
                <c:ptCount val="29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2</c:v>
                </c:pt>
                <c:pt idx="10">
                  <c:v>0</c:v>
                </c:pt>
                <c:pt idx="11">
                  <c:v>1</c:v>
                </c:pt>
                <c:pt idx="12">
                  <c:v>1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C9A7-1E43-8D14-978B0A192F04}"/>
            </c:ext>
          </c:extLst>
        </c:ser>
        <c:ser>
          <c:idx val="10"/>
          <c:order val="10"/>
          <c:tx>
            <c:strRef>
              <c:f>STATS!$L$1</c:f>
              <c:strCache>
                <c:ptCount val="1"/>
                <c:pt idx="0">
                  <c:v>N/P</c:v>
                </c:pt>
              </c:strCache>
            </c:strRef>
          </c:tx>
          <c:spPr>
            <a:pattFill prst="wdUpDiag">
              <a:fgClr>
                <a:srgbClr val="EB433F"/>
              </a:fgClr>
              <a:bgClr>
                <a:schemeClr val="accent2">
                  <a:lumMod val="40000"/>
                  <a:lumOff val="60000"/>
                </a:schemeClr>
              </a:bgClr>
            </a:pattFill>
          </c:spPr>
          <c:invertIfNegative val="0"/>
          <c:cat>
            <c:strRef>
              <c:f>STATS!$A$2:$A$30</c:f>
              <c:strCache>
                <c:ptCount val="29"/>
                <c:pt idx="0">
                  <c:v> ATTENOT adc </c:v>
                </c:pt>
                <c:pt idx="1">
                  <c:v>BAESA Cédric</c:v>
                </c:pt>
                <c:pt idx="2">
                  <c:v>BALZAN Geoffrey</c:v>
                </c:pt>
                <c:pt idx="3">
                  <c:v>BAUMGARTEN Thomas</c:v>
                </c:pt>
                <c:pt idx="4">
                  <c:v>BOUCHET Olivier</c:v>
                </c:pt>
                <c:pt idx="5">
                  <c:v>CIESILSKI Julien</c:v>
                </c:pt>
                <c:pt idx="6">
                  <c:v>CALGARO Guillaume</c:v>
                </c:pt>
                <c:pt idx="7">
                  <c:v>CHENET Johan</c:v>
                </c:pt>
                <c:pt idx="8">
                  <c:v>CHEVALIN Marvin</c:v>
                </c:pt>
                <c:pt idx="9">
                  <c:v>COLAS Éric</c:v>
                </c:pt>
                <c:pt idx="10">
                  <c:v>COLLIER Thomas</c:v>
                </c:pt>
                <c:pt idx="11">
                  <c:v>CUADRADO François</c:v>
                </c:pt>
                <c:pt idx="12">
                  <c:v>DODET Boris</c:v>
                </c:pt>
                <c:pt idx="13">
                  <c:v> DUBUC Major</c:v>
                </c:pt>
                <c:pt idx="14">
                  <c:v>ESPOSITO Marco</c:v>
                </c:pt>
                <c:pt idx="15">
                  <c:v>LABAUDINIERE Julien</c:v>
                </c:pt>
                <c:pt idx="16">
                  <c:v>LECOMTE</c:v>
                </c:pt>
                <c:pt idx="17">
                  <c:v>LEQUEUX Amélien</c:v>
                </c:pt>
                <c:pt idx="18">
                  <c:v>MANARANCHE Julien</c:v>
                </c:pt>
                <c:pt idx="19">
                  <c:v>MINIAMA Yohan</c:v>
                </c:pt>
                <c:pt idx="20">
                  <c:v>ROUGEOT Steven</c:v>
                </c:pt>
                <c:pt idx="21">
                  <c:v>ADJ DESPORTES</c:v>
                </c:pt>
                <c:pt idx="22">
                  <c:v>PISANI</c:v>
                </c:pt>
                <c:pt idx="23">
                  <c:v>RICHARD</c:v>
                </c:pt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STATS!$L$2:$L$30</c:f>
              <c:numCache>
                <c:formatCode>0</c:formatCode>
                <c:ptCount val="29"/>
                <c:pt idx="0">
                  <c:v>3</c:v>
                </c:pt>
                <c:pt idx="1">
                  <c:v>3</c:v>
                </c:pt>
                <c:pt idx="2">
                  <c:v>4</c:v>
                </c:pt>
                <c:pt idx="3">
                  <c:v>3</c:v>
                </c:pt>
                <c:pt idx="4">
                  <c:v>3</c:v>
                </c:pt>
                <c:pt idx="5">
                  <c:v>1</c:v>
                </c:pt>
                <c:pt idx="6">
                  <c:v>2</c:v>
                </c:pt>
                <c:pt idx="7">
                  <c:v>5</c:v>
                </c:pt>
                <c:pt idx="8">
                  <c:v>2</c:v>
                </c:pt>
                <c:pt idx="9">
                  <c:v>2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3</c:v>
                </c:pt>
                <c:pt idx="14">
                  <c:v>6</c:v>
                </c:pt>
                <c:pt idx="15">
                  <c:v>7</c:v>
                </c:pt>
                <c:pt idx="16">
                  <c:v>0</c:v>
                </c:pt>
                <c:pt idx="17">
                  <c:v>8</c:v>
                </c:pt>
                <c:pt idx="18">
                  <c:v>2</c:v>
                </c:pt>
                <c:pt idx="19">
                  <c:v>3</c:v>
                </c:pt>
                <c:pt idx="20">
                  <c:v>1</c:v>
                </c:pt>
                <c:pt idx="21">
                  <c:v>2</c:v>
                </c:pt>
                <c:pt idx="22">
                  <c:v>4</c:v>
                </c:pt>
                <c:pt idx="23">
                  <c:v>4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C9A7-1E43-8D14-978B0A192F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5911608"/>
        <c:axId val="145910824"/>
        <c:axId val="0"/>
      </c:bar3DChart>
      <c:catAx>
        <c:axId val="145911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effectLst/>
        </c:spPr>
        <c:txPr>
          <a:bodyPr rot="-4560000" vert="horz" anchor="ctr" anchorCtr="0"/>
          <a:lstStyle/>
          <a:p>
            <a:pPr>
              <a:defRPr/>
            </a:pPr>
            <a:endParaRPr lang="fr-FR"/>
          </a:p>
        </c:txPr>
        <c:crossAx val="145910824"/>
        <c:crosses val="autoZero"/>
        <c:auto val="1"/>
        <c:lblAlgn val="ctr"/>
        <c:lblOffset val="50"/>
        <c:tickLblSkip val="1"/>
        <c:tickMarkSkip val="3"/>
        <c:noMultiLvlLbl val="0"/>
      </c:catAx>
      <c:valAx>
        <c:axId val="145910824"/>
        <c:scaling>
          <c:orientation val="minMax"/>
        </c:scaling>
        <c:delete val="0"/>
        <c:axPos val="l"/>
        <c:majorGridlines>
          <c:spPr>
            <a:ln w="12700">
              <a:solidFill>
                <a:schemeClr val="tx1">
                  <a:lumMod val="85000"/>
                  <a:lumOff val="15000"/>
                </a:schemeClr>
              </a:solidFill>
            </a:ln>
            <a:effectLst>
              <a:innerShdw blurRad="63500" dist="50800" dir="10800000">
                <a:prstClr val="black">
                  <a:alpha val="50000"/>
                </a:prstClr>
              </a:innerShdw>
            </a:effectLst>
          </c:spPr>
        </c:majorGridlines>
        <c:numFmt formatCode="General" sourceLinked="1"/>
        <c:majorTickMark val="out"/>
        <c:minorTickMark val="none"/>
        <c:tickLblPos val="nextTo"/>
        <c:crossAx val="14591160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blipFill dpi="0" rotWithShape="1">
            <a:blip xmlns:r="http://schemas.openxmlformats.org/officeDocument/2006/relationships" r:embed="rId1">
              <a:alphaModFix amt="41000"/>
            </a:blip>
            <a:srcRect/>
            <a:tile tx="0" ty="0" sx="100000" sy="100000" flip="none" algn="tl"/>
          </a:blipFill>
        </c:spPr>
      </c:dTable>
    </c:plotArea>
    <c:legend>
      <c:legendPos val="r"/>
      <c:overlay val="0"/>
      <c:spPr>
        <a:solidFill>
          <a:schemeClr val="bg1">
            <a:lumMod val="75000"/>
          </a:schemeClr>
        </a:solidFill>
      </c:spPr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spPr>
    <a:effectLst>
      <a:glow rad="88900">
        <a:schemeClr val="accent1">
          <a:alpha val="70000"/>
        </a:schemeClr>
      </a:glow>
      <a:outerShdw blurRad="50800" dist="50800" dir="5400000" algn="ctr" rotWithShape="0">
        <a:srgbClr val="000000">
          <a:alpha val="59000"/>
        </a:srgbClr>
      </a:outerShdw>
    </a:effectLst>
    <a:scene3d>
      <a:camera prst="orthographicFront"/>
      <a:lightRig rig="threePt" dir="t"/>
    </a:scene3d>
  </c:spPr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606777</xdr:colOff>
      <xdr:row>4</xdr:row>
      <xdr:rowOff>141111</xdr:rowOff>
    </xdr:from>
    <xdr:to>
      <xdr:col>11</xdr:col>
      <xdr:colOff>119945</xdr:colOff>
      <xdr:row>12</xdr:row>
      <xdr:rowOff>148167</xdr:rowOff>
    </xdr:to>
    <xdr:sp macro="" textlink="">
      <xdr:nvSpPr>
        <xdr:cNvPr id="2" name="ZoneTexte 1"/>
        <xdr:cNvSpPr txBox="1"/>
      </xdr:nvSpPr>
      <xdr:spPr>
        <a:xfrm>
          <a:off x="3915833" y="1164167"/>
          <a:ext cx="5326945" cy="170038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 plusieurs tableau contenant chacun 3 colonnes d'une dizaine de lignes avec certaines données, il sont chacun attitrés dune date defini 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un menu deroulant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cependant j'aimerai que lorsque je selectionne une date dans le menu deroulant il me mette les infos qui sont uniquement liées a chaque dates (les infos qui sont dans les trois colonnes qui sont unique pour chaque dates) et ceux autant de fois que je change de menu deroulant 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Bien sur les tableaux sont sur une feuille et le menu deroulant et les données qui se refère a un tableau en fonction de la date sont sur une autre feuille. 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67236</xdr:rowOff>
    </xdr:from>
    <xdr:to>
      <xdr:col>17</xdr:col>
      <xdr:colOff>201884</xdr:colOff>
      <xdr:row>60</xdr:row>
      <xdr:rowOff>74706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Z291"/>
  <sheetViews>
    <sheetView showZeros="0" zoomScale="90" zoomScaleNormal="90" workbookViewId="0">
      <pane xSplit="2" topLeftCell="C1" activePane="topRight" state="frozen"/>
      <selection activeCell="B1" sqref="B1"/>
      <selection pane="topRight" activeCell="G4" sqref="G4:J32"/>
    </sheetView>
  </sheetViews>
  <sheetFormatPr baseColWidth="10" defaultColWidth="11.453125" defaultRowHeight="18" thickTop="1" thickBottom="1" x14ac:dyDescent="0.4"/>
  <cols>
    <col min="1" max="1" width="14" style="1" hidden="1" customWidth="1"/>
    <col min="2" max="2" width="20.81640625" style="43" customWidth="1"/>
    <col min="3" max="3" width="13.7265625" style="303" customWidth="1"/>
    <col min="4" max="4" width="12.81640625" style="135" customWidth="1"/>
    <col min="5" max="5" width="10.7265625" style="131" bestFit="1" customWidth="1"/>
    <col min="6" max="6" width="11.7265625" style="131" customWidth="1"/>
    <col min="7" max="7" width="14.453125" style="131" bestFit="1" customWidth="1"/>
    <col min="8" max="8" width="4.81640625" style="131" customWidth="1"/>
    <col min="9" max="9" width="21.54296875" style="135" customWidth="1"/>
    <col min="10" max="10" width="14.453125" style="131" bestFit="1" customWidth="1"/>
    <col min="11" max="11" width="5.54296875" style="131" customWidth="1"/>
    <col min="12" max="12" width="19.26953125" style="135" customWidth="1"/>
    <col min="13" max="13" width="14.54296875" style="131" customWidth="1"/>
    <col min="14" max="14" width="4.81640625" style="131" customWidth="1"/>
    <col min="15" max="15" width="17.7265625" style="135" bestFit="1" customWidth="1"/>
    <col min="16" max="16" width="15.54296875" style="131" bestFit="1" customWidth="1"/>
    <col min="17" max="17" width="5.54296875" style="131" customWidth="1"/>
    <col min="18" max="18" width="17.7265625" style="135" bestFit="1" customWidth="1"/>
    <col min="19" max="19" width="14.54296875" style="131" bestFit="1" customWidth="1"/>
    <col min="20" max="20" width="5.7265625" style="1" customWidth="1"/>
    <col min="21" max="21" width="16.81640625" style="135" customWidth="1"/>
    <col min="22" max="22" width="14.54296875" style="135" bestFit="1" customWidth="1"/>
    <col min="23" max="23" width="7.54296875" style="135" customWidth="1"/>
    <col min="24" max="24" width="18.1796875" style="135" customWidth="1"/>
    <col min="25" max="25" width="14.81640625" style="135" bestFit="1" customWidth="1"/>
    <col min="26" max="26" width="7.54296875" style="135" customWidth="1"/>
    <col min="27" max="27" width="20.1796875" style="135" bestFit="1" customWidth="1"/>
    <col min="28" max="28" width="17.1796875" style="1" customWidth="1"/>
    <col min="29" max="29" width="6.1796875" style="1" customWidth="1"/>
    <col min="30" max="30" width="18.81640625" style="1" customWidth="1"/>
    <col min="31" max="31" width="15.26953125" style="187" bestFit="1" customWidth="1"/>
    <col min="32" max="32" width="11.453125" style="187"/>
    <col min="33" max="33" width="20.7265625" style="187" customWidth="1"/>
    <col min="34" max="34" width="19.26953125" style="1" customWidth="1"/>
    <col min="35" max="35" width="5.1796875" style="1" bestFit="1" customWidth="1"/>
    <col min="36" max="36" width="22.1796875" style="1" customWidth="1"/>
    <col min="37" max="37" width="15.453125" style="1" bestFit="1" customWidth="1"/>
    <col min="38" max="39" width="11.453125" style="1"/>
    <col min="40" max="40" width="15.453125" style="1" bestFit="1" customWidth="1"/>
    <col min="41" max="41" width="11.453125" style="1"/>
    <col min="42" max="42" width="21.81640625" style="1" customWidth="1"/>
    <col min="43" max="43" width="15.453125" style="1" bestFit="1" customWidth="1"/>
    <col min="44" max="44" width="11.453125" style="1"/>
    <col min="45" max="45" width="17.26953125" style="1" customWidth="1"/>
    <col min="46" max="46" width="15.453125" style="1" bestFit="1" customWidth="1"/>
    <col min="47" max="47" width="11.453125" style="1"/>
    <col min="48" max="48" width="15.26953125" style="1" customWidth="1"/>
    <col min="49" max="16384" width="11.453125" style="1"/>
  </cols>
  <sheetData>
    <row r="1" spans="1:78" ht="17.5" thickBot="1" x14ac:dyDescent="0.4">
      <c r="A1" s="230"/>
      <c r="B1" s="132"/>
      <c r="C1" s="295"/>
      <c r="D1" s="276" t="s">
        <v>49</v>
      </c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8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245"/>
      <c r="AK1" s="245"/>
      <c r="AL1" s="245"/>
      <c r="AM1" s="245"/>
      <c r="AN1" s="246"/>
      <c r="AO1" s="246"/>
      <c r="AP1" s="246"/>
      <c r="AQ1" s="246"/>
      <c r="AR1" s="246"/>
      <c r="AS1" s="246"/>
      <c r="AT1" s="246"/>
      <c r="AU1" s="246"/>
      <c r="AV1" s="246"/>
      <c r="AW1" s="246"/>
      <c r="AX1" s="246"/>
      <c r="AY1" s="246"/>
      <c r="AZ1" s="246"/>
      <c r="BA1" s="246"/>
      <c r="BB1" s="246"/>
      <c r="BC1" s="246"/>
      <c r="BD1" s="246"/>
      <c r="BE1" s="246"/>
      <c r="BF1" s="246"/>
      <c r="BG1" s="246"/>
      <c r="BH1" s="246"/>
      <c r="BI1" s="2"/>
      <c r="BJ1" s="2"/>
      <c r="BK1" s="2"/>
      <c r="BL1" s="2"/>
      <c r="BM1" s="2"/>
      <c r="BN1" s="2"/>
      <c r="BO1" s="316"/>
      <c r="BP1" s="316"/>
      <c r="BQ1" s="316"/>
      <c r="BR1" s="316"/>
      <c r="BS1" s="316"/>
      <c r="BT1" s="316"/>
      <c r="BU1" s="316"/>
      <c r="BV1" s="316"/>
      <c r="BW1" s="316"/>
      <c r="BX1" s="316"/>
      <c r="BY1" s="316"/>
      <c r="BZ1" s="316"/>
    </row>
    <row r="2" spans="1:78" s="81" customFormat="1" ht="29.25" customHeight="1" thickTop="1" thickBot="1" x14ac:dyDescent="0.4">
      <c r="A2" s="232"/>
      <c r="B2" s="129" t="s">
        <v>42</v>
      </c>
      <c r="C2" s="295"/>
      <c r="D2" s="157"/>
      <c r="E2" s="157"/>
      <c r="F2" s="157"/>
      <c r="G2" s="279" t="b">
        <f ca="1">IF(TODAY()&lt;G3,D:U)</f>
        <v>0</v>
      </c>
      <c r="H2" s="280"/>
      <c r="I2" s="280"/>
      <c r="J2" s="157"/>
      <c r="K2" s="157"/>
      <c r="L2" s="157"/>
      <c r="M2" s="157"/>
      <c r="N2" s="157"/>
      <c r="O2" s="157"/>
      <c r="P2" s="157"/>
      <c r="Q2" s="157"/>
      <c r="R2" s="157"/>
      <c r="S2" s="231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245"/>
      <c r="AK2" s="245"/>
      <c r="AL2" s="245"/>
      <c r="AM2" s="245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6"/>
      <c r="BG2" s="246"/>
      <c r="BH2" s="246"/>
      <c r="BI2" s="2"/>
      <c r="BJ2" s="2"/>
      <c r="BK2" s="2"/>
      <c r="BL2" s="2"/>
      <c r="BM2" s="2"/>
      <c r="BN2" s="2"/>
    </row>
    <row r="3" spans="1:78" s="81" customFormat="1" ht="18.75" customHeight="1" thickTop="1" thickBot="1" x14ac:dyDescent="0.4">
      <c r="A3" s="84" t="s">
        <v>40</v>
      </c>
      <c r="B3" s="126"/>
      <c r="C3" s="296">
        <f ca="1">TODAY()</f>
        <v>43451</v>
      </c>
      <c r="D3" s="274" t="s">
        <v>19</v>
      </c>
      <c r="E3" s="178"/>
      <c r="F3" s="179" t="s">
        <v>40</v>
      </c>
      <c r="G3" s="325">
        <f>DATES!D2</f>
        <v>43378</v>
      </c>
      <c r="H3" s="326"/>
      <c r="I3" s="327"/>
      <c r="J3" s="314">
        <f>G3+7</f>
        <v>43385</v>
      </c>
      <c r="K3" s="314"/>
      <c r="L3" s="315"/>
      <c r="M3" s="314">
        <f t="shared" ref="M3" si="0">J3+7</f>
        <v>43392</v>
      </c>
      <c r="N3" s="314"/>
      <c r="O3" s="315"/>
      <c r="P3" s="314">
        <f t="shared" ref="P3" si="1">M3+7</f>
        <v>43399</v>
      </c>
      <c r="Q3" s="314"/>
      <c r="R3" s="315"/>
      <c r="S3" s="314">
        <f t="shared" ref="S3" si="2">P3+7</f>
        <v>43406</v>
      </c>
      <c r="T3" s="314"/>
      <c r="U3" s="315"/>
      <c r="V3" s="314">
        <f t="shared" ref="V3" si="3">S3+7</f>
        <v>43413</v>
      </c>
      <c r="W3" s="314"/>
      <c r="X3" s="315"/>
      <c r="Y3" s="314">
        <f t="shared" ref="Y3" si="4">V3+7</f>
        <v>43420</v>
      </c>
      <c r="Z3" s="314"/>
      <c r="AA3" s="315"/>
      <c r="AB3" s="314">
        <f t="shared" ref="AB3" si="5">Y3+7</f>
        <v>43427</v>
      </c>
      <c r="AC3" s="314"/>
      <c r="AD3" s="315"/>
      <c r="AE3" s="314">
        <f t="shared" ref="AE3" si="6">AB3+7</f>
        <v>43434</v>
      </c>
      <c r="AF3" s="314"/>
      <c r="AG3" s="315"/>
      <c r="AH3" s="328">
        <f t="shared" ref="AH3" si="7">AE3+7</f>
        <v>43441</v>
      </c>
      <c r="AI3" s="314"/>
      <c r="AJ3" s="315"/>
      <c r="AK3" s="328">
        <f t="shared" ref="AK3" si="8">AH3+7</f>
        <v>43448</v>
      </c>
      <c r="AL3" s="314"/>
      <c r="AM3" s="315"/>
      <c r="AN3" s="314">
        <f t="shared" ref="AN3" si="9">AK3+7</f>
        <v>43455</v>
      </c>
      <c r="AO3" s="314"/>
      <c r="AP3" s="315"/>
      <c r="AQ3" s="314">
        <f t="shared" ref="AQ3" si="10">AN3+7</f>
        <v>43462</v>
      </c>
      <c r="AR3" s="314"/>
      <c r="AS3" s="315"/>
      <c r="AT3" s="314">
        <f t="shared" ref="AT3" si="11">AQ3+7</f>
        <v>43469</v>
      </c>
      <c r="AU3" s="314"/>
      <c r="AV3" s="315"/>
      <c r="AW3" s="314">
        <f t="shared" ref="AW3" si="12">AT3+7</f>
        <v>43476</v>
      </c>
      <c r="AX3" s="314"/>
      <c r="AY3" s="315"/>
      <c r="AZ3" s="314">
        <f t="shared" ref="AZ3" si="13">AW3+7</f>
        <v>43483</v>
      </c>
      <c r="BA3" s="314"/>
      <c r="BB3" s="315"/>
      <c r="BC3" s="314">
        <f t="shared" ref="BC3" si="14">AZ3+7</f>
        <v>43490</v>
      </c>
      <c r="BD3" s="314"/>
      <c r="BE3" s="315"/>
      <c r="BF3" s="314">
        <f t="shared" ref="BF3" si="15">BC3+7</f>
        <v>43497</v>
      </c>
      <c r="BG3" s="314"/>
      <c r="BH3" s="315"/>
      <c r="BI3" s="2"/>
      <c r="BJ3" s="2"/>
      <c r="BK3" s="2"/>
      <c r="BL3" s="2"/>
      <c r="BM3" s="2"/>
      <c r="BN3" s="2"/>
    </row>
    <row r="4" spans="1:78" ht="15.75" customHeight="1" thickTop="1" thickBot="1" x14ac:dyDescent="0.4">
      <c r="A4" s="115">
        <v>10</v>
      </c>
      <c r="B4" s="244"/>
      <c r="C4" s="136">
        <f>IF(Y3,AB4,IF(OR(C$3&gt;AB3,C$3&lt;AE3),AE4,IF(OR(C$3&gt;AE2,C$3&lt;AH3),AH4)))</f>
        <v>10.549999999999997</v>
      </c>
      <c r="D4" s="275">
        <f t="shared" ref="D4:D32" si="16">COUNTIF(H4,"p")+COUNTIF(K4,"p")+COUNTIF(N4,"p")+COUNTIF(Q4,"p")+COUNTIF(T4,"p")</f>
        <v>4</v>
      </c>
      <c r="E4" s="180">
        <f>CREDITS!C3</f>
        <v>43412</v>
      </c>
      <c r="F4" s="176">
        <f>CREDITS!D3</f>
        <v>10</v>
      </c>
      <c r="G4" s="170">
        <f>F4+5.8</f>
        <v>15.8</v>
      </c>
      <c r="H4" s="160" t="s">
        <v>16</v>
      </c>
      <c r="I4" s="171" t="s">
        <v>60</v>
      </c>
      <c r="J4" s="138">
        <f>G4-SECOND!$D4</f>
        <v>15.8</v>
      </c>
      <c r="K4" s="161" t="s">
        <v>3</v>
      </c>
      <c r="L4" s="216" t="str">
        <f t="shared" ref="L4:L27" si="17">IF(K4="n/p","N/P","N/C")</f>
        <v>N/P</v>
      </c>
      <c r="M4" s="139">
        <f>J4-SECOND!$E4</f>
        <v>14.75</v>
      </c>
      <c r="N4" s="169" t="s">
        <v>16</v>
      </c>
      <c r="O4" s="140" t="s">
        <v>60</v>
      </c>
      <c r="P4" s="217">
        <f>M4-SECOND!$F4</f>
        <v>13.7</v>
      </c>
      <c r="Q4" s="218" t="s">
        <v>16</v>
      </c>
      <c r="R4" s="219" t="s">
        <v>60</v>
      </c>
      <c r="S4" s="241">
        <f>P4-SECOND!$G4</f>
        <v>12.649999999999999</v>
      </c>
      <c r="T4" s="213" t="s">
        <v>16</v>
      </c>
      <c r="U4" s="214" t="s">
        <v>60</v>
      </c>
      <c r="V4" s="239">
        <f>S4-SECOND!$H4</f>
        <v>12.649999999999999</v>
      </c>
      <c r="W4" s="215" t="s">
        <v>3</v>
      </c>
      <c r="X4" s="216" t="str">
        <f>IF(W4="n/p","N/P","N/C")</f>
        <v>N/P</v>
      </c>
      <c r="Y4" s="237">
        <f>V4-SECOND!$I4</f>
        <v>11.599999999999998</v>
      </c>
      <c r="Z4" s="221" t="s">
        <v>16</v>
      </c>
      <c r="AA4" s="216" t="s">
        <v>60</v>
      </c>
      <c r="AB4" s="250">
        <f>Y4-SECOND!$J4</f>
        <v>10.549999999999997</v>
      </c>
      <c r="AC4" s="222" t="s">
        <v>16</v>
      </c>
      <c r="AD4" s="216" t="str">
        <f>IF(AC4="P",AA4,IF(AC4="","",IF(AC4="N/E","N/E","N/P")))</f>
        <v>CROI BEURRE</v>
      </c>
      <c r="AE4" s="251">
        <f>AB4-SECOND!$K4</f>
        <v>10.549999999999997</v>
      </c>
      <c r="AF4" s="222" t="s">
        <v>93</v>
      </c>
      <c r="AG4" s="216" t="str">
        <f>IF(AF4="P",AD4,IF(AF4="","",IF(AF4="N/E","N/E","N/P")))</f>
        <v>N/E</v>
      </c>
      <c r="AH4" s="304">
        <f>AE4-SECOND!$L4</f>
        <v>10.549999999999997</v>
      </c>
      <c r="AI4" s="222" t="s">
        <v>3</v>
      </c>
      <c r="AJ4" s="216" t="str">
        <f>IF(AI4="P",AG4,IF(AI4="","",IF(AI4="N/E","N/E","N/P")))</f>
        <v>N/P</v>
      </c>
      <c r="AK4" s="305">
        <f>AH4-SECOND!$M4</f>
        <v>10.549999999999997</v>
      </c>
      <c r="AL4" s="222" t="s">
        <v>93</v>
      </c>
      <c r="AM4" s="216" t="str">
        <f>IF(AL4="P",AJ4,IF(AL4="","",IF(AL4="N/E","N/E","N/P")))</f>
        <v>N/E</v>
      </c>
      <c r="AN4" s="306">
        <f>AK4-SECOND!$N4</f>
        <v>10.549999999999997</v>
      </c>
      <c r="AO4" s="222" t="s">
        <v>93</v>
      </c>
      <c r="AP4" s="216" t="str">
        <f>IF(AO4="P",AM4,IF(AO4="","",IF(AO4="N/E","N/E","N/P")))</f>
        <v>N/E</v>
      </c>
      <c r="AQ4" s="307">
        <f>AN4-SECOND!$O4</f>
        <v>10.549999999999997</v>
      </c>
      <c r="AR4" s="222" t="s">
        <v>93</v>
      </c>
      <c r="AS4" s="216" t="str">
        <f>IF(AR4="P",AP4,IF(AR4="","",IF(AR4="N/E","N/E","N/P")))</f>
        <v>N/E</v>
      </c>
      <c r="AT4" s="251">
        <f>AQ4-SECOND!$P4</f>
        <v>10.549999999999997</v>
      </c>
      <c r="AU4" s="222" t="s">
        <v>93</v>
      </c>
      <c r="AV4" s="216" t="str">
        <f>IF(AU4="P",AS4,IF(AU4="","",IF(AU4="N/E","N/E","N/P")))</f>
        <v>N/E</v>
      </c>
      <c r="AW4" s="251">
        <f>AT4-SECOND!$K4</f>
        <v>10.549999999999997</v>
      </c>
      <c r="AX4" s="222" t="s">
        <v>93</v>
      </c>
      <c r="AY4" s="216" t="str">
        <f>IF(AX4="P",AV4,IF(AX4="","",IF(AX4="N/E","N/E","N/P")))</f>
        <v>N/E</v>
      </c>
      <c r="AZ4" s="251">
        <f>AW4-SECOND!$K4</f>
        <v>10.549999999999997</v>
      </c>
      <c r="BA4" s="222" t="s">
        <v>93</v>
      </c>
      <c r="BB4" s="216" t="str">
        <f>IF(BA4="P",AY4,IF(BA4="","",IF(BA4="N/E","N/E","N/P")))</f>
        <v>N/E</v>
      </c>
      <c r="BC4" s="251">
        <f>AZ4-SECOND!$K4</f>
        <v>10.549999999999997</v>
      </c>
      <c r="BD4" s="222" t="s">
        <v>93</v>
      </c>
      <c r="BE4" s="216" t="str">
        <f>IF(BD4="P",BB4,IF(BD4="","",IF(BD4="N/E","N/E","N/P")))</f>
        <v>N/E</v>
      </c>
      <c r="BF4" s="251">
        <f>BC4-SECOND!$K4</f>
        <v>10.549999999999997</v>
      </c>
      <c r="BG4" s="222" t="s">
        <v>93</v>
      </c>
      <c r="BH4" s="216" t="str">
        <f>IF(BG4="P",BE4,IF(BG4="","",IF(BG4="N/E","N/E","N/P")))</f>
        <v>N/E</v>
      </c>
    </row>
    <row r="5" spans="1:78" ht="16.5" customHeight="1" thickTop="1" thickBot="1" x14ac:dyDescent="0.4">
      <c r="A5" s="115" t="e">
        <f>SEPTEMBRE!$Z3</f>
        <v>#N/A</v>
      </c>
      <c r="B5" s="244"/>
      <c r="C5" s="136">
        <f ca="1">IF(OR(C$3&gt;Y$3,C$3&lt;AB$3),AB5,IF(OR(C$3&gt;AB$3,C$3&lt;AE$3),AE5,IF(OR(C$3&gt;AE$3,C$3&lt;AH$3),AH5,IF(OR(C$3&gt;AH$3,C$3&lt;AK$3),AK5,IF(OR(C$3&gt;AK$3,C$3&lt;AN$3),AN5)))))</f>
        <v>3.5000000000000004</v>
      </c>
      <c r="D5" s="275">
        <f t="shared" si="16"/>
        <v>4</v>
      </c>
      <c r="E5" s="180">
        <f ca="1">CREDITS!C4</f>
        <v>43398</v>
      </c>
      <c r="F5" s="176">
        <f>CREDITS!D4</f>
        <v>5</v>
      </c>
      <c r="G5" s="170">
        <f>F5+1.75</f>
        <v>6.75</v>
      </c>
      <c r="H5" s="160" t="s">
        <v>16</v>
      </c>
      <c r="I5" s="171" t="s">
        <v>65</v>
      </c>
      <c r="J5" s="138">
        <f>G5-SECOND!$D5</f>
        <v>6.75</v>
      </c>
      <c r="K5" s="161" t="s">
        <v>3</v>
      </c>
      <c r="L5" s="216" t="str">
        <f t="shared" si="17"/>
        <v>N/P</v>
      </c>
      <c r="M5" s="139">
        <f>J5-SECOND!$E5</f>
        <v>5.7</v>
      </c>
      <c r="N5" s="169" t="s">
        <v>16</v>
      </c>
      <c r="O5" s="140" t="s">
        <v>60</v>
      </c>
      <c r="P5" s="217">
        <f>M5-SECOND!$F5</f>
        <v>4.6500000000000004</v>
      </c>
      <c r="Q5" s="218" t="s">
        <v>16</v>
      </c>
      <c r="R5" s="219" t="s">
        <v>60</v>
      </c>
      <c r="S5" s="241">
        <f>P5-SECOND!$G5</f>
        <v>3.5000000000000004</v>
      </c>
      <c r="T5" s="213" t="s">
        <v>16</v>
      </c>
      <c r="U5" s="214" t="s">
        <v>65</v>
      </c>
      <c r="V5" s="239">
        <f>S5-SECOND!$H5</f>
        <v>3.5000000000000004</v>
      </c>
      <c r="W5" s="215" t="s">
        <v>16</v>
      </c>
      <c r="X5" s="216" t="s">
        <v>39</v>
      </c>
      <c r="Y5" s="237">
        <f>V5-SECOND!$I5</f>
        <v>3.5000000000000004</v>
      </c>
      <c r="Z5" s="221" t="s">
        <v>3</v>
      </c>
      <c r="AA5" s="216" t="str">
        <f>IF(Z5="n/p","N/P","N/C")</f>
        <v>N/P</v>
      </c>
      <c r="AB5" s="250">
        <f>Y5-SECOND!$J5</f>
        <v>3.5000000000000004</v>
      </c>
      <c r="AC5" s="222" t="s">
        <v>3</v>
      </c>
      <c r="AD5" s="216" t="str">
        <f t="shared" ref="AD5:AD23" si="18">IF(AC5="P",AA5,IF(AC5="","",IF(AC5="N/E","N/E","N/P")))</f>
        <v>N/P</v>
      </c>
      <c r="AE5" s="251">
        <f>AB5-SECOND!$K5</f>
        <v>3.5000000000000004</v>
      </c>
      <c r="AF5" s="222" t="s">
        <v>93</v>
      </c>
      <c r="AG5" s="216" t="str">
        <f t="shared" ref="AG5:AG32" si="19">IF(AF5="P",AD5,IF(AF5="","",IF(AF5="N/E","N/E","N/P")))</f>
        <v>N/E</v>
      </c>
      <c r="AH5" s="304">
        <f>AE5-SECOND!$L5</f>
        <v>3.5000000000000004</v>
      </c>
      <c r="AI5" s="222" t="s">
        <v>16</v>
      </c>
      <c r="AJ5" s="216" t="s">
        <v>39</v>
      </c>
      <c r="AK5" s="305">
        <f>AH5-SECOND!$M5</f>
        <v>3.5000000000000004</v>
      </c>
      <c r="AL5" s="222" t="s">
        <v>93</v>
      </c>
      <c r="AM5" s="216" t="str">
        <f t="shared" ref="AM5:AM13" si="20">IF(AL5="P",AJ5,IF(AL5="","",IF(AL5="N/E","N/E","N/P")))</f>
        <v>N/E</v>
      </c>
      <c r="AN5" s="306">
        <f>AK5-SECOND!$N5</f>
        <v>3.5000000000000004</v>
      </c>
      <c r="AO5" s="222" t="s">
        <v>93</v>
      </c>
      <c r="AP5" s="216" t="str">
        <f t="shared" ref="AP5" si="21">IF(AO5="P",AM5,IF(AO5="","",IF(AO5="N/E","N/E","N/P")))</f>
        <v>N/E</v>
      </c>
      <c r="AQ5" s="307">
        <f>AN5-SECOND!$O5</f>
        <v>3.5000000000000004</v>
      </c>
      <c r="AR5" s="222" t="s">
        <v>93</v>
      </c>
      <c r="AS5" s="216" t="str">
        <f t="shared" ref="AS5:AS23" si="22">IF(AR5="P",AP5,IF(AR5="","",IF(AR5="N/E","N/E","N/P")))</f>
        <v>N/E</v>
      </c>
      <c r="AT5" s="251">
        <f>AQ5-SECOND!$P5</f>
        <v>3.5000000000000004</v>
      </c>
      <c r="AU5" s="222" t="s">
        <v>93</v>
      </c>
      <c r="AV5" s="216" t="str">
        <f t="shared" ref="AV5" si="23">IF(AU5="P",AS5,IF(AU5="","",IF(AU5="N/E","N/E","N/P")))</f>
        <v>N/E</v>
      </c>
      <c r="AW5" s="251">
        <f>AT5-SECOND!$K5</f>
        <v>3.5000000000000004</v>
      </c>
      <c r="AX5" s="222" t="s">
        <v>93</v>
      </c>
      <c r="AY5" s="216" t="str">
        <f t="shared" ref="AY5" si="24">IF(AX5="P",AV5,IF(AX5="","",IF(AX5="N/E","N/E","N/P")))</f>
        <v>N/E</v>
      </c>
      <c r="AZ5" s="251">
        <f>AW5-SECOND!$K5</f>
        <v>3.5000000000000004</v>
      </c>
      <c r="BA5" s="222" t="s">
        <v>93</v>
      </c>
      <c r="BB5" s="216" t="str">
        <f t="shared" ref="BB5" si="25">IF(BA5="P",AY5,IF(BA5="","",IF(BA5="N/E","N/E","N/P")))</f>
        <v>N/E</v>
      </c>
      <c r="BC5" s="251">
        <f>AZ5-SECOND!$K5</f>
        <v>3.5000000000000004</v>
      </c>
      <c r="BD5" s="222" t="s">
        <v>93</v>
      </c>
      <c r="BE5" s="216" t="str">
        <f t="shared" ref="BE5" si="26">IF(BD5="P",BB5,IF(BD5="","",IF(BD5="N/E","N/E","N/P")))</f>
        <v>N/E</v>
      </c>
      <c r="BF5" s="251">
        <f>BC5-SECOND!$K5</f>
        <v>3.5000000000000004</v>
      </c>
      <c r="BG5" s="222" t="s">
        <v>93</v>
      </c>
      <c r="BH5" s="216" t="str">
        <f t="shared" ref="BH5" si="27">IF(BG5="P",BE5,IF(BG5="","",IF(BG5="N/E","N/E","N/P")))</f>
        <v>N/E</v>
      </c>
    </row>
    <row r="6" spans="1:78" ht="16.5" customHeight="1" thickTop="1" thickBot="1" x14ac:dyDescent="0.4">
      <c r="A6" s="115">
        <f>SEPTEMBRE!$Z4</f>
        <v>0</v>
      </c>
      <c r="B6" s="244"/>
      <c r="C6" s="136">
        <f t="shared" ref="C6:C32" ca="1" si="28">IF(OR(C$3&gt;Y$3,C$3&lt;AB$3),AB6,IF(OR(C$3&gt;AB$3,C$3&lt;AE$3),AE6,IF(OR(C$3&gt;AE$3,C$3&lt;AH$3),AH6,IF(OR(C$3&gt;AH$3,C$3&lt;AK$3),AK6,IF(OR(C$3&gt;AK$3,C$3&lt;AN$3),AN6)))))</f>
        <v>5.8</v>
      </c>
      <c r="D6" s="275">
        <f t="shared" si="16"/>
        <v>1</v>
      </c>
      <c r="E6" s="180">
        <f>CREDITS!C5</f>
        <v>43405</v>
      </c>
      <c r="F6" s="176">
        <f>CREDITS!D5</f>
        <v>10</v>
      </c>
      <c r="G6" s="170">
        <f>F6</f>
        <v>10</v>
      </c>
      <c r="H6" s="160" t="s">
        <v>3</v>
      </c>
      <c r="I6" s="216" t="str">
        <f>IF(H6="n/p","N/P","N/C")</f>
        <v>N/P</v>
      </c>
      <c r="J6" s="138">
        <f>G6-SECOND!$D6</f>
        <v>10</v>
      </c>
      <c r="K6" s="161" t="s">
        <v>3</v>
      </c>
      <c r="L6" s="216" t="str">
        <f t="shared" si="17"/>
        <v>N/P</v>
      </c>
      <c r="M6" s="139">
        <f>J6-SECOND!$E6</f>
        <v>10</v>
      </c>
      <c r="N6" s="169" t="s">
        <v>3</v>
      </c>
      <c r="O6" s="216" t="str">
        <f>IF(N6="n/p","N/P","N/C")</f>
        <v>N/P</v>
      </c>
      <c r="P6" s="217">
        <f>M6-SECOND!$F6</f>
        <v>10</v>
      </c>
      <c r="Q6" s="218" t="s">
        <v>3</v>
      </c>
      <c r="R6" s="216" t="str">
        <f>IF(Q6="n/p","N/P","N/C")</f>
        <v>N/P</v>
      </c>
      <c r="S6" s="241">
        <f>P6-SECOND!$G6</f>
        <v>8.9499999999999993</v>
      </c>
      <c r="T6" s="213" t="s">
        <v>16</v>
      </c>
      <c r="U6" s="214" t="s">
        <v>60</v>
      </c>
      <c r="V6" s="239">
        <f>S6-SECOND!$H6</f>
        <v>7.8999999999999995</v>
      </c>
      <c r="W6" s="215" t="s">
        <v>16</v>
      </c>
      <c r="X6" s="216" t="s">
        <v>60</v>
      </c>
      <c r="Y6" s="237">
        <f>V6-SECOND!$I6</f>
        <v>6.85</v>
      </c>
      <c r="Z6" s="221" t="s">
        <v>16</v>
      </c>
      <c r="AA6" s="216" t="s">
        <v>60</v>
      </c>
      <c r="AB6" s="250">
        <f>Y6-SECOND!$J6</f>
        <v>5.8</v>
      </c>
      <c r="AC6" s="222" t="s">
        <v>16</v>
      </c>
      <c r="AD6" s="216" t="str">
        <f t="shared" si="18"/>
        <v>CROI BEURRE</v>
      </c>
      <c r="AE6" s="251">
        <f>AB6-SECOND!$K6</f>
        <v>5.8</v>
      </c>
      <c r="AF6" s="222" t="s">
        <v>93</v>
      </c>
      <c r="AG6" s="216" t="s">
        <v>93</v>
      </c>
      <c r="AH6" s="304">
        <f>AE6-SECOND!$L6</f>
        <v>4.75</v>
      </c>
      <c r="AI6" s="222" t="s">
        <v>16</v>
      </c>
      <c r="AJ6" s="216" t="s">
        <v>60</v>
      </c>
      <c r="AK6" s="305">
        <f>AH6-SECOND!$M6</f>
        <v>4.75</v>
      </c>
      <c r="AL6" s="222" t="s">
        <v>93</v>
      </c>
      <c r="AM6" s="216" t="str">
        <f t="shared" si="20"/>
        <v>N/E</v>
      </c>
      <c r="AN6" s="306">
        <f>AK6-SECOND!$N6</f>
        <v>4.75</v>
      </c>
      <c r="AO6" s="222" t="s">
        <v>93</v>
      </c>
      <c r="AP6" s="216" t="s">
        <v>93</v>
      </c>
      <c r="AQ6" s="307">
        <f>AN6-SECOND!$O6</f>
        <v>4.75</v>
      </c>
      <c r="AR6" s="222" t="s">
        <v>93</v>
      </c>
      <c r="AS6" s="216" t="str">
        <f t="shared" si="22"/>
        <v>N/E</v>
      </c>
      <c r="AT6" s="251">
        <f>AQ6-SECOND!$P6</f>
        <v>4.75</v>
      </c>
      <c r="AU6" s="222" t="s">
        <v>93</v>
      </c>
      <c r="AV6" s="216" t="s">
        <v>93</v>
      </c>
      <c r="AW6" s="251">
        <f>AT6-SECOND!$K6</f>
        <v>4.75</v>
      </c>
      <c r="AX6" s="222" t="s">
        <v>93</v>
      </c>
      <c r="AY6" s="216" t="s">
        <v>93</v>
      </c>
      <c r="AZ6" s="251">
        <f>AW6-SECOND!$K6</f>
        <v>4.75</v>
      </c>
      <c r="BA6" s="222" t="s">
        <v>93</v>
      </c>
      <c r="BB6" s="216" t="s">
        <v>93</v>
      </c>
      <c r="BC6" s="251">
        <f>AZ6-SECOND!$K6</f>
        <v>4.75</v>
      </c>
      <c r="BD6" s="222" t="s">
        <v>93</v>
      </c>
      <c r="BE6" s="216" t="s">
        <v>93</v>
      </c>
      <c r="BF6" s="251">
        <f>BC6-SECOND!$K6</f>
        <v>4.75</v>
      </c>
      <c r="BG6" s="222" t="s">
        <v>93</v>
      </c>
      <c r="BH6" s="216" t="s">
        <v>93</v>
      </c>
    </row>
    <row r="7" spans="1:78" ht="16.5" customHeight="1" thickTop="1" thickBot="1" x14ac:dyDescent="0.4">
      <c r="A7" s="115">
        <v>0</v>
      </c>
      <c r="B7" s="244"/>
      <c r="C7" s="136">
        <f t="shared" ca="1" si="28"/>
        <v>0.25000000000000022</v>
      </c>
      <c r="D7" s="275">
        <f t="shared" si="16"/>
        <v>3</v>
      </c>
      <c r="E7" s="180">
        <f ca="1">CREDITS!C6</f>
        <v>43374</v>
      </c>
      <c r="F7" s="176">
        <f>CREDITS!D6</f>
        <v>10</v>
      </c>
      <c r="G7" s="170">
        <f>F7-5</f>
        <v>5</v>
      </c>
      <c r="H7" s="160" t="s">
        <v>16</v>
      </c>
      <c r="I7" s="171" t="s">
        <v>65</v>
      </c>
      <c r="J7" s="138">
        <f>G7-SECOND!$D7</f>
        <v>5</v>
      </c>
      <c r="K7" s="161" t="s">
        <v>3</v>
      </c>
      <c r="L7" s="216" t="str">
        <f t="shared" si="17"/>
        <v>N/P</v>
      </c>
      <c r="M7" s="139">
        <f>J7-SECOND!$E7</f>
        <v>3.85</v>
      </c>
      <c r="N7" s="169" t="s">
        <v>16</v>
      </c>
      <c r="O7" s="140" t="s">
        <v>65</v>
      </c>
      <c r="P7" s="217">
        <f>M7-SECOND!$F7</f>
        <v>2.7</v>
      </c>
      <c r="Q7" s="218" t="s">
        <v>16</v>
      </c>
      <c r="R7" s="219" t="s">
        <v>65</v>
      </c>
      <c r="S7" s="241">
        <f>P7-SECOND!$G7</f>
        <v>2.7</v>
      </c>
      <c r="T7" s="213" t="s">
        <v>3</v>
      </c>
      <c r="U7" s="216" t="str">
        <f>IF(T7="n/p","N/P","N/C")</f>
        <v>N/P</v>
      </c>
      <c r="V7" s="239">
        <f>S7-SECOND!$H7</f>
        <v>1.5500000000000003</v>
      </c>
      <c r="W7" s="215" t="s">
        <v>16</v>
      </c>
      <c r="X7" s="216" t="s">
        <v>65</v>
      </c>
      <c r="Y7" s="237">
        <f>V7-SECOND!$I7</f>
        <v>0.25000000000000022</v>
      </c>
      <c r="Z7" s="221" t="s">
        <v>16</v>
      </c>
      <c r="AA7" s="216" t="s">
        <v>61</v>
      </c>
      <c r="AB7" s="250">
        <f>Y7-SECOND!$J7</f>
        <v>0.25000000000000022</v>
      </c>
      <c r="AC7" s="222" t="s">
        <v>16</v>
      </c>
      <c r="AD7" s="216" t="s">
        <v>39</v>
      </c>
      <c r="AE7" s="251">
        <f>AB7-SECOND!$K7</f>
        <v>0.25000000000000022</v>
      </c>
      <c r="AF7" s="222" t="s">
        <v>93</v>
      </c>
      <c r="AG7" s="216" t="s">
        <v>93</v>
      </c>
      <c r="AH7" s="304">
        <f>AE7-SECOND!$L7</f>
        <v>0.25000000000000022</v>
      </c>
      <c r="AI7" s="222" t="s">
        <v>3</v>
      </c>
      <c r="AJ7" s="216" t="str">
        <f t="shared" ref="AJ7:AJ32" si="29">IF(AI7="P",AG7,IF(AI7="","",IF(AI7="N/E","N/E","N/P")))</f>
        <v>N/P</v>
      </c>
      <c r="AK7" s="305">
        <f>AH7-SECOND!$M7</f>
        <v>0.25000000000000022</v>
      </c>
      <c r="AL7" s="222" t="s">
        <v>93</v>
      </c>
      <c r="AM7" s="216" t="str">
        <f t="shared" si="20"/>
        <v>N/E</v>
      </c>
      <c r="AN7" s="306">
        <f>AK7-SECOND!$N7</f>
        <v>0.25000000000000022</v>
      </c>
      <c r="AO7" s="222" t="s">
        <v>93</v>
      </c>
      <c r="AP7" s="216" t="s">
        <v>93</v>
      </c>
      <c r="AQ7" s="307">
        <f>AN7-SECOND!$O7</f>
        <v>0.25000000000000022</v>
      </c>
      <c r="AR7" s="222" t="s">
        <v>93</v>
      </c>
      <c r="AS7" s="216" t="str">
        <f t="shared" si="22"/>
        <v>N/E</v>
      </c>
      <c r="AT7" s="251">
        <f>AQ7-SECOND!$P7</f>
        <v>0.25000000000000022</v>
      </c>
      <c r="AU7" s="222" t="s">
        <v>93</v>
      </c>
      <c r="AV7" s="216" t="s">
        <v>93</v>
      </c>
      <c r="AW7" s="251">
        <f>AT7-SECOND!$K7</f>
        <v>0.25000000000000022</v>
      </c>
      <c r="AX7" s="222" t="s">
        <v>93</v>
      </c>
      <c r="AY7" s="216" t="s">
        <v>93</v>
      </c>
      <c r="AZ7" s="251">
        <f>AW7-SECOND!$K7</f>
        <v>0.25000000000000022</v>
      </c>
      <c r="BA7" s="222" t="s">
        <v>93</v>
      </c>
      <c r="BB7" s="216" t="s">
        <v>93</v>
      </c>
      <c r="BC7" s="251">
        <f>AZ7-SECOND!$K7</f>
        <v>0.25000000000000022</v>
      </c>
      <c r="BD7" s="222" t="s">
        <v>93</v>
      </c>
      <c r="BE7" s="216" t="s">
        <v>93</v>
      </c>
      <c r="BF7" s="251">
        <f>BC7-SECOND!$K7</f>
        <v>0.25000000000000022</v>
      </c>
      <c r="BG7" s="222" t="s">
        <v>93</v>
      </c>
      <c r="BH7" s="216" t="s">
        <v>93</v>
      </c>
    </row>
    <row r="8" spans="1:78" ht="16.5" customHeight="1" thickTop="1" thickBot="1" x14ac:dyDescent="0.4">
      <c r="A8" s="115" t="e">
        <f>SEPTEMBRE!$Z6</f>
        <v>#N/A</v>
      </c>
      <c r="B8" s="244"/>
      <c r="C8" s="136">
        <f t="shared" ca="1" si="28"/>
        <v>20.95000000000001</v>
      </c>
      <c r="D8" s="275">
        <f t="shared" si="16"/>
        <v>2</v>
      </c>
      <c r="E8" s="180">
        <f>CREDITS!C7</f>
        <v>43418</v>
      </c>
      <c r="F8" s="176">
        <f>CREDITS!D7</f>
        <v>30</v>
      </c>
      <c r="G8" s="170">
        <f>2.7+F8</f>
        <v>32.700000000000003</v>
      </c>
      <c r="H8" s="160" t="s">
        <v>3</v>
      </c>
      <c r="I8" s="216" t="str">
        <f>IF(H8="n/p","N/P","N/C")</f>
        <v>N/P</v>
      </c>
      <c r="J8" s="138">
        <f>G8-SECOND!$D8</f>
        <v>32.700000000000003</v>
      </c>
      <c r="K8" s="161" t="s">
        <v>3</v>
      </c>
      <c r="L8" s="216" t="str">
        <f t="shared" si="17"/>
        <v>N/P</v>
      </c>
      <c r="M8" s="139">
        <f>J8-SECOND!$E8</f>
        <v>32.700000000000003</v>
      </c>
      <c r="N8" s="169" t="s">
        <v>3</v>
      </c>
      <c r="O8" s="216" t="str">
        <f>IF(N8="n/p","N/P","N/C")</f>
        <v>N/P</v>
      </c>
      <c r="P8" s="217">
        <f>M8-SECOND!$F8</f>
        <v>31.550000000000004</v>
      </c>
      <c r="Q8" s="218" t="s">
        <v>16</v>
      </c>
      <c r="R8" s="219" t="s">
        <v>65</v>
      </c>
      <c r="S8" s="241">
        <f>P8-SECOND!$G8</f>
        <v>28.900000000000006</v>
      </c>
      <c r="T8" s="213" t="s">
        <v>16</v>
      </c>
      <c r="U8" s="214" t="s">
        <v>2</v>
      </c>
      <c r="V8" s="239">
        <f>S8-SECOND!$H8</f>
        <v>26.250000000000007</v>
      </c>
      <c r="W8" s="215" t="s">
        <v>16</v>
      </c>
      <c r="X8" s="216" t="s">
        <v>2</v>
      </c>
      <c r="Y8" s="237">
        <f>V8-SECOND!$I8</f>
        <v>23.600000000000009</v>
      </c>
      <c r="Z8" s="221" t="s">
        <v>16</v>
      </c>
      <c r="AA8" s="216" t="s">
        <v>2</v>
      </c>
      <c r="AB8" s="250">
        <f>Y8-SECOND!$J8</f>
        <v>20.95000000000001</v>
      </c>
      <c r="AC8" s="222" t="s">
        <v>16</v>
      </c>
      <c r="AD8" s="216" t="str">
        <f t="shared" si="18"/>
        <v>PATES LORRAIN</v>
      </c>
      <c r="AE8" s="251">
        <f>AB8-SECOND!$K8</f>
        <v>20.95000000000001</v>
      </c>
      <c r="AF8" s="222" t="s">
        <v>93</v>
      </c>
      <c r="AG8" s="216" t="str">
        <f t="shared" si="19"/>
        <v>N/E</v>
      </c>
      <c r="AH8" s="304">
        <f>AE8-SECOND!$L8</f>
        <v>18.300000000000011</v>
      </c>
      <c r="AI8" s="222" t="s">
        <v>16</v>
      </c>
      <c r="AJ8" s="216" t="s">
        <v>2</v>
      </c>
      <c r="AK8" s="305">
        <f>AH8-SECOND!$M8</f>
        <v>18.300000000000011</v>
      </c>
      <c r="AL8" s="222" t="s">
        <v>93</v>
      </c>
      <c r="AM8" s="216" t="str">
        <f t="shared" si="20"/>
        <v>N/E</v>
      </c>
      <c r="AN8" s="306">
        <f>AK8-SECOND!$N8</f>
        <v>18.300000000000011</v>
      </c>
      <c r="AO8" s="222" t="s">
        <v>93</v>
      </c>
      <c r="AP8" s="216" t="str">
        <f t="shared" ref="AP8" si="30">IF(AO8="P",AM8,IF(AO8="","",IF(AO8="N/E","N/E","N/P")))</f>
        <v>N/E</v>
      </c>
      <c r="AQ8" s="307">
        <f>AN8-SECOND!$O8</f>
        <v>18.300000000000011</v>
      </c>
      <c r="AR8" s="222" t="s">
        <v>93</v>
      </c>
      <c r="AS8" s="216" t="str">
        <f t="shared" si="22"/>
        <v>N/E</v>
      </c>
      <c r="AT8" s="251">
        <f>AQ8-SECOND!$P8</f>
        <v>18.300000000000011</v>
      </c>
      <c r="AU8" s="222" t="s">
        <v>93</v>
      </c>
      <c r="AV8" s="216" t="s">
        <v>93</v>
      </c>
      <c r="AW8" s="251">
        <f>AT8-SECOND!$K8</f>
        <v>18.300000000000011</v>
      </c>
      <c r="AX8" s="222" t="s">
        <v>93</v>
      </c>
      <c r="AY8" s="216" t="str">
        <f t="shared" ref="AY8" si="31">IF(AX8="P",AV8,IF(AX8="","",IF(AX8="N/E","N/E","N/P")))</f>
        <v>N/E</v>
      </c>
      <c r="AZ8" s="251">
        <f>AW8-SECOND!$K8</f>
        <v>18.300000000000011</v>
      </c>
      <c r="BA8" s="222" t="s">
        <v>93</v>
      </c>
      <c r="BB8" s="216" t="str">
        <f t="shared" ref="BB8" si="32">IF(BA8="P",AY8,IF(BA8="","",IF(BA8="N/E","N/E","N/P")))</f>
        <v>N/E</v>
      </c>
      <c r="BC8" s="251">
        <f>AZ8-SECOND!$K8</f>
        <v>18.300000000000011</v>
      </c>
      <c r="BD8" s="222" t="s">
        <v>93</v>
      </c>
      <c r="BE8" s="216" t="str">
        <f t="shared" ref="BE8" si="33">IF(BD8="P",BB8,IF(BD8="","",IF(BD8="N/E","N/E","N/P")))</f>
        <v>N/E</v>
      </c>
      <c r="BF8" s="251">
        <f>BC8-SECOND!$K8</f>
        <v>18.300000000000011</v>
      </c>
      <c r="BG8" s="222" t="s">
        <v>93</v>
      </c>
      <c r="BH8" s="216" t="str">
        <f t="shared" ref="BH8" si="34">IF(BG8="P",BE8,IF(BG8="","",IF(BG8="N/E","N/E","N/P")))</f>
        <v>N/E</v>
      </c>
    </row>
    <row r="9" spans="1:78" ht="16.5" customHeight="1" thickTop="1" thickBot="1" x14ac:dyDescent="0.4">
      <c r="A9" s="115" t="e">
        <f>SEPTEMBRE!$Z7</f>
        <v>#N/A</v>
      </c>
      <c r="B9" s="244"/>
      <c r="C9" s="136">
        <f t="shared" ca="1" si="28"/>
        <v>5.5</v>
      </c>
      <c r="D9" s="275">
        <f t="shared" si="16"/>
        <v>4</v>
      </c>
      <c r="E9" s="180">
        <f ca="1">CREDITS!C8</f>
        <v>43378</v>
      </c>
      <c r="F9" s="176">
        <f>CREDITS!D8</f>
        <v>10</v>
      </c>
      <c r="G9" s="170">
        <f>1.55+F9</f>
        <v>11.55</v>
      </c>
      <c r="H9" s="160" t="s">
        <v>16</v>
      </c>
      <c r="I9" s="171" t="s">
        <v>65</v>
      </c>
      <c r="J9" s="138">
        <f>G9-SECOND!$D9</f>
        <v>11.55</v>
      </c>
      <c r="K9" s="161" t="s">
        <v>3</v>
      </c>
      <c r="L9" s="216" t="str">
        <f t="shared" si="17"/>
        <v>N/P</v>
      </c>
      <c r="M9" s="139">
        <f>J9-SECOND!$E9</f>
        <v>10.4</v>
      </c>
      <c r="N9" s="169" t="s">
        <v>16</v>
      </c>
      <c r="O9" s="140" t="s">
        <v>65</v>
      </c>
      <c r="P9" s="217">
        <f>M9-SECOND!$F9</f>
        <v>9.25</v>
      </c>
      <c r="Q9" s="218" t="s">
        <v>16</v>
      </c>
      <c r="R9" s="219" t="s">
        <v>65</v>
      </c>
      <c r="S9" s="241">
        <f>P9-SECOND!$G9</f>
        <v>8.1</v>
      </c>
      <c r="T9" s="213" t="s">
        <v>16</v>
      </c>
      <c r="U9" s="214" t="s">
        <v>65</v>
      </c>
      <c r="V9" s="239">
        <f>S9-SECOND!$H9</f>
        <v>6.8</v>
      </c>
      <c r="W9" s="215" t="s">
        <v>16</v>
      </c>
      <c r="X9" s="216" t="s">
        <v>61</v>
      </c>
      <c r="Y9" s="237">
        <f>V9-SECOND!$I9</f>
        <v>6.8</v>
      </c>
      <c r="Z9" s="221" t="s">
        <v>16</v>
      </c>
      <c r="AA9" s="216" t="s">
        <v>39</v>
      </c>
      <c r="AB9" s="250">
        <f>Y9-SECOND!$J9</f>
        <v>5.5</v>
      </c>
      <c r="AC9" s="222" t="s">
        <v>16</v>
      </c>
      <c r="AD9" s="216" t="s">
        <v>61</v>
      </c>
      <c r="AE9" s="251">
        <f>AB9-SECOND!$K9</f>
        <v>5.5</v>
      </c>
      <c r="AF9" s="222" t="s">
        <v>93</v>
      </c>
      <c r="AG9" s="216" t="s">
        <v>93</v>
      </c>
      <c r="AH9" s="304">
        <f>AE9-SECOND!$L9</f>
        <v>4.2</v>
      </c>
      <c r="AI9" s="222" t="s">
        <v>16</v>
      </c>
      <c r="AJ9" s="216" t="s">
        <v>61</v>
      </c>
      <c r="AK9" s="305">
        <f>AH9-SECOND!$M9</f>
        <v>4.2</v>
      </c>
      <c r="AL9" s="222" t="s">
        <v>93</v>
      </c>
      <c r="AM9" s="216" t="str">
        <f t="shared" si="20"/>
        <v>N/E</v>
      </c>
      <c r="AN9" s="306">
        <f>AK9-SECOND!$N9</f>
        <v>4.2</v>
      </c>
      <c r="AO9" s="222" t="s">
        <v>93</v>
      </c>
      <c r="AP9" s="216" t="s">
        <v>93</v>
      </c>
      <c r="AQ9" s="307">
        <f>AN9-SECOND!$O9</f>
        <v>4.2</v>
      </c>
      <c r="AR9" s="222" t="s">
        <v>93</v>
      </c>
      <c r="AS9" s="216" t="str">
        <f t="shared" si="22"/>
        <v>N/E</v>
      </c>
      <c r="AT9" s="251">
        <f>AQ9-SECOND!$P9</f>
        <v>4.2</v>
      </c>
      <c r="AU9" s="222" t="s">
        <v>93</v>
      </c>
      <c r="AV9" s="216" t="s">
        <v>93</v>
      </c>
      <c r="AW9" s="251">
        <f>AT9-SECOND!$K9</f>
        <v>4.2</v>
      </c>
      <c r="AX9" s="222" t="s">
        <v>93</v>
      </c>
      <c r="AY9" s="216" t="s">
        <v>93</v>
      </c>
      <c r="AZ9" s="251">
        <f>AW9-SECOND!$K9</f>
        <v>4.2</v>
      </c>
      <c r="BA9" s="222" t="s">
        <v>93</v>
      </c>
      <c r="BB9" s="216" t="s">
        <v>93</v>
      </c>
      <c r="BC9" s="251">
        <f>AZ9-SECOND!$K9</f>
        <v>4.2</v>
      </c>
      <c r="BD9" s="222" t="s">
        <v>93</v>
      </c>
      <c r="BE9" s="216" t="s">
        <v>93</v>
      </c>
      <c r="BF9" s="251">
        <f>BC9-SECOND!$K9</f>
        <v>4.2</v>
      </c>
      <c r="BG9" s="222" t="s">
        <v>93</v>
      </c>
      <c r="BH9" s="216" t="s">
        <v>93</v>
      </c>
    </row>
    <row r="10" spans="1:78" ht="16.5" customHeight="1" thickTop="1" thickBot="1" x14ac:dyDescent="0.4">
      <c r="A10" s="115" t="e">
        <f>SEPTEMBRE!$Z8</f>
        <v>#N/A</v>
      </c>
      <c r="B10" s="244"/>
      <c r="C10" s="136">
        <f t="shared" ca="1" si="28"/>
        <v>2.8499999999999996</v>
      </c>
      <c r="D10" s="275">
        <f t="shared" si="16"/>
        <v>3</v>
      </c>
      <c r="E10" s="180">
        <f ca="1">CREDITS!C9</f>
        <v>43383</v>
      </c>
      <c r="F10" s="176">
        <f>CREDITS!D9</f>
        <v>10</v>
      </c>
      <c r="G10" s="170">
        <f>0.4+F10</f>
        <v>10.4</v>
      </c>
      <c r="H10" s="160" t="s">
        <v>16</v>
      </c>
      <c r="I10" s="171" t="s">
        <v>65</v>
      </c>
      <c r="J10" s="138">
        <f>G10-SECOND!$D10</f>
        <v>10.4</v>
      </c>
      <c r="K10" s="161" t="s">
        <v>3</v>
      </c>
      <c r="L10" s="216" t="str">
        <f t="shared" si="17"/>
        <v>N/P</v>
      </c>
      <c r="M10" s="139">
        <f>J10-SECOND!$E10</f>
        <v>9.25</v>
      </c>
      <c r="N10" s="169" t="s">
        <v>16</v>
      </c>
      <c r="O10" s="140" t="s">
        <v>65</v>
      </c>
      <c r="P10" s="217">
        <f>M10-SECOND!$F10</f>
        <v>8.1</v>
      </c>
      <c r="Q10" s="218" t="s">
        <v>16</v>
      </c>
      <c r="R10" s="219" t="s">
        <v>65</v>
      </c>
      <c r="S10" s="241">
        <f>P10-SECOND!$G10</f>
        <v>8.1</v>
      </c>
      <c r="T10" s="213" t="s">
        <v>3</v>
      </c>
      <c r="U10" s="216" t="str">
        <f>IF(T10="n/p","N/P","N/C")</f>
        <v>N/P</v>
      </c>
      <c r="V10" s="239">
        <f>S10-SECOND!$H10</f>
        <v>5.4499999999999993</v>
      </c>
      <c r="W10" s="215" t="s">
        <v>16</v>
      </c>
      <c r="X10" s="216" t="s">
        <v>2</v>
      </c>
      <c r="Y10" s="237">
        <f>V10-SECOND!$I10</f>
        <v>4.1499999999999995</v>
      </c>
      <c r="Z10" s="221" t="s">
        <v>16</v>
      </c>
      <c r="AA10" s="216" t="s">
        <v>61</v>
      </c>
      <c r="AB10" s="250">
        <f>Y10-SECOND!$J10</f>
        <v>2.8499999999999996</v>
      </c>
      <c r="AC10" s="222" t="s">
        <v>16</v>
      </c>
      <c r="AD10" s="216" t="str">
        <f t="shared" si="18"/>
        <v>CROI NUTELLA</v>
      </c>
      <c r="AE10" s="251">
        <f>AB10-SECOND!$K10</f>
        <v>2.8499999999999996</v>
      </c>
      <c r="AF10" s="222" t="s">
        <v>93</v>
      </c>
      <c r="AG10" s="216" t="str">
        <f t="shared" si="19"/>
        <v>N/E</v>
      </c>
      <c r="AH10" s="304">
        <f>AE10-SECOND!$L10</f>
        <v>1.5499999999999996</v>
      </c>
      <c r="AI10" s="222" t="s">
        <v>16</v>
      </c>
      <c r="AJ10" s="216" t="s">
        <v>61</v>
      </c>
      <c r="AK10" s="305">
        <f>AH10-SECOND!$M10</f>
        <v>1.5499999999999996</v>
      </c>
      <c r="AL10" s="222" t="s">
        <v>93</v>
      </c>
      <c r="AM10" s="216" t="str">
        <f t="shared" si="20"/>
        <v>N/E</v>
      </c>
      <c r="AN10" s="306">
        <f>AK10-SECOND!$N10</f>
        <v>1.5499999999999996</v>
      </c>
      <c r="AO10" s="222" t="s">
        <v>93</v>
      </c>
      <c r="AP10" s="216" t="str">
        <f t="shared" ref="AP10:AP12" si="35">IF(AO10="P",AM10,IF(AO10="","",IF(AO10="N/E","N/E","N/P")))</f>
        <v>N/E</v>
      </c>
      <c r="AQ10" s="307">
        <f>AN10-SECOND!$O10</f>
        <v>1.5499999999999996</v>
      </c>
      <c r="AR10" s="222" t="s">
        <v>93</v>
      </c>
      <c r="AS10" s="216" t="str">
        <f t="shared" si="22"/>
        <v>N/E</v>
      </c>
      <c r="AT10" s="251">
        <f>AQ10-SECOND!$P10</f>
        <v>1.5499999999999996</v>
      </c>
      <c r="AU10" s="222" t="s">
        <v>93</v>
      </c>
      <c r="AV10" s="216" t="s">
        <v>93</v>
      </c>
      <c r="AW10" s="251">
        <f>AT10-SECOND!$K10</f>
        <v>1.5499999999999996</v>
      </c>
      <c r="AX10" s="222" t="s">
        <v>93</v>
      </c>
      <c r="AY10" s="216" t="str">
        <f t="shared" ref="AY10:AY12" si="36">IF(AX10="P",AV10,IF(AX10="","",IF(AX10="N/E","N/E","N/P")))</f>
        <v>N/E</v>
      </c>
      <c r="AZ10" s="251">
        <f>AW10-SECOND!$K10</f>
        <v>1.5499999999999996</v>
      </c>
      <c r="BA10" s="222" t="s">
        <v>93</v>
      </c>
      <c r="BB10" s="216" t="str">
        <f t="shared" ref="BB10:BB12" si="37">IF(BA10="P",AY10,IF(BA10="","",IF(BA10="N/E","N/E","N/P")))</f>
        <v>N/E</v>
      </c>
      <c r="BC10" s="251">
        <f>AZ10-SECOND!$K10</f>
        <v>1.5499999999999996</v>
      </c>
      <c r="BD10" s="222" t="s">
        <v>93</v>
      </c>
      <c r="BE10" s="216" t="str">
        <f t="shared" ref="BE10:BE12" si="38">IF(BD10="P",BB10,IF(BD10="","",IF(BD10="N/E","N/E","N/P")))</f>
        <v>N/E</v>
      </c>
      <c r="BF10" s="251">
        <f>BC10-SECOND!$K10</f>
        <v>1.5499999999999996</v>
      </c>
      <c r="BG10" s="222" t="s">
        <v>93</v>
      </c>
      <c r="BH10" s="216" t="str">
        <f t="shared" ref="BH10:BH12" si="39">IF(BG10="P",BE10,IF(BG10="","",IF(BG10="N/E","N/E","N/P")))</f>
        <v>N/E</v>
      </c>
    </row>
    <row r="11" spans="1:78" ht="16.5" customHeight="1" thickTop="1" thickBot="1" x14ac:dyDescent="0.4">
      <c r="A11" s="115" t="e">
        <f>SEPTEMBRE!$Z9</f>
        <v>#N/A</v>
      </c>
      <c r="B11" s="244"/>
      <c r="C11" s="136">
        <f t="shared" ca="1" si="28"/>
        <v>6.0000000000000009</v>
      </c>
      <c r="D11" s="275">
        <f t="shared" si="16"/>
        <v>0</v>
      </c>
      <c r="E11" s="180">
        <f>CREDITS!C10</f>
        <v>43408</v>
      </c>
      <c r="F11" s="176">
        <f>CREDITS!D10</f>
        <v>5</v>
      </c>
      <c r="G11" s="170">
        <f>3.55+F11</f>
        <v>8.5500000000000007</v>
      </c>
      <c r="H11" s="160" t="s">
        <v>3</v>
      </c>
      <c r="I11" s="216" t="str">
        <f>IF(H11="n/p","N/P","N/C")</f>
        <v>N/P</v>
      </c>
      <c r="J11" s="138">
        <f>G11-SECOND!$D11</f>
        <v>8.5500000000000007</v>
      </c>
      <c r="K11" s="161" t="s">
        <v>3</v>
      </c>
      <c r="L11" s="216" t="str">
        <f t="shared" si="17"/>
        <v>N/P</v>
      </c>
      <c r="M11" s="139">
        <f>J11-SECOND!$E11</f>
        <v>8.5500000000000007</v>
      </c>
      <c r="N11" s="169" t="s">
        <v>3</v>
      </c>
      <c r="O11" s="216" t="str">
        <f>IF(N11="n/p","N/P","N/C")</f>
        <v>N/P</v>
      </c>
      <c r="P11" s="217">
        <f>M11-SECOND!$F11</f>
        <v>8.5500000000000007</v>
      </c>
      <c r="Q11" s="218" t="s">
        <v>3</v>
      </c>
      <c r="R11" s="216" t="str">
        <f>IF(Q11="n/p","N/P","N/C")</f>
        <v>N/P</v>
      </c>
      <c r="S11" s="241">
        <f>P11-SECOND!$G11</f>
        <v>8.5500000000000007</v>
      </c>
      <c r="T11" s="213" t="s">
        <v>3</v>
      </c>
      <c r="U11" s="216" t="str">
        <f>IF(T11="n/p","N/P","N/C")</f>
        <v>N/P</v>
      </c>
      <c r="V11" s="239">
        <f>S11-SECOND!$H11</f>
        <v>7.3000000000000007</v>
      </c>
      <c r="W11" s="215" t="s">
        <v>16</v>
      </c>
      <c r="X11" s="216" t="s">
        <v>64</v>
      </c>
      <c r="Y11" s="237">
        <f>V11-SECOND!$I11</f>
        <v>7.3000000000000007</v>
      </c>
      <c r="Z11" s="221" t="s">
        <v>16</v>
      </c>
      <c r="AA11" s="216" t="str">
        <f>IF(Z11="n/p","N/P","N/C")</f>
        <v>N/C</v>
      </c>
      <c r="AB11" s="250">
        <f>Y11-SECOND!$J11</f>
        <v>6.0000000000000009</v>
      </c>
      <c r="AC11" s="222" t="s">
        <v>16</v>
      </c>
      <c r="AD11" s="216" t="s">
        <v>61</v>
      </c>
      <c r="AE11" s="251">
        <f>AB11-SECOND!$K11</f>
        <v>6.0000000000000009</v>
      </c>
      <c r="AF11" s="222" t="s">
        <v>93</v>
      </c>
      <c r="AG11" s="216" t="str">
        <f t="shared" si="19"/>
        <v>N/E</v>
      </c>
      <c r="AH11" s="304">
        <f>AE11-SECOND!$L11</f>
        <v>4.7000000000000011</v>
      </c>
      <c r="AI11" s="222" t="s">
        <v>16</v>
      </c>
      <c r="AJ11" s="216" t="s">
        <v>61</v>
      </c>
      <c r="AK11" s="305">
        <f>AH11-SECOND!$M11</f>
        <v>4.7000000000000011</v>
      </c>
      <c r="AL11" s="222" t="s">
        <v>93</v>
      </c>
      <c r="AM11" s="216" t="str">
        <f t="shared" si="20"/>
        <v>N/E</v>
      </c>
      <c r="AN11" s="306">
        <f>AK11-SECOND!$N11</f>
        <v>4.7000000000000011</v>
      </c>
      <c r="AO11" s="222" t="s">
        <v>93</v>
      </c>
      <c r="AP11" s="216" t="str">
        <f t="shared" si="35"/>
        <v>N/E</v>
      </c>
      <c r="AQ11" s="307">
        <f>AN11-SECOND!$O11</f>
        <v>4.7000000000000011</v>
      </c>
      <c r="AR11" s="222" t="s">
        <v>93</v>
      </c>
      <c r="AS11" s="216" t="str">
        <f t="shared" si="22"/>
        <v>N/E</v>
      </c>
      <c r="AT11" s="251">
        <f>AQ11-SECOND!$P11</f>
        <v>4.7000000000000011</v>
      </c>
      <c r="AU11" s="222" t="s">
        <v>93</v>
      </c>
      <c r="AV11" s="216" t="s">
        <v>93</v>
      </c>
      <c r="AW11" s="251">
        <f>AT11-SECOND!$K11</f>
        <v>4.7000000000000011</v>
      </c>
      <c r="AX11" s="222" t="s">
        <v>93</v>
      </c>
      <c r="AY11" s="216" t="str">
        <f t="shared" si="36"/>
        <v>N/E</v>
      </c>
      <c r="AZ11" s="251">
        <f>AW11-SECOND!$K11</f>
        <v>4.7000000000000011</v>
      </c>
      <c r="BA11" s="222" t="s">
        <v>93</v>
      </c>
      <c r="BB11" s="216" t="str">
        <f t="shared" si="37"/>
        <v>N/E</v>
      </c>
      <c r="BC11" s="251">
        <f>AZ11-SECOND!$K11</f>
        <v>4.7000000000000011</v>
      </c>
      <c r="BD11" s="222" t="s">
        <v>93</v>
      </c>
      <c r="BE11" s="216" t="str">
        <f t="shared" si="38"/>
        <v>N/E</v>
      </c>
      <c r="BF11" s="251">
        <f>BC11-SECOND!$K11</f>
        <v>4.7000000000000011</v>
      </c>
      <c r="BG11" s="222" t="s">
        <v>93</v>
      </c>
      <c r="BH11" s="216" t="str">
        <f t="shared" si="39"/>
        <v>N/E</v>
      </c>
    </row>
    <row r="12" spans="1:78" ht="16.5" customHeight="1" thickTop="1" thickBot="1" x14ac:dyDescent="0.4">
      <c r="A12" s="115">
        <v>5</v>
      </c>
      <c r="B12" s="244"/>
      <c r="C12" s="136">
        <f t="shared" ca="1" si="28"/>
        <v>4.2</v>
      </c>
      <c r="D12" s="275">
        <f t="shared" si="16"/>
        <v>4</v>
      </c>
      <c r="E12" s="180">
        <f ca="1">CREDITS!C11</f>
        <v>43398</v>
      </c>
      <c r="F12" s="176">
        <f>CREDITS!D11</f>
        <v>10</v>
      </c>
      <c r="G12" s="170">
        <f>1.55+F12</f>
        <v>11.55</v>
      </c>
      <c r="H12" s="160" t="s">
        <v>16</v>
      </c>
      <c r="I12" s="171" t="s">
        <v>65</v>
      </c>
      <c r="J12" s="138">
        <f>G12-SECOND!$D12</f>
        <v>11.55</v>
      </c>
      <c r="K12" s="161" t="s">
        <v>3</v>
      </c>
      <c r="L12" s="216" t="str">
        <f t="shared" si="17"/>
        <v>N/P</v>
      </c>
      <c r="M12" s="139">
        <f>J12-SECOND!$E12</f>
        <v>10.4</v>
      </c>
      <c r="N12" s="169" t="s">
        <v>16</v>
      </c>
      <c r="O12" s="140" t="s">
        <v>65</v>
      </c>
      <c r="P12" s="217">
        <f>M12-SECOND!$F12</f>
        <v>9.25</v>
      </c>
      <c r="Q12" s="218" t="s">
        <v>16</v>
      </c>
      <c r="R12" s="219" t="s">
        <v>65</v>
      </c>
      <c r="S12" s="241">
        <f>P12-SECOND!$G12</f>
        <v>8.1</v>
      </c>
      <c r="T12" s="213" t="s">
        <v>16</v>
      </c>
      <c r="U12" s="214" t="s">
        <v>65</v>
      </c>
      <c r="V12" s="239">
        <f>S12-SECOND!$H12</f>
        <v>6.8</v>
      </c>
      <c r="W12" s="215" t="s">
        <v>16</v>
      </c>
      <c r="X12" s="216" t="s">
        <v>61</v>
      </c>
      <c r="Y12" s="237">
        <f>V12-SECOND!$I12</f>
        <v>5.5</v>
      </c>
      <c r="Z12" s="221" t="s">
        <v>16</v>
      </c>
      <c r="AA12" s="216" t="s">
        <v>61</v>
      </c>
      <c r="AB12" s="250">
        <f>Y12-SECOND!$J12</f>
        <v>4.2</v>
      </c>
      <c r="AC12" s="222" t="s">
        <v>16</v>
      </c>
      <c r="AD12" s="216" t="s">
        <v>61</v>
      </c>
      <c r="AE12" s="251">
        <f>AB12-SECOND!$K12</f>
        <v>4.2</v>
      </c>
      <c r="AF12" s="222" t="s">
        <v>93</v>
      </c>
      <c r="AG12" s="216" t="str">
        <f t="shared" si="19"/>
        <v>N/E</v>
      </c>
      <c r="AH12" s="304">
        <f>AE12-SECOND!$L12</f>
        <v>4.2</v>
      </c>
      <c r="AI12" s="222" t="s">
        <v>3</v>
      </c>
      <c r="AJ12" s="216" t="str">
        <f t="shared" si="29"/>
        <v>N/P</v>
      </c>
      <c r="AK12" s="305">
        <f>AH12-SECOND!$M12</f>
        <v>4.2</v>
      </c>
      <c r="AL12" s="222" t="s">
        <v>93</v>
      </c>
      <c r="AM12" s="216" t="str">
        <f t="shared" si="20"/>
        <v>N/E</v>
      </c>
      <c r="AN12" s="306">
        <f>AK12-SECOND!$N12</f>
        <v>4.2</v>
      </c>
      <c r="AO12" s="222" t="s">
        <v>93</v>
      </c>
      <c r="AP12" s="216" t="str">
        <f t="shared" si="35"/>
        <v>N/E</v>
      </c>
      <c r="AQ12" s="307">
        <f>AN12-SECOND!$O12</f>
        <v>4.2</v>
      </c>
      <c r="AR12" s="222" t="s">
        <v>93</v>
      </c>
      <c r="AS12" s="216" t="str">
        <f t="shared" si="22"/>
        <v>N/E</v>
      </c>
      <c r="AT12" s="251">
        <f>AQ12-SECOND!$P12</f>
        <v>4.2</v>
      </c>
      <c r="AU12" s="222" t="s">
        <v>93</v>
      </c>
      <c r="AV12" s="216" t="s">
        <v>93</v>
      </c>
      <c r="AW12" s="251">
        <f>AT12-SECOND!$K12</f>
        <v>4.2</v>
      </c>
      <c r="AX12" s="222" t="s">
        <v>93</v>
      </c>
      <c r="AY12" s="216" t="str">
        <f t="shared" si="36"/>
        <v>N/E</v>
      </c>
      <c r="AZ12" s="251">
        <f>AW12-SECOND!$K12</f>
        <v>4.2</v>
      </c>
      <c r="BA12" s="222" t="s">
        <v>93</v>
      </c>
      <c r="BB12" s="216" t="str">
        <f t="shared" si="37"/>
        <v>N/E</v>
      </c>
      <c r="BC12" s="251">
        <f>AZ12-SECOND!$K12</f>
        <v>4.2</v>
      </c>
      <c r="BD12" s="222" t="s">
        <v>93</v>
      </c>
      <c r="BE12" s="216" t="str">
        <f t="shared" si="38"/>
        <v>N/E</v>
      </c>
      <c r="BF12" s="251">
        <f>BC12-SECOND!$K12</f>
        <v>4.2</v>
      </c>
      <c r="BG12" s="222" t="s">
        <v>93</v>
      </c>
      <c r="BH12" s="216" t="str">
        <f t="shared" si="39"/>
        <v>N/E</v>
      </c>
    </row>
    <row r="13" spans="1:78" ht="16.5" customHeight="1" thickTop="1" thickBot="1" x14ac:dyDescent="0.4">
      <c r="A13" s="115" t="e">
        <f>SEPTEMBRE!$Z11</f>
        <v>#N/A</v>
      </c>
      <c r="B13" s="244"/>
      <c r="C13" s="136">
        <f t="shared" ca="1" si="28"/>
        <v>6.85</v>
      </c>
      <c r="D13" s="275">
        <f t="shared" si="16"/>
        <v>3</v>
      </c>
      <c r="E13" s="180">
        <f ca="1">CREDITS!C12</f>
        <v>43392</v>
      </c>
      <c r="F13" s="176">
        <f>CREDITS!D12</f>
        <v>10</v>
      </c>
      <c r="G13" s="170">
        <f>F13+0.4</f>
        <v>10.4</v>
      </c>
      <c r="H13" s="160" t="s">
        <v>16</v>
      </c>
      <c r="I13" s="171" t="s">
        <v>65</v>
      </c>
      <c r="J13" s="138">
        <f>G13-SECOND!$D13</f>
        <v>10.4</v>
      </c>
      <c r="K13" s="161" t="s">
        <v>3</v>
      </c>
      <c r="L13" s="216" t="str">
        <f t="shared" si="17"/>
        <v>N/P</v>
      </c>
      <c r="M13" s="139">
        <f>J13-SECOND!$E13</f>
        <v>9.25</v>
      </c>
      <c r="N13" s="169" t="s">
        <v>16</v>
      </c>
      <c r="O13" s="140" t="s">
        <v>65</v>
      </c>
      <c r="P13" s="217">
        <f>M13-SECOND!$F13</f>
        <v>8.1</v>
      </c>
      <c r="Q13" s="218" t="s">
        <v>16</v>
      </c>
      <c r="R13" s="219" t="s">
        <v>65</v>
      </c>
      <c r="S13" s="241">
        <f>P13-SECOND!$G13</f>
        <v>8.1</v>
      </c>
      <c r="T13" s="213" t="s">
        <v>3</v>
      </c>
      <c r="U13" s="216" t="str">
        <f>IF(T13="n/p","N/P","N/C")</f>
        <v>N/P</v>
      </c>
      <c r="V13" s="239">
        <f>S13-SECOND!$H13</f>
        <v>6.85</v>
      </c>
      <c r="W13" s="215" t="s">
        <v>16</v>
      </c>
      <c r="X13" s="216" t="s">
        <v>67</v>
      </c>
      <c r="Y13" s="237">
        <f>V13-SECOND!$I13</f>
        <v>6.85</v>
      </c>
      <c r="Z13" s="221" t="s">
        <v>16</v>
      </c>
      <c r="AA13" s="216" t="s">
        <v>39</v>
      </c>
      <c r="AB13" s="250">
        <f>Y13-SECOND!$J13</f>
        <v>6.85</v>
      </c>
      <c r="AC13" s="222" t="s">
        <v>16</v>
      </c>
      <c r="AD13" s="216" t="str">
        <f t="shared" si="18"/>
        <v>N/C</v>
      </c>
      <c r="AE13" s="251">
        <f>AB13-SECOND!$K13</f>
        <v>6.85</v>
      </c>
      <c r="AF13" s="222" t="s">
        <v>93</v>
      </c>
      <c r="AG13" s="216" t="s">
        <v>93</v>
      </c>
      <c r="AH13" s="304">
        <f>AE13-SECOND!$L13</f>
        <v>5.6</v>
      </c>
      <c r="AI13" s="222" t="s">
        <v>16</v>
      </c>
      <c r="AJ13" s="216" t="s">
        <v>67</v>
      </c>
      <c r="AK13" s="305">
        <f>AH13-SECOND!$M13</f>
        <v>5.6</v>
      </c>
      <c r="AL13" s="222" t="s">
        <v>93</v>
      </c>
      <c r="AM13" s="216" t="str">
        <f t="shared" si="20"/>
        <v>N/E</v>
      </c>
      <c r="AN13" s="306">
        <f>AK13-SECOND!$N13</f>
        <v>5.6</v>
      </c>
      <c r="AO13" s="222" t="s">
        <v>93</v>
      </c>
      <c r="AP13" s="216" t="s">
        <v>93</v>
      </c>
      <c r="AQ13" s="307">
        <f>AN13-SECOND!$O13</f>
        <v>5.6</v>
      </c>
      <c r="AR13" s="222" t="s">
        <v>93</v>
      </c>
      <c r="AS13" s="216" t="str">
        <f t="shared" si="22"/>
        <v>N/E</v>
      </c>
      <c r="AT13" s="251">
        <f>AQ13-SECOND!$P13</f>
        <v>5.6</v>
      </c>
      <c r="AU13" s="222" t="s">
        <v>93</v>
      </c>
      <c r="AV13" s="216" t="s">
        <v>93</v>
      </c>
      <c r="AW13" s="251">
        <f>AT13-SECOND!$K13</f>
        <v>5.6</v>
      </c>
      <c r="AX13" s="222" t="s">
        <v>93</v>
      </c>
      <c r="AY13" s="216" t="s">
        <v>93</v>
      </c>
      <c r="AZ13" s="251">
        <f>AW13-SECOND!$K13</f>
        <v>5.6</v>
      </c>
      <c r="BA13" s="222" t="s">
        <v>93</v>
      </c>
      <c r="BB13" s="216" t="s">
        <v>93</v>
      </c>
      <c r="BC13" s="251">
        <f>AZ13-SECOND!$K13</f>
        <v>5.6</v>
      </c>
      <c r="BD13" s="222" t="s">
        <v>93</v>
      </c>
      <c r="BE13" s="216" t="s">
        <v>93</v>
      </c>
      <c r="BF13" s="251">
        <f>BC13-SECOND!$K13</f>
        <v>5.6</v>
      </c>
      <c r="BG13" s="222" t="s">
        <v>93</v>
      </c>
      <c r="BH13" s="216" t="s">
        <v>93</v>
      </c>
    </row>
    <row r="14" spans="1:78" ht="16.5" customHeight="1" thickTop="1" thickBot="1" x14ac:dyDescent="0.4">
      <c r="A14" s="115">
        <v>5</v>
      </c>
      <c r="B14" s="244"/>
      <c r="C14" s="136">
        <f t="shared" ca="1" si="28"/>
        <v>16.950000000000006</v>
      </c>
      <c r="D14" s="275">
        <f t="shared" si="16"/>
        <v>2</v>
      </c>
      <c r="E14" s="180">
        <f ca="1">CREDITS!C13</f>
        <v>43392</v>
      </c>
      <c r="F14" s="176">
        <f>CREDITS!D13</f>
        <v>20</v>
      </c>
      <c r="G14" s="170">
        <f>F14+1.55</f>
        <v>21.55</v>
      </c>
      <c r="H14" s="160" t="s">
        <v>3</v>
      </c>
      <c r="I14" s="216" t="str">
        <f>IF(H14="n/p","N/P","N/C")</f>
        <v>N/P</v>
      </c>
      <c r="J14" s="138">
        <f>G14-SECOND!$D14</f>
        <v>21.55</v>
      </c>
      <c r="K14" s="161" t="s">
        <v>3</v>
      </c>
      <c r="L14" s="216" t="str">
        <f t="shared" si="17"/>
        <v>N/P</v>
      </c>
      <c r="M14" s="139">
        <f>J14-SECOND!$E14</f>
        <v>20.400000000000002</v>
      </c>
      <c r="N14" s="169" t="s">
        <v>16</v>
      </c>
      <c r="O14" s="140" t="s">
        <v>65</v>
      </c>
      <c r="P14" s="217">
        <f>M14-SECOND!$F14</f>
        <v>19.250000000000004</v>
      </c>
      <c r="Q14" s="218" t="s">
        <v>16</v>
      </c>
      <c r="R14" s="219" t="s">
        <v>65</v>
      </c>
      <c r="S14" s="241">
        <f>P14-SECOND!$G14</f>
        <v>19.250000000000004</v>
      </c>
      <c r="T14" s="213" t="s">
        <v>3</v>
      </c>
      <c r="U14" s="216" t="str">
        <f>IF(T14="n/p","N/P","N/C")</f>
        <v>N/P</v>
      </c>
      <c r="V14" s="239">
        <f>S14-SECOND!$H14</f>
        <v>18.100000000000005</v>
      </c>
      <c r="W14" s="215" t="s">
        <v>16</v>
      </c>
      <c r="X14" s="216" t="s">
        <v>63</v>
      </c>
      <c r="Y14" s="237">
        <f>V14-SECOND!$I14</f>
        <v>16.950000000000006</v>
      </c>
      <c r="Z14" s="221" t="s">
        <v>16</v>
      </c>
      <c r="AA14" s="216" t="s">
        <v>65</v>
      </c>
      <c r="AB14" s="250">
        <f>Y14-SECOND!$J14</f>
        <v>16.950000000000006</v>
      </c>
      <c r="AC14" s="222" t="s">
        <v>3</v>
      </c>
      <c r="AD14" s="216" t="str">
        <f t="shared" si="18"/>
        <v>N/P</v>
      </c>
      <c r="AE14" s="251">
        <f>AB14-SECOND!$K14</f>
        <v>16.950000000000006</v>
      </c>
      <c r="AF14" s="222" t="s">
        <v>93</v>
      </c>
      <c r="AG14" s="216" t="s">
        <v>93</v>
      </c>
      <c r="AH14" s="304">
        <f>AE14-SECOND!$L14</f>
        <v>15.800000000000006</v>
      </c>
      <c r="AI14" s="222" t="s">
        <v>16</v>
      </c>
      <c r="AJ14" s="216" t="s">
        <v>65</v>
      </c>
      <c r="AK14" s="305">
        <f>AH14-SECOND!$M14</f>
        <v>15.800000000000006</v>
      </c>
      <c r="AL14" s="222" t="s">
        <v>93</v>
      </c>
      <c r="AM14" s="216" t="s">
        <v>93</v>
      </c>
      <c r="AN14" s="306">
        <f>AK14-SECOND!$N14</f>
        <v>15.800000000000006</v>
      </c>
      <c r="AO14" s="222" t="s">
        <v>93</v>
      </c>
      <c r="AP14" s="216" t="s">
        <v>93</v>
      </c>
      <c r="AQ14" s="307">
        <f>AN14-SECOND!$O14</f>
        <v>15.800000000000006</v>
      </c>
      <c r="AR14" s="222" t="s">
        <v>93</v>
      </c>
      <c r="AS14" s="216" t="str">
        <f t="shared" si="22"/>
        <v>N/E</v>
      </c>
      <c r="AT14" s="251">
        <f>AQ14-SECOND!$P14</f>
        <v>15.800000000000006</v>
      </c>
      <c r="AU14" s="222" t="s">
        <v>93</v>
      </c>
      <c r="AV14" s="216" t="s">
        <v>93</v>
      </c>
      <c r="AW14" s="251">
        <f>AT14-SECOND!$K14</f>
        <v>15.800000000000006</v>
      </c>
      <c r="AX14" s="222" t="s">
        <v>93</v>
      </c>
      <c r="AY14" s="216" t="s">
        <v>93</v>
      </c>
      <c r="AZ14" s="251">
        <f>AW14-SECOND!$K14</f>
        <v>15.800000000000006</v>
      </c>
      <c r="BA14" s="222" t="s">
        <v>93</v>
      </c>
      <c r="BB14" s="216" t="s">
        <v>93</v>
      </c>
      <c r="BC14" s="251">
        <f>AZ14-SECOND!$K14</f>
        <v>15.800000000000006</v>
      </c>
      <c r="BD14" s="222" t="s">
        <v>93</v>
      </c>
      <c r="BE14" s="216" t="s">
        <v>93</v>
      </c>
      <c r="BF14" s="251">
        <f>BC14-SECOND!$K14</f>
        <v>15.800000000000006</v>
      </c>
      <c r="BG14" s="222" t="s">
        <v>93</v>
      </c>
      <c r="BH14" s="216" t="s">
        <v>93</v>
      </c>
    </row>
    <row r="15" spans="1:78" ht="16.5" customHeight="1" thickTop="1" thickBot="1" x14ac:dyDescent="0.4">
      <c r="A15" s="115">
        <v>10</v>
      </c>
      <c r="B15" s="244"/>
      <c r="C15" s="136">
        <f t="shared" ca="1" si="28"/>
        <v>1.7500000000000004</v>
      </c>
      <c r="D15" s="275">
        <f t="shared" si="16"/>
        <v>3</v>
      </c>
      <c r="E15" s="180">
        <f ca="1">CREDITS!C14</f>
        <v>0</v>
      </c>
      <c r="F15" s="176">
        <f>CREDITS!D14</f>
        <v>0</v>
      </c>
      <c r="G15" s="170">
        <f>5+F15</f>
        <v>5</v>
      </c>
      <c r="H15" s="160" t="s">
        <v>16</v>
      </c>
      <c r="I15" s="171" t="s">
        <v>60</v>
      </c>
      <c r="J15" s="138">
        <f>G15-SECOND!$D15</f>
        <v>5</v>
      </c>
      <c r="K15" s="161" t="s">
        <v>3</v>
      </c>
      <c r="L15" s="216" t="str">
        <f t="shared" si="17"/>
        <v>N/P</v>
      </c>
      <c r="M15" s="139">
        <f>J15-SECOND!$E15</f>
        <v>3.95</v>
      </c>
      <c r="N15" s="169" t="s">
        <v>16</v>
      </c>
      <c r="O15" s="140" t="s">
        <v>60</v>
      </c>
      <c r="P15" s="217">
        <f>M15-SECOND!$F15</f>
        <v>2.9000000000000004</v>
      </c>
      <c r="Q15" s="218" t="s">
        <v>16</v>
      </c>
      <c r="R15" s="219" t="s">
        <v>60</v>
      </c>
      <c r="S15" s="241">
        <f>P15-SECOND!$G15</f>
        <v>2.9000000000000004</v>
      </c>
      <c r="T15" s="213" t="s">
        <v>3</v>
      </c>
      <c r="U15" s="216" t="str">
        <f>IF(T15="n/p","N/P","N/C")</f>
        <v>N/P</v>
      </c>
      <c r="V15" s="239">
        <f>S15-SECOND!$H15</f>
        <v>1.7500000000000004</v>
      </c>
      <c r="W15" s="215" t="s">
        <v>16</v>
      </c>
      <c r="X15" s="216" t="s">
        <v>65</v>
      </c>
      <c r="Y15" s="237">
        <f>V15-SECOND!$I15</f>
        <v>1.7500000000000004</v>
      </c>
      <c r="Z15" s="221" t="s">
        <v>16</v>
      </c>
      <c r="AA15" s="216" t="s">
        <v>39</v>
      </c>
      <c r="AB15" s="250">
        <f>Y15-SECOND!$J15</f>
        <v>1.7500000000000004</v>
      </c>
      <c r="AC15" s="222" t="s">
        <v>3</v>
      </c>
      <c r="AD15" s="216" t="str">
        <f t="shared" si="18"/>
        <v>N/P</v>
      </c>
      <c r="AE15" s="251">
        <f>AB15-SECOND!$K15</f>
        <v>1.7500000000000004</v>
      </c>
      <c r="AF15" s="222" t="s">
        <v>93</v>
      </c>
      <c r="AG15" s="216" t="str">
        <f t="shared" si="19"/>
        <v>N/E</v>
      </c>
      <c r="AH15" s="304">
        <f>AE15-SECOND!$L15</f>
        <v>1.7500000000000004</v>
      </c>
      <c r="AI15" s="222" t="s">
        <v>3</v>
      </c>
      <c r="AJ15" s="216" t="str">
        <f t="shared" si="29"/>
        <v>N/P</v>
      </c>
      <c r="AK15" s="305">
        <f>AH15-SECOND!$M15</f>
        <v>1.7500000000000004</v>
      </c>
      <c r="AL15" s="222" t="s">
        <v>93</v>
      </c>
      <c r="AM15" s="216" t="str">
        <f t="shared" ref="AM15:AM19" si="40">IF(AL15="P",AJ15,IF(AL15="","",IF(AL15="N/E","N/E","N/P")))</f>
        <v>N/E</v>
      </c>
      <c r="AN15" s="306">
        <f>AK15-SECOND!$N15</f>
        <v>1.7500000000000004</v>
      </c>
      <c r="AO15" s="222" t="s">
        <v>93</v>
      </c>
      <c r="AP15" s="216" t="str">
        <f t="shared" ref="AP15:AP19" si="41">IF(AO15="P",AM15,IF(AO15="","",IF(AO15="N/E","N/E","N/P")))</f>
        <v>N/E</v>
      </c>
      <c r="AQ15" s="307">
        <f>AN15-SECOND!$O15</f>
        <v>1.7500000000000004</v>
      </c>
      <c r="AR15" s="222" t="s">
        <v>93</v>
      </c>
      <c r="AS15" s="216" t="str">
        <f t="shared" si="22"/>
        <v>N/E</v>
      </c>
      <c r="AT15" s="251">
        <f>AQ15-SECOND!$P15</f>
        <v>1.7500000000000004</v>
      </c>
      <c r="AU15" s="222" t="s">
        <v>93</v>
      </c>
      <c r="AV15" s="216" t="s">
        <v>93</v>
      </c>
      <c r="AW15" s="251">
        <f>AT15-SECOND!$K15</f>
        <v>1.7500000000000004</v>
      </c>
      <c r="AX15" s="222" t="s">
        <v>93</v>
      </c>
      <c r="AY15" s="216" t="str">
        <f t="shared" ref="AY15:AY19" si="42">IF(AX15="P",AV15,IF(AX15="","",IF(AX15="N/E","N/E","N/P")))</f>
        <v>N/E</v>
      </c>
      <c r="AZ15" s="251">
        <f>AW15-SECOND!$K15</f>
        <v>1.7500000000000004</v>
      </c>
      <c r="BA15" s="222" t="s">
        <v>93</v>
      </c>
      <c r="BB15" s="216" t="str">
        <f t="shared" ref="BB15:BB19" si="43">IF(BA15="P",AY15,IF(BA15="","",IF(BA15="N/E","N/E","N/P")))</f>
        <v>N/E</v>
      </c>
      <c r="BC15" s="251">
        <f>AZ15-SECOND!$K15</f>
        <v>1.7500000000000004</v>
      </c>
      <c r="BD15" s="222" t="s">
        <v>93</v>
      </c>
      <c r="BE15" s="216" t="str">
        <f t="shared" ref="BE15:BE19" si="44">IF(BD15="P",BB15,IF(BD15="","",IF(BD15="N/E","N/E","N/P")))</f>
        <v>N/E</v>
      </c>
      <c r="BF15" s="251">
        <f>BC15-SECOND!$K15</f>
        <v>1.7500000000000004</v>
      </c>
      <c r="BG15" s="222" t="s">
        <v>93</v>
      </c>
      <c r="BH15" s="216" t="str">
        <f t="shared" ref="BH15:BH19" si="45">IF(BG15="P",BE15,IF(BG15="","",IF(BG15="N/E","N/E","N/P")))</f>
        <v>N/E</v>
      </c>
    </row>
    <row r="16" spans="1:78" ht="16.5" customHeight="1" thickTop="1" thickBot="1" x14ac:dyDescent="0.4">
      <c r="A16" s="115">
        <v>0</v>
      </c>
      <c r="B16" s="244"/>
      <c r="C16" s="136">
        <f t="shared" ca="1" si="28"/>
        <v>5.6000000000000005</v>
      </c>
      <c r="D16" s="275">
        <f t="shared" si="16"/>
        <v>4</v>
      </c>
      <c r="E16" s="180">
        <f ca="1">CREDITS!C15</f>
        <v>43378</v>
      </c>
      <c r="F16" s="176">
        <f>CREDITS!D15</f>
        <v>10</v>
      </c>
      <c r="G16" s="170">
        <f>F16-1.25</f>
        <v>8.75</v>
      </c>
      <c r="H16" s="160" t="s">
        <v>16</v>
      </c>
      <c r="I16" s="171" t="s">
        <v>60</v>
      </c>
      <c r="J16" s="138">
        <f>G16-SECOND!$D16</f>
        <v>8.75</v>
      </c>
      <c r="K16" s="161" t="s">
        <v>3</v>
      </c>
      <c r="L16" s="216" t="str">
        <f>IF(K16="n/p","N/P","N/C")</f>
        <v>N/P</v>
      </c>
      <c r="M16" s="139">
        <f>J16-SECOND!$E16</f>
        <v>7.7</v>
      </c>
      <c r="N16" s="169" t="s">
        <v>16</v>
      </c>
      <c r="O16" s="140" t="s">
        <v>60</v>
      </c>
      <c r="P16" s="217">
        <f>M16-SECOND!$F16</f>
        <v>6.65</v>
      </c>
      <c r="Q16" s="218" t="s">
        <v>16</v>
      </c>
      <c r="R16" s="219" t="s">
        <v>60</v>
      </c>
      <c r="S16" s="241">
        <f>P16-SECOND!$G16</f>
        <v>5.6000000000000005</v>
      </c>
      <c r="T16" s="213" t="s">
        <v>16</v>
      </c>
      <c r="U16" s="214" t="s">
        <v>60</v>
      </c>
      <c r="V16" s="239">
        <f>S16-SECOND!$H16</f>
        <v>5.6000000000000005</v>
      </c>
      <c r="W16" s="215" t="s">
        <v>3</v>
      </c>
      <c r="X16" s="216" t="str">
        <f>IF(W16="n/p","N/P","N/C")</f>
        <v>N/P</v>
      </c>
      <c r="Y16" s="237">
        <f>V16-SECOND!$I16</f>
        <v>5.6000000000000005</v>
      </c>
      <c r="Z16" s="221" t="s">
        <v>3</v>
      </c>
      <c r="AA16" s="216" t="str">
        <f>IF(Z16="n/p","N/P","N/C")</f>
        <v>N/P</v>
      </c>
      <c r="AB16" s="250">
        <f>Y16-SECOND!$J16</f>
        <v>5.6000000000000005</v>
      </c>
      <c r="AC16" s="222" t="s">
        <v>3</v>
      </c>
      <c r="AD16" s="216" t="str">
        <f t="shared" si="18"/>
        <v>N/P</v>
      </c>
      <c r="AE16" s="251">
        <f>AB16-SECOND!$K16</f>
        <v>5.6000000000000005</v>
      </c>
      <c r="AF16" s="222" t="s">
        <v>93</v>
      </c>
      <c r="AG16" s="216" t="str">
        <f t="shared" si="19"/>
        <v>N/E</v>
      </c>
      <c r="AH16" s="304">
        <f>AE16-SECOND!$L16</f>
        <v>5.6000000000000005</v>
      </c>
      <c r="AI16" s="222" t="s">
        <v>16</v>
      </c>
      <c r="AJ16" s="216" t="s">
        <v>39</v>
      </c>
      <c r="AK16" s="305">
        <f>AH16-SECOND!$M16</f>
        <v>5.6000000000000005</v>
      </c>
      <c r="AL16" s="222" t="s">
        <v>93</v>
      </c>
      <c r="AM16" s="216" t="str">
        <f t="shared" si="40"/>
        <v>N/E</v>
      </c>
      <c r="AN16" s="306">
        <f>AK16-SECOND!$N16</f>
        <v>5.6000000000000005</v>
      </c>
      <c r="AO16" s="222" t="s">
        <v>93</v>
      </c>
      <c r="AP16" s="216" t="str">
        <f t="shared" ref="AP16:AP17" si="46">IF(AO16="P",AM16,IF(AO16="","",IF(AO16="N/E","N/E","N/P")))</f>
        <v>N/E</v>
      </c>
      <c r="AQ16" s="307">
        <f>AN16-SECOND!$O16</f>
        <v>5.6000000000000005</v>
      </c>
      <c r="AR16" s="222" t="s">
        <v>93</v>
      </c>
      <c r="AS16" s="216" t="str">
        <f t="shared" si="22"/>
        <v>N/E</v>
      </c>
      <c r="AT16" s="251">
        <f>AQ16-SECOND!$P16</f>
        <v>5.6000000000000005</v>
      </c>
      <c r="AU16" s="222" t="s">
        <v>93</v>
      </c>
      <c r="AV16" s="216" t="s">
        <v>93</v>
      </c>
      <c r="AW16" s="251">
        <f>AT16-SECOND!$K16</f>
        <v>5.6000000000000005</v>
      </c>
      <c r="AX16" s="222" t="s">
        <v>93</v>
      </c>
      <c r="AY16" s="216" t="str">
        <f t="shared" si="42"/>
        <v>N/E</v>
      </c>
      <c r="AZ16" s="251">
        <f>AW16-SECOND!$K16</f>
        <v>5.6000000000000005</v>
      </c>
      <c r="BA16" s="222" t="s">
        <v>93</v>
      </c>
      <c r="BB16" s="216" t="str">
        <f t="shared" si="43"/>
        <v>N/E</v>
      </c>
      <c r="BC16" s="251">
        <f>AZ16-SECOND!$K16</f>
        <v>5.6000000000000005</v>
      </c>
      <c r="BD16" s="222" t="s">
        <v>93</v>
      </c>
      <c r="BE16" s="216" t="str">
        <f t="shared" si="44"/>
        <v>N/E</v>
      </c>
      <c r="BF16" s="251">
        <f>BC16-SECOND!$K16</f>
        <v>5.6000000000000005</v>
      </c>
      <c r="BG16" s="222" t="s">
        <v>93</v>
      </c>
      <c r="BH16" s="216" t="str">
        <f t="shared" si="45"/>
        <v>N/E</v>
      </c>
    </row>
    <row r="17" spans="1:60" ht="16.5" customHeight="1" thickTop="1" thickBot="1" x14ac:dyDescent="0.4">
      <c r="A17" s="115">
        <v>5</v>
      </c>
      <c r="B17" s="244"/>
      <c r="C17" s="136">
        <f ca="1">IF(OR(C$3&gt;Y$3,C$3&lt;AB$3),AB17,IF(OR(C$3&gt;AB$3,C$3&lt;AE$3),AE17,IF(OR(C$3&gt;AE$3,C$3&lt;AH$3),AH17,IF(OR(C$3&gt;AH$3,C$3&lt;AK$3),AK17,IF(OR(C$3&gt;AK$3,C$3&lt;AN$3),AN17)))))</f>
        <v>7.5499999999999972</v>
      </c>
      <c r="D17" s="275">
        <f t="shared" si="16"/>
        <v>3</v>
      </c>
      <c r="E17" s="180">
        <f ca="1">CREDITS!C16</f>
        <v>43382</v>
      </c>
      <c r="F17" s="176">
        <f>CREDITS!D16</f>
        <v>10</v>
      </c>
      <c r="G17" s="170">
        <f>F17+1.85</f>
        <v>11.85</v>
      </c>
      <c r="H17" s="160" t="s">
        <v>16</v>
      </c>
      <c r="I17" s="171" t="s">
        <v>60</v>
      </c>
      <c r="J17" s="138">
        <f>G17-SECOND!$D17</f>
        <v>11.85</v>
      </c>
      <c r="K17" s="161" t="s">
        <v>3</v>
      </c>
      <c r="L17" s="216" t="str">
        <f t="shared" si="17"/>
        <v>N/P</v>
      </c>
      <c r="M17" s="139">
        <f>J17-SECOND!$E17</f>
        <v>10.799999999999999</v>
      </c>
      <c r="N17" s="169" t="s">
        <v>16</v>
      </c>
      <c r="O17" s="140" t="s">
        <v>60</v>
      </c>
      <c r="P17" s="217">
        <f>M17-SECOND!$F17</f>
        <v>9.7499999999999982</v>
      </c>
      <c r="Q17" s="218" t="s">
        <v>16</v>
      </c>
      <c r="R17" s="219" t="s">
        <v>60</v>
      </c>
      <c r="S17" s="241">
        <f>P17-SECOND!$G17</f>
        <v>9.7499999999999982</v>
      </c>
      <c r="T17" s="213" t="s">
        <v>3</v>
      </c>
      <c r="U17" s="216" t="str">
        <f>IF(T17="n/p","N/P","N/C")</f>
        <v>N/P</v>
      </c>
      <c r="V17" s="239">
        <f>S17-SECOND!$H17</f>
        <v>9.7499999999999982</v>
      </c>
      <c r="W17" s="215" t="s">
        <v>3</v>
      </c>
      <c r="X17" s="216" t="str">
        <f>IF(W17="n/p","N/P","N/C")</f>
        <v>N/P</v>
      </c>
      <c r="Y17" s="237">
        <f>V17-SECOND!$I17</f>
        <v>8.6999999999999975</v>
      </c>
      <c r="Z17" s="221" t="s">
        <v>16</v>
      </c>
      <c r="AA17" s="216" t="s">
        <v>60</v>
      </c>
      <c r="AB17" s="250">
        <f>Y17-SECOND!$J17</f>
        <v>7.5499999999999972</v>
      </c>
      <c r="AC17" s="222" t="s">
        <v>16</v>
      </c>
      <c r="AD17" s="216" t="s">
        <v>65</v>
      </c>
      <c r="AE17" s="251">
        <f>AB17-SECOND!$K17</f>
        <v>7.5499999999999972</v>
      </c>
      <c r="AF17" s="222" t="s">
        <v>93</v>
      </c>
      <c r="AG17" s="216" t="str">
        <f t="shared" si="19"/>
        <v>N/E</v>
      </c>
      <c r="AH17" s="304">
        <f>AE17-SECOND!$L17</f>
        <v>6.3999999999999968</v>
      </c>
      <c r="AI17" s="222" t="s">
        <v>16</v>
      </c>
      <c r="AJ17" s="216" t="s">
        <v>65</v>
      </c>
      <c r="AK17" s="305">
        <f>AH17-SECOND!$M17</f>
        <v>6.3999999999999968</v>
      </c>
      <c r="AL17" s="222" t="s">
        <v>93</v>
      </c>
      <c r="AM17" s="216" t="str">
        <f t="shared" si="40"/>
        <v>N/E</v>
      </c>
      <c r="AN17" s="306">
        <f>AK17-SECOND!$N17</f>
        <v>6.3999999999999968</v>
      </c>
      <c r="AO17" s="222" t="s">
        <v>93</v>
      </c>
      <c r="AP17" s="216" t="str">
        <f t="shared" si="46"/>
        <v>N/E</v>
      </c>
      <c r="AQ17" s="307">
        <f>AN17-SECOND!$O17</f>
        <v>6.3999999999999968</v>
      </c>
      <c r="AR17" s="222" t="s">
        <v>93</v>
      </c>
      <c r="AS17" s="216" t="str">
        <f t="shared" si="22"/>
        <v>N/E</v>
      </c>
      <c r="AT17" s="251">
        <f>AQ17-SECOND!$P17</f>
        <v>6.3999999999999968</v>
      </c>
      <c r="AU17" s="222" t="s">
        <v>93</v>
      </c>
      <c r="AV17" s="216" t="s">
        <v>93</v>
      </c>
      <c r="AW17" s="251">
        <f>AT17-SECOND!$K17</f>
        <v>6.3999999999999968</v>
      </c>
      <c r="AX17" s="222" t="s">
        <v>93</v>
      </c>
      <c r="AY17" s="216" t="str">
        <f t="shared" si="42"/>
        <v>N/E</v>
      </c>
      <c r="AZ17" s="251">
        <f>AW17-SECOND!$K17</f>
        <v>6.3999999999999968</v>
      </c>
      <c r="BA17" s="222" t="s">
        <v>93</v>
      </c>
      <c r="BB17" s="216" t="str">
        <f t="shared" si="43"/>
        <v>N/E</v>
      </c>
      <c r="BC17" s="251">
        <f>AZ17-SECOND!$K17</f>
        <v>6.3999999999999968</v>
      </c>
      <c r="BD17" s="222" t="s">
        <v>93</v>
      </c>
      <c r="BE17" s="216" t="str">
        <f t="shared" si="44"/>
        <v>N/E</v>
      </c>
      <c r="BF17" s="251">
        <f>BC17-SECOND!$K17</f>
        <v>6.3999999999999968</v>
      </c>
      <c r="BG17" s="222" t="s">
        <v>93</v>
      </c>
      <c r="BH17" s="216" t="str">
        <f t="shared" si="45"/>
        <v>N/E</v>
      </c>
    </row>
    <row r="18" spans="1:60" ht="16.5" customHeight="1" thickTop="1" thickBot="1" x14ac:dyDescent="0.4">
      <c r="A18" s="115">
        <f>SEPTEMBRE!$Z16</f>
        <v>0</v>
      </c>
      <c r="B18" s="244"/>
      <c r="C18" s="136">
        <f t="shared" ca="1" si="28"/>
        <v>7.6999999999999993</v>
      </c>
      <c r="D18" s="275">
        <f t="shared" si="16"/>
        <v>1</v>
      </c>
      <c r="E18" s="180">
        <f ca="1">CREDITS!C17</f>
        <v>43397</v>
      </c>
      <c r="F18" s="176">
        <f>CREDITS!D17</f>
        <v>10</v>
      </c>
      <c r="G18" s="170">
        <f>F18</f>
        <v>10</v>
      </c>
      <c r="H18" s="160" t="s">
        <v>3</v>
      </c>
      <c r="I18" s="216" t="str">
        <f>IF(H18="n/p","N/P","N/C")</f>
        <v>N/P</v>
      </c>
      <c r="J18" s="138">
        <f>G18-SECOND!$D18</f>
        <v>10</v>
      </c>
      <c r="K18" s="161" t="s">
        <v>3</v>
      </c>
      <c r="L18" s="216" t="str">
        <f t="shared" si="17"/>
        <v>N/P</v>
      </c>
      <c r="M18" s="139">
        <f>J18-SECOND!$E18</f>
        <v>10</v>
      </c>
      <c r="N18" s="169" t="s">
        <v>3</v>
      </c>
      <c r="O18" s="216" t="str">
        <f>IF(N18="n/p","N/P","N/C")</f>
        <v>N/P</v>
      </c>
      <c r="P18" s="217">
        <f>M18-SECOND!$F18</f>
        <v>8.9499999999999993</v>
      </c>
      <c r="Q18" s="218" t="s">
        <v>16</v>
      </c>
      <c r="R18" s="219" t="s">
        <v>60</v>
      </c>
      <c r="S18" s="241">
        <f>P18-SECOND!$G18</f>
        <v>8.9499999999999993</v>
      </c>
      <c r="T18" s="213" t="s">
        <v>3</v>
      </c>
      <c r="U18" s="216" t="str">
        <f>IF(T18="n/p","N/P","N/C")</f>
        <v>N/P</v>
      </c>
      <c r="V18" s="239">
        <f>S18-SECOND!$H18</f>
        <v>7.6999999999999993</v>
      </c>
      <c r="W18" s="215" t="s">
        <v>16</v>
      </c>
      <c r="X18" s="216" t="s">
        <v>67</v>
      </c>
      <c r="Y18" s="237">
        <f>V18-SECOND!$I18</f>
        <v>7.6999999999999993</v>
      </c>
      <c r="Z18" s="221" t="s">
        <v>16</v>
      </c>
      <c r="AA18" s="216" t="s">
        <v>39</v>
      </c>
      <c r="AB18" s="250">
        <f>Y18-SECOND!$J18</f>
        <v>7.6999999999999993</v>
      </c>
      <c r="AC18" s="222" t="s">
        <v>3</v>
      </c>
      <c r="AD18" s="216" t="str">
        <f t="shared" si="18"/>
        <v>N/P</v>
      </c>
      <c r="AE18" s="251">
        <f>AB18-SECOND!$K18</f>
        <v>7.6999999999999993</v>
      </c>
      <c r="AF18" s="222" t="s">
        <v>93</v>
      </c>
      <c r="AG18" s="216" t="str">
        <f t="shared" si="19"/>
        <v>N/E</v>
      </c>
      <c r="AH18" s="304">
        <f>AE18-SECOND!$L18</f>
        <v>7.6999999999999993</v>
      </c>
      <c r="AI18" s="222" t="s">
        <v>3</v>
      </c>
      <c r="AJ18" s="216" t="str">
        <f t="shared" si="29"/>
        <v>N/P</v>
      </c>
      <c r="AK18" s="305">
        <f>AH18-SECOND!$M18</f>
        <v>7.6999999999999993</v>
      </c>
      <c r="AL18" s="222" t="s">
        <v>93</v>
      </c>
      <c r="AM18" s="216" t="str">
        <f t="shared" si="40"/>
        <v>N/E</v>
      </c>
      <c r="AN18" s="306">
        <f>AK18-SECOND!$N18</f>
        <v>7.6999999999999993</v>
      </c>
      <c r="AO18" s="222" t="s">
        <v>93</v>
      </c>
      <c r="AP18" s="216" t="str">
        <f t="shared" si="41"/>
        <v>N/E</v>
      </c>
      <c r="AQ18" s="307">
        <f>AN18-SECOND!$O18</f>
        <v>7.6999999999999993</v>
      </c>
      <c r="AR18" s="222" t="s">
        <v>93</v>
      </c>
      <c r="AS18" s="216" t="str">
        <f t="shared" si="22"/>
        <v>N/E</v>
      </c>
      <c r="AT18" s="251">
        <f>AQ18-SECOND!$P18</f>
        <v>7.6999999999999993</v>
      </c>
      <c r="AU18" s="222" t="s">
        <v>93</v>
      </c>
      <c r="AV18" s="216" t="str">
        <f t="shared" ref="AV18:AV19" si="47">IF(AU18="P",AS18,IF(AU18="","",IF(AU18="N/E","N/E","N/P")))</f>
        <v>N/E</v>
      </c>
      <c r="AW18" s="251">
        <f>AT18-SECOND!$K18</f>
        <v>7.6999999999999993</v>
      </c>
      <c r="AX18" s="222" t="s">
        <v>93</v>
      </c>
      <c r="AY18" s="216" t="str">
        <f t="shared" si="42"/>
        <v>N/E</v>
      </c>
      <c r="AZ18" s="251">
        <f>AW18-SECOND!$K18</f>
        <v>7.6999999999999993</v>
      </c>
      <c r="BA18" s="222" t="s">
        <v>93</v>
      </c>
      <c r="BB18" s="216" t="str">
        <f t="shared" si="43"/>
        <v>N/E</v>
      </c>
      <c r="BC18" s="251">
        <f>AZ18-SECOND!$K18</f>
        <v>7.6999999999999993</v>
      </c>
      <c r="BD18" s="222" t="s">
        <v>93</v>
      </c>
      <c r="BE18" s="216" t="str">
        <f t="shared" si="44"/>
        <v>N/E</v>
      </c>
      <c r="BF18" s="251">
        <f>BC18-SECOND!$K18</f>
        <v>7.6999999999999993</v>
      </c>
      <c r="BG18" s="222" t="s">
        <v>93</v>
      </c>
      <c r="BH18" s="216" t="str">
        <f t="shared" si="45"/>
        <v>N/E</v>
      </c>
    </row>
    <row r="19" spans="1:60" ht="16.5" customHeight="1" thickTop="1" thickBot="1" x14ac:dyDescent="0.4">
      <c r="A19" s="115" t="e">
        <f>SEPTEMBRE!$Z17</f>
        <v>#N/A</v>
      </c>
      <c r="B19" s="244"/>
      <c r="C19" s="136">
        <f ca="1">IF(OR(C$3&gt;Y$3,C$3&lt;AB$3),AB19,IF(OR(C$3&gt;AB$3,C$3&lt;AE$3),AE19,IF(OR(C$3&gt;AE$3,C$3&lt;AH$3),AH19,IF(OR(C$3&gt;AH$3,C$3&lt;AK$3),AK19,IF(OR(C$3&gt;AK$3,C$3&lt;AN$3),AN19)))))</f>
        <v>4.3499999999999996</v>
      </c>
      <c r="D19" s="275">
        <f t="shared" si="16"/>
        <v>2</v>
      </c>
      <c r="E19" s="180">
        <f ca="1">CREDITS!C18</f>
        <v>43378</v>
      </c>
      <c r="F19" s="176">
        <f>CREDITS!D18</f>
        <v>5</v>
      </c>
      <c r="G19" s="170">
        <f>0.5+F19</f>
        <v>5.5</v>
      </c>
      <c r="H19" s="160" t="s">
        <v>16</v>
      </c>
      <c r="I19" s="171" t="s">
        <v>60</v>
      </c>
      <c r="J19" s="138">
        <f>G19-SECOND!$D19</f>
        <v>5.5</v>
      </c>
      <c r="K19" s="161" t="s">
        <v>3</v>
      </c>
      <c r="L19" s="216" t="str">
        <f t="shared" si="17"/>
        <v>N/P</v>
      </c>
      <c r="M19" s="139">
        <f>J19-SECOND!$E19</f>
        <v>4.3499999999999996</v>
      </c>
      <c r="N19" s="169" t="s">
        <v>16</v>
      </c>
      <c r="O19" s="140" t="s">
        <v>65</v>
      </c>
      <c r="P19" s="217">
        <f>M19-SECOND!$F19</f>
        <v>4.3499999999999996</v>
      </c>
      <c r="Q19" s="218" t="s">
        <v>3</v>
      </c>
      <c r="R19" s="216" t="str">
        <f>IF(Q19="n/p","N/P","N/C")</f>
        <v>N/P</v>
      </c>
      <c r="S19" s="241">
        <f>P19-SECOND!$G19</f>
        <v>4.3499999999999996</v>
      </c>
      <c r="T19" s="213" t="s">
        <v>3</v>
      </c>
      <c r="U19" s="216" t="str">
        <f>IF(T19="n/p","N/P","N/C")</f>
        <v>N/P</v>
      </c>
      <c r="V19" s="239">
        <f>S19-SECOND!$H19</f>
        <v>4.3499999999999996</v>
      </c>
      <c r="W19" s="215" t="s">
        <v>3</v>
      </c>
      <c r="X19" s="216" t="str">
        <f>IF(W19="n/p","N/P","N/C")</f>
        <v>N/P</v>
      </c>
      <c r="Y19" s="237">
        <f>V19-SECOND!$I19</f>
        <v>4.3499999999999996</v>
      </c>
      <c r="Z19" s="221" t="s">
        <v>3</v>
      </c>
      <c r="AA19" s="216" t="str">
        <f>IF(Z19="n/p","N/P","N/C")</f>
        <v>N/P</v>
      </c>
      <c r="AB19" s="250">
        <f>Y19-SECOND!$J19</f>
        <v>4.3499999999999996</v>
      </c>
      <c r="AC19" s="222" t="s">
        <v>3</v>
      </c>
      <c r="AD19" s="216" t="str">
        <f t="shared" si="18"/>
        <v>N/P</v>
      </c>
      <c r="AE19" s="251">
        <f>AB19-SECOND!$K19</f>
        <v>4.3499999999999996</v>
      </c>
      <c r="AF19" s="222" t="s">
        <v>93</v>
      </c>
      <c r="AG19" s="216" t="str">
        <f t="shared" si="19"/>
        <v>N/E</v>
      </c>
      <c r="AH19" s="304">
        <f>AE19-SECOND!$L19</f>
        <v>4.3499999999999996</v>
      </c>
      <c r="AI19" s="222" t="s">
        <v>3</v>
      </c>
      <c r="AJ19" s="216" t="str">
        <f t="shared" si="29"/>
        <v>N/P</v>
      </c>
      <c r="AK19" s="305">
        <f>AH19-SECOND!$M19</f>
        <v>4.3499999999999996</v>
      </c>
      <c r="AL19" s="222" t="s">
        <v>93</v>
      </c>
      <c r="AM19" s="216" t="str">
        <f t="shared" si="40"/>
        <v>N/E</v>
      </c>
      <c r="AN19" s="306">
        <f>AK19-SECOND!$N19</f>
        <v>4.3499999999999996</v>
      </c>
      <c r="AO19" s="222" t="s">
        <v>93</v>
      </c>
      <c r="AP19" s="216" t="str">
        <f t="shared" si="41"/>
        <v>N/E</v>
      </c>
      <c r="AQ19" s="307">
        <f>AN19-SECOND!$O19</f>
        <v>4.3499999999999996</v>
      </c>
      <c r="AR19" s="222" t="s">
        <v>93</v>
      </c>
      <c r="AS19" s="216" t="str">
        <f t="shared" si="22"/>
        <v>N/E</v>
      </c>
      <c r="AT19" s="251">
        <f>AQ19-SECOND!$P19</f>
        <v>4.3499999999999996</v>
      </c>
      <c r="AU19" s="222" t="s">
        <v>93</v>
      </c>
      <c r="AV19" s="216" t="str">
        <f t="shared" si="47"/>
        <v>N/E</v>
      </c>
      <c r="AW19" s="251">
        <f>AT19-SECOND!$K19</f>
        <v>4.3499999999999996</v>
      </c>
      <c r="AX19" s="222" t="s">
        <v>93</v>
      </c>
      <c r="AY19" s="216" t="str">
        <f t="shared" si="42"/>
        <v>N/E</v>
      </c>
      <c r="AZ19" s="251">
        <f>AW19-SECOND!$K19</f>
        <v>4.3499999999999996</v>
      </c>
      <c r="BA19" s="222" t="s">
        <v>93</v>
      </c>
      <c r="BB19" s="216" t="str">
        <f t="shared" si="43"/>
        <v>N/E</v>
      </c>
      <c r="BC19" s="251">
        <f>AZ19-SECOND!$K19</f>
        <v>4.3499999999999996</v>
      </c>
      <c r="BD19" s="222" t="s">
        <v>93</v>
      </c>
      <c r="BE19" s="216" t="str">
        <f t="shared" si="44"/>
        <v>N/E</v>
      </c>
      <c r="BF19" s="251">
        <f>BC19-SECOND!$K19</f>
        <v>4.3499999999999996</v>
      </c>
      <c r="BG19" s="222" t="s">
        <v>93</v>
      </c>
      <c r="BH19" s="216" t="str">
        <f t="shared" si="45"/>
        <v>N/E</v>
      </c>
    </row>
    <row r="20" spans="1:60" ht="16.5" customHeight="1" thickTop="1" thickBot="1" x14ac:dyDescent="0.4">
      <c r="A20" s="115">
        <v>0</v>
      </c>
      <c r="B20" s="244"/>
      <c r="C20" s="136">
        <f t="shared" ca="1" si="28"/>
        <v>0</v>
      </c>
      <c r="D20" s="275">
        <f t="shared" si="16"/>
        <v>1</v>
      </c>
      <c r="E20" s="180">
        <f ca="1">CREDITS!C19</f>
        <v>0</v>
      </c>
      <c r="F20" s="176">
        <f>CREDITS!D19</f>
        <v>0</v>
      </c>
      <c r="G20" s="170"/>
      <c r="H20" s="160" t="s">
        <v>16</v>
      </c>
      <c r="I20" s="171" t="s">
        <v>65</v>
      </c>
      <c r="J20" s="138">
        <f>G20-SECOND!$D20</f>
        <v>0</v>
      </c>
      <c r="K20" s="161" t="s">
        <v>93</v>
      </c>
      <c r="L20" s="216" t="s">
        <v>93</v>
      </c>
      <c r="M20" s="139"/>
      <c r="N20" s="161" t="s">
        <v>93</v>
      </c>
      <c r="O20" s="216" t="s">
        <v>93</v>
      </c>
      <c r="P20" s="217"/>
      <c r="Q20" s="161" t="s">
        <v>93</v>
      </c>
      <c r="R20" s="216" t="s">
        <v>93</v>
      </c>
      <c r="S20" s="241"/>
      <c r="T20" s="161" t="s">
        <v>93</v>
      </c>
      <c r="U20" s="216" t="s">
        <v>93</v>
      </c>
      <c r="V20" s="239"/>
      <c r="W20" s="161" t="s">
        <v>93</v>
      </c>
      <c r="X20" s="216" t="s">
        <v>93</v>
      </c>
      <c r="Y20" s="237"/>
      <c r="Z20" s="161" t="s">
        <v>93</v>
      </c>
      <c r="AA20" s="216" t="s">
        <v>93</v>
      </c>
      <c r="AB20" s="250">
        <f>Y20-SECOND!$J20</f>
        <v>0</v>
      </c>
      <c r="AC20" s="161" t="s">
        <v>93</v>
      </c>
      <c r="AD20" s="216" t="s">
        <v>93</v>
      </c>
      <c r="AE20" s="251">
        <f>AB20-SECOND!$K20</f>
        <v>0</v>
      </c>
      <c r="AF20" s="161" t="s">
        <v>93</v>
      </c>
      <c r="AG20" s="216" t="s">
        <v>93</v>
      </c>
      <c r="AH20" s="304">
        <f>AE20-SECOND!$L20</f>
        <v>0</v>
      </c>
      <c r="AI20" s="161" t="s">
        <v>93</v>
      </c>
      <c r="AJ20" s="216" t="s">
        <v>93</v>
      </c>
      <c r="AK20" s="305">
        <f>AH20-SECOND!$M20</f>
        <v>0</v>
      </c>
      <c r="AL20" s="161" t="s">
        <v>93</v>
      </c>
      <c r="AM20" s="216" t="s">
        <v>93</v>
      </c>
      <c r="AN20" s="306">
        <f>AK20-SECOND!$N20</f>
        <v>0</v>
      </c>
      <c r="AO20" s="161" t="s">
        <v>93</v>
      </c>
      <c r="AP20" s="216" t="s">
        <v>93</v>
      </c>
      <c r="AQ20" s="307">
        <f>AN20-SECOND!$O20</f>
        <v>0</v>
      </c>
      <c r="AR20" s="222" t="s">
        <v>93</v>
      </c>
      <c r="AS20" s="216" t="str">
        <f t="shared" si="22"/>
        <v>N/E</v>
      </c>
      <c r="AT20" s="251">
        <f>AQ20-SECOND!$P20</f>
        <v>0</v>
      </c>
      <c r="AU20" s="161" t="s">
        <v>93</v>
      </c>
      <c r="AV20" s="216" t="s">
        <v>93</v>
      </c>
      <c r="AW20" s="251">
        <f>AT20-SECOND!$K20</f>
        <v>0</v>
      </c>
      <c r="AX20" s="161" t="s">
        <v>93</v>
      </c>
      <c r="AY20" s="216" t="s">
        <v>93</v>
      </c>
      <c r="AZ20" s="251">
        <f>AW20-SECOND!$K20</f>
        <v>0</v>
      </c>
      <c r="BA20" s="161" t="s">
        <v>93</v>
      </c>
      <c r="BB20" s="216" t="s">
        <v>93</v>
      </c>
      <c r="BC20" s="251">
        <f>AZ20-SECOND!$K20</f>
        <v>0</v>
      </c>
      <c r="BD20" s="161" t="s">
        <v>93</v>
      </c>
      <c r="BE20" s="216" t="s">
        <v>93</v>
      </c>
      <c r="BF20" s="251">
        <f>BC20-SECOND!$K20</f>
        <v>0</v>
      </c>
      <c r="BG20" s="161" t="s">
        <v>93</v>
      </c>
      <c r="BH20" s="216" t="s">
        <v>93</v>
      </c>
    </row>
    <row r="21" spans="1:60" ht="16.5" customHeight="1" thickTop="1" thickBot="1" x14ac:dyDescent="0.4">
      <c r="A21" s="115">
        <v>5</v>
      </c>
      <c r="B21" s="244"/>
      <c r="C21" s="136">
        <f ca="1">IF(OR(C$3&gt;Y$3,C$3&lt;AB$3),AB21,IF(OR(C$3&gt;AB$3,C$3&lt;AE$3),AE21,IF(OR(C$3&gt;AE$3,C$3&lt;AH$3),AH21,IF(OR(C$3&gt;AH$3,C$3&lt;AK$3),AK21,IF(OR(C$3&gt;AK$3,C$3&lt;AN$3),AN21)))))</f>
        <v>3.85</v>
      </c>
      <c r="D21" s="275">
        <f t="shared" si="16"/>
        <v>0</v>
      </c>
      <c r="E21" s="180">
        <f ca="1">CREDITS!C20</f>
        <v>0</v>
      </c>
      <c r="F21" s="176">
        <f>CREDITS!D20</f>
        <v>0</v>
      </c>
      <c r="G21" s="170">
        <f>3.85+F21</f>
        <v>3.85</v>
      </c>
      <c r="H21" s="160" t="s">
        <v>3</v>
      </c>
      <c r="I21" s="216" t="str">
        <f>IF(H21="n/p","N/P","N/C")</f>
        <v>N/P</v>
      </c>
      <c r="J21" s="138">
        <f>G21-SECOND!$D21</f>
        <v>3.85</v>
      </c>
      <c r="K21" s="161" t="s">
        <v>3</v>
      </c>
      <c r="L21" s="216" t="str">
        <f t="shared" si="17"/>
        <v>N/P</v>
      </c>
      <c r="M21" s="139">
        <f>J21-SECOND!$E21</f>
        <v>3.85</v>
      </c>
      <c r="N21" s="169" t="s">
        <v>3</v>
      </c>
      <c r="O21" s="216" t="str">
        <f>IF(N21="n/p","N/P","N/C")</f>
        <v>N/P</v>
      </c>
      <c r="P21" s="217">
        <f>M21-SECOND!$F21</f>
        <v>3.85</v>
      </c>
      <c r="Q21" s="218" t="s">
        <v>3</v>
      </c>
      <c r="R21" s="216" t="str">
        <f>IF(Q21="n/p","N/P","N/C")</f>
        <v>N/P</v>
      </c>
      <c r="S21" s="241">
        <f>P21-SECOND!$G21</f>
        <v>3.85</v>
      </c>
      <c r="T21" s="213" t="s">
        <v>3</v>
      </c>
      <c r="U21" s="216" t="str">
        <f>IF(T21="n/p","N/P","N/C")</f>
        <v>N/P</v>
      </c>
      <c r="V21" s="239">
        <f>S21-SECOND!$H21</f>
        <v>3.85</v>
      </c>
      <c r="W21" s="215" t="s">
        <v>3</v>
      </c>
      <c r="X21" s="216" t="str">
        <f>IF(W21="n/p","N/P","N/C")</f>
        <v>N/P</v>
      </c>
      <c r="Y21" s="237">
        <f>V21-SECOND!$I21</f>
        <v>3.85</v>
      </c>
      <c r="Z21" s="221" t="s">
        <v>3</v>
      </c>
      <c r="AA21" s="216" t="str">
        <f>IF(Z21="n/p","N/P","N/C")</f>
        <v>N/P</v>
      </c>
      <c r="AB21" s="250">
        <f>Y21-SECOND!$J21</f>
        <v>3.85</v>
      </c>
      <c r="AC21" s="222" t="s">
        <v>3</v>
      </c>
      <c r="AD21" s="216" t="str">
        <f t="shared" si="18"/>
        <v>N/P</v>
      </c>
      <c r="AE21" s="251">
        <f>AB21-SECOND!$K21</f>
        <v>3.85</v>
      </c>
      <c r="AF21" s="222" t="s">
        <v>93</v>
      </c>
      <c r="AG21" s="216" t="str">
        <f t="shared" si="19"/>
        <v>N/E</v>
      </c>
      <c r="AH21" s="304">
        <f>AE21-SECOND!$L21</f>
        <v>2.7</v>
      </c>
      <c r="AI21" s="222" t="s">
        <v>16</v>
      </c>
      <c r="AJ21" s="216" t="s">
        <v>65</v>
      </c>
      <c r="AK21" s="305">
        <f>AH21-SECOND!$M21</f>
        <v>2.7</v>
      </c>
      <c r="AL21" s="222" t="s">
        <v>93</v>
      </c>
      <c r="AM21" s="216" t="str">
        <f t="shared" ref="AM21:AM23" si="48">IF(AL21="P",AJ21,IF(AL21="","",IF(AL21="N/E","N/E","N/P")))</f>
        <v>N/E</v>
      </c>
      <c r="AN21" s="306">
        <f>AK21-SECOND!$N21</f>
        <v>2.7</v>
      </c>
      <c r="AO21" s="222" t="s">
        <v>93</v>
      </c>
      <c r="AP21" s="216" t="str">
        <f t="shared" ref="AP21:AP23" si="49">IF(AO21="P",AM21,IF(AO21="","",IF(AO21="N/E","N/E","N/P")))</f>
        <v>N/E</v>
      </c>
      <c r="AQ21" s="307">
        <f>AN21-SECOND!$O21</f>
        <v>2.7</v>
      </c>
      <c r="AR21" s="222" t="s">
        <v>93</v>
      </c>
      <c r="AS21" s="216" t="str">
        <f t="shared" si="22"/>
        <v>N/E</v>
      </c>
      <c r="AT21" s="251">
        <f>AQ21-SECOND!$P21</f>
        <v>2.7</v>
      </c>
      <c r="AU21" s="222" t="s">
        <v>93</v>
      </c>
      <c r="AV21" s="216" t="str">
        <f t="shared" ref="AV21:AV23" si="50">IF(AU21="P",AS21,IF(AU21="","",IF(AU21="N/E","N/E","N/P")))</f>
        <v>N/E</v>
      </c>
      <c r="AW21" s="251">
        <f>AT21-SECOND!$K21</f>
        <v>2.7</v>
      </c>
      <c r="AX21" s="222" t="s">
        <v>93</v>
      </c>
      <c r="AY21" s="216" t="str">
        <f t="shared" ref="AY21:AY23" si="51">IF(AX21="P",AV21,IF(AX21="","",IF(AX21="N/E","N/E","N/P")))</f>
        <v>N/E</v>
      </c>
      <c r="AZ21" s="251">
        <f>AW21-SECOND!$K21</f>
        <v>2.7</v>
      </c>
      <c r="BA21" s="222" t="s">
        <v>93</v>
      </c>
      <c r="BB21" s="216" t="str">
        <f t="shared" ref="BB21:BB23" si="52">IF(BA21="P",AY21,IF(BA21="","",IF(BA21="N/E","N/E","N/P")))</f>
        <v>N/E</v>
      </c>
      <c r="BC21" s="251">
        <f>AZ21-SECOND!$K21</f>
        <v>2.7</v>
      </c>
      <c r="BD21" s="222" t="s">
        <v>93</v>
      </c>
      <c r="BE21" s="216" t="str">
        <f t="shared" ref="BE21:BE23" si="53">IF(BD21="P",BB21,IF(BD21="","",IF(BD21="N/E","N/E","N/P")))</f>
        <v>N/E</v>
      </c>
      <c r="BF21" s="251">
        <f>BC21-SECOND!$K21</f>
        <v>2.7</v>
      </c>
      <c r="BG21" s="222" t="s">
        <v>93</v>
      </c>
      <c r="BH21" s="216" t="str">
        <f t="shared" ref="BH21:BH23" si="54">IF(BG21="P",BE21,IF(BG21="","",IF(BG21="N/E","N/E","N/P")))</f>
        <v>N/E</v>
      </c>
    </row>
    <row r="22" spans="1:60" ht="16.5" customHeight="1" thickTop="1" thickBot="1" x14ac:dyDescent="0.4">
      <c r="A22" s="115">
        <f>SEPTEMBRE!$Z20</f>
        <v>0</v>
      </c>
      <c r="B22" s="244"/>
      <c r="C22" s="136">
        <f ca="1">IF(OR(C$3&gt;Y$3,C$3&lt;AB$3),AB22,IF(OR(C$3&gt;AB$3,C$3&lt;AE$3),AE22,IF(OR(C$3&gt;AE$3,C$3&lt;AH$3),AH22,IF(OR(C$3&gt;AH$3,C$3&lt;AK$3),AK22,IF(OR(C$3&gt;AK$3,C$3&lt;AN$3),AN22)))))</f>
        <v>2.6999999999999993</v>
      </c>
      <c r="D22" s="275">
        <f t="shared" si="16"/>
        <v>3</v>
      </c>
      <c r="E22" s="180">
        <f ca="1">CREDITS!C21</f>
        <v>43381</v>
      </c>
      <c r="F22" s="176">
        <f>CREDITS!D21</f>
        <v>10</v>
      </c>
      <c r="G22" s="170">
        <f>F22-1.15</f>
        <v>8.85</v>
      </c>
      <c r="H22" s="160" t="s">
        <v>16</v>
      </c>
      <c r="I22" s="171" t="s">
        <v>65</v>
      </c>
      <c r="J22" s="138">
        <f>G22-SECOND!$D22</f>
        <v>8.85</v>
      </c>
      <c r="K22" s="161" t="s">
        <v>3</v>
      </c>
      <c r="L22" s="216" t="str">
        <f t="shared" si="17"/>
        <v>N/P</v>
      </c>
      <c r="M22" s="139">
        <f>J22-SECOND!$E22</f>
        <v>7.6999999999999993</v>
      </c>
      <c r="N22" s="169" t="s">
        <v>16</v>
      </c>
      <c r="O22" s="140" t="s">
        <v>65</v>
      </c>
      <c r="P22" s="217">
        <f>M22-SECOND!$F22</f>
        <v>6.5499999999999989</v>
      </c>
      <c r="Q22" s="218" t="s">
        <v>16</v>
      </c>
      <c r="R22" s="219" t="s">
        <v>65</v>
      </c>
      <c r="S22" s="241">
        <f>P22-SECOND!$G22</f>
        <v>6.5499999999999989</v>
      </c>
      <c r="T22" s="213" t="s">
        <v>3</v>
      </c>
      <c r="U22" s="216" t="str">
        <f>IF(T22="n/p","N/P","N/C")</f>
        <v>N/P</v>
      </c>
      <c r="V22" s="239">
        <f>S22-SECOND!$H22</f>
        <v>5.2999999999999989</v>
      </c>
      <c r="W22" s="215" t="s">
        <v>16</v>
      </c>
      <c r="X22" s="216" t="s">
        <v>64</v>
      </c>
      <c r="Y22" s="237">
        <f>V22-SECOND!$I22</f>
        <v>3.9999999999999991</v>
      </c>
      <c r="Z22" s="221" t="s">
        <v>16</v>
      </c>
      <c r="AA22" s="216" t="s">
        <v>61</v>
      </c>
      <c r="AB22" s="250">
        <f>Y22-SECOND!$J22</f>
        <v>2.6999999999999993</v>
      </c>
      <c r="AC22" s="222" t="s">
        <v>16</v>
      </c>
      <c r="AD22" s="216" t="str">
        <f t="shared" si="18"/>
        <v>CROI NUTELLA</v>
      </c>
      <c r="AE22" s="251">
        <f>AB22-SECOND!$K22</f>
        <v>2.6999999999999993</v>
      </c>
      <c r="AF22" s="222" t="s">
        <v>93</v>
      </c>
      <c r="AG22" s="216" t="str">
        <f t="shared" si="19"/>
        <v>N/E</v>
      </c>
      <c r="AH22" s="304">
        <f>AE22-SECOND!$L22</f>
        <v>1.3999999999999992</v>
      </c>
      <c r="AI22" s="222" t="s">
        <v>16</v>
      </c>
      <c r="AJ22" s="216" t="s">
        <v>62</v>
      </c>
      <c r="AK22" s="305">
        <f>AH22-SECOND!$M22</f>
        <v>1.3999999999999992</v>
      </c>
      <c r="AL22" s="222" t="s">
        <v>93</v>
      </c>
      <c r="AM22" s="216" t="str">
        <f t="shared" si="48"/>
        <v>N/E</v>
      </c>
      <c r="AN22" s="306">
        <f>AK22-SECOND!$N22</f>
        <v>1.3999999999999992</v>
      </c>
      <c r="AO22" s="222" t="s">
        <v>93</v>
      </c>
      <c r="AP22" s="216" t="str">
        <f t="shared" si="49"/>
        <v>N/E</v>
      </c>
      <c r="AQ22" s="307">
        <f>AN22-SECOND!$O22</f>
        <v>1.3999999999999992</v>
      </c>
      <c r="AR22" s="222" t="s">
        <v>93</v>
      </c>
      <c r="AS22" s="216" t="str">
        <f t="shared" si="22"/>
        <v>N/E</v>
      </c>
      <c r="AT22" s="251">
        <f>AQ22-SECOND!$P22</f>
        <v>1.3999999999999992</v>
      </c>
      <c r="AU22" s="222" t="s">
        <v>93</v>
      </c>
      <c r="AV22" s="216" t="str">
        <f t="shared" si="50"/>
        <v>N/E</v>
      </c>
      <c r="AW22" s="251">
        <f>AT22-SECOND!$K22</f>
        <v>1.3999999999999992</v>
      </c>
      <c r="AX22" s="222" t="s">
        <v>93</v>
      </c>
      <c r="AY22" s="216" t="str">
        <f t="shared" si="51"/>
        <v>N/E</v>
      </c>
      <c r="AZ22" s="251">
        <f>AW22-SECOND!$K22</f>
        <v>1.3999999999999992</v>
      </c>
      <c r="BA22" s="222" t="s">
        <v>93</v>
      </c>
      <c r="BB22" s="216" t="str">
        <f t="shared" si="52"/>
        <v>N/E</v>
      </c>
      <c r="BC22" s="251">
        <f>AZ22-SECOND!$K22</f>
        <v>1.3999999999999992</v>
      </c>
      <c r="BD22" s="222" t="s">
        <v>93</v>
      </c>
      <c r="BE22" s="216" t="str">
        <f t="shared" si="53"/>
        <v>N/E</v>
      </c>
      <c r="BF22" s="251">
        <f>BC22-SECOND!$K22</f>
        <v>1.3999999999999992</v>
      </c>
      <c r="BG22" s="222" t="s">
        <v>93</v>
      </c>
      <c r="BH22" s="216" t="str">
        <f t="shared" si="54"/>
        <v>N/E</v>
      </c>
    </row>
    <row r="23" spans="1:60" ht="16.5" customHeight="1" thickTop="1" thickBot="1" x14ac:dyDescent="0.4">
      <c r="A23" s="115" t="e">
        <f>SEPTEMBRE!$Z21</f>
        <v>#N/A</v>
      </c>
      <c r="B23" s="244"/>
      <c r="C23" s="136">
        <f t="shared" ca="1" si="28"/>
        <v>5.7999999999999989</v>
      </c>
      <c r="D23" s="275">
        <f t="shared" si="16"/>
        <v>2</v>
      </c>
      <c r="E23" s="180">
        <f ca="1">CREDITS!C22</f>
        <v>43392</v>
      </c>
      <c r="F23" s="176">
        <f>CREDITS!D22</f>
        <v>10</v>
      </c>
      <c r="G23" s="170">
        <f>0.4+F23</f>
        <v>10.4</v>
      </c>
      <c r="H23" s="160" t="s">
        <v>16</v>
      </c>
      <c r="I23" s="171" t="s">
        <v>65</v>
      </c>
      <c r="J23" s="138">
        <f>G23-SECOND!$D23</f>
        <v>10.4</v>
      </c>
      <c r="K23" s="161" t="s">
        <v>3</v>
      </c>
      <c r="L23" s="216" t="str">
        <f t="shared" si="17"/>
        <v>N/P</v>
      </c>
      <c r="M23" s="139">
        <f>J23-SECOND!$E23</f>
        <v>9.25</v>
      </c>
      <c r="N23" s="169" t="s">
        <v>16</v>
      </c>
      <c r="O23" s="140" t="s">
        <v>65</v>
      </c>
      <c r="P23" s="217">
        <f>M23-SECOND!$F23</f>
        <v>9.25</v>
      </c>
      <c r="Q23" s="218" t="s">
        <v>3</v>
      </c>
      <c r="R23" s="216" t="str">
        <f>IF(Q23="n/p","N/P","N/C")</f>
        <v>N/P</v>
      </c>
      <c r="S23" s="241">
        <f>P23-SECOND!$G23</f>
        <v>9.25</v>
      </c>
      <c r="T23" s="213" t="s">
        <v>3</v>
      </c>
      <c r="U23" s="216" t="str">
        <f>IF(T23="n/p","N/P","N/C")</f>
        <v>N/P</v>
      </c>
      <c r="V23" s="239">
        <f>S23-SECOND!$H23</f>
        <v>8.1</v>
      </c>
      <c r="W23" s="215" t="s">
        <v>16</v>
      </c>
      <c r="X23" s="216" t="s">
        <v>65</v>
      </c>
      <c r="Y23" s="237">
        <f>V23-SECOND!$I23</f>
        <v>6.9499999999999993</v>
      </c>
      <c r="Z23" s="221" t="s">
        <v>16</v>
      </c>
      <c r="AA23" s="216" t="s">
        <v>65</v>
      </c>
      <c r="AB23" s="250">
        <f>Y23-SECOND!$J23</f>
        <v>5.7999999999999989</v>
      </c>
      <c r="AC23" s="222" t="s">
        <v>16</v>
      </c>
      <c r="AD23" s="216" t="str">
        <f t="shared" si="18"/>
        <v>PAIN CHOCOLAT</v>
      </c>
      <c r="AE23" s="251">
        <f>AB23-SECOND!$K23</f>
        <v>5.7999999999999989</v>
      </c>
      <c r="AF23" s="222" t="s">
        <v>93</v>
      </c>
      <c r="AG23" s="216" t="str">
        <f t="shared" si="19"/>
        <v>N/E</v>
      </c>
      <c r="AH23" s="304">
        <f>AE23-SECOND!$L23</f>
        <v>4.6499999999999986</v>
      </c>
      <c r="AI23" s="222" t="s">
        <v>16</v>
      </c>
      <c r="AJ23" s="216" t="s">
        <v>65</v>
      </c>
      <c r="AK23" s="305">
        <f>AH23-SECOND!$M23</f>
        <v>4.6499999999999986</v>
      </c>
      <c r="AL23" s="222" t="s">
        <v>93</v>
      </c>
      <c r="AM23" s="216" t="str">
        <f t="shared" si="48"/>
        <v>N/E</v>
      </c>
      <c r="AN23" s="306">
        <f>AK23-SECOND!$N23</f>
        <v>4.6499999999999986</v>
      </c>
      <c r="AO23" s="222" t="s">
        <v>93</v>
      </c>
      <c r="AP23" s="216" t="str">
        <f t="shared" si="49"/>
        <v>N/E</v>
      </c>
      <c r="AQ23" s="307">
        <f>AN23-SECOND!$O23</f>
        <v>4.6499999999999986</v>
      </c>
      <c r="AR23" s="222" t="s">
        <v>93</v>
      </c>
      <c r="AS23" s="216" t="str">
        <f t="shared" si="22"/>
        <v>N/E</v>
      </c>
      <c r="AT23" s="251">
        <f>AQ23-SECOND!$P23</f>
        <v>4.6499999999999986</v>
      </c>
      <c r="AU23" s="222" t="s">
        <v>93</v>
      </c>
      <c r="AV23" s="216" t="str">
        <f t="shared" si="50"/>
        <v>N/E</v>
      </c>
      <c r="AW23" s="251">
        <f>AT23-SECOND!$K23</f>
        <v>4.6499999999999986</v>
      </c>
      <c r="AX23" s="222" t="s">
        <v>93</v>
      </c>
      <c r="AY23" s="216" t="str">
        <f t="shared" si="51"/>
        <v>N/E</v>
      </c>
      <c r="AZ23" s="251">
        <f>AW23-SECOND!$K23</f>
        <v>4.6499999999999986</v>
      </c>
      <c r="BA23" s="222" t="s">
        <v>93</v>
      </c>
      <c r="BB23" s="216" t="str">
        <f t="shared" si="52"/>
        <v>N/E</v>
      </c>
      <c r="BC23" s="251">
        <f>AZ23-SECOND!$K23</f>
        <v>4.6499999999999986</v>
      </c>
      <c r="BD23" s="222" t="s">
        <v>93</v>
      </c>
      <c r="BE23" s="216" t="str">
        <f t="shared" si="53"/>
        <v>N/E</v>
      </c>
      <c r="BF23" s="251">
        <f>BC23-SECOND!$K23</f>
        <v>4.6499999999999986</v>
      </c>
      <c r="BG23" s="222" t="s">
        <v>93</v>
      </c>
      <c r="BH23" s="216" t="str">
        <f t="shared" si="54"/>
        <v>N/E</v>
      </c>
    </row>
    <row r="24" spans="1:60" s="15" customFormat="1" ht="16.5" customHeight="1" thickTop="1" thickBot="1" x14ac:dyDescent="0.4">
      <c r="A24" s="115" t="e">
        <f>SEPTEMBRE!$Z22</f>
        <v>#N/A</v>
      </c>
      <c r="B24" s="244"/>
      <c r="C24" s="136">
        <f ca="1">IF(OR(C$3&gt;Y$3,C$3&lt;AB$3),AB24,IF(OR(C$3&gt;AB$3,C$3&lt;AE$3),AE24,IF(OR(C$3&gt;AE$3,C$3&lt;AH$3),AH24,IF(OR(C$3&gt;AH$3,C$3&lt;AK$3),AK24,IF(OR(C$3&gt;AK$3,C$3&lt;AN$3),AN24)))))</f>
        <v>10.5</v>
      </c>
      <c r="D24" s="275">
        <f t="shared" si="16"/>
        <v>4</v>
      </c>
      <c r="E24" s="180">
        <f>CREDITS!C23</f>
        <v>43412</v>
      </c>
      <c r="F24" s="176">
        <f>CREDITS!D23</f>
        <v>20</v>
      </c>
      <c r="G24" s="170">
        <f>0.7+F24</f>
        <v>20.7</v>
      </c>
      <c r="H24" s="160" t="s">
        <v>16</v>
      </c>
      <c r="I24" s="171" t="s">
        <v>65</v>
      </c>
      <c r="J24" s="138">
        <f>G24-SECOND!$D24</f>
        <v>20.7</v>
      </c>
      <c r="K24" s="161" t="s">
        <v>3</v>
      </c>
      <c r="L24" s="216" t="str">
        <f t="shared" si="17"/>
        <v>N/P</v>
      </c>
      <c r="M24" s="139">
        <f>J24-SECOND!$E24</f>
        <v>19.55</v>
      </c>
      <c r="N24" s="169" t="s">
        <v>16</v>
      </c>
      <c r="O24" s="140" t="s">
        <v>65</v>
      </c>
      <c r="P24" s="217">
        <f>M24-SECOND!$F24</f>
        <v>18.400000000000002</v>
      </c>
      <c r="Q24" s="218" t="s">
        <v>16</v>
      </c>
      <c r="R24" s="219" t="s">
        <v>65</v>
      </c>
      <c r="S24" s="241">
        <f>P24-SECOND!$G24</f>
        <v>15.750000000000002</v>
      </c>
      <c r="T24" s="213" t="s">
        <v>16</v>
      </c>
      <c r="U24" s="214" t="s">
        <v>2</v>
      </c>
      <c r="V24" s="239">
        <f>S24-SECOND!$H24</f>
        <v>14.450000000000001</v>
      </c>
      <c r="W24" s="215" t="s">
        <v>16</v>
      </c>
      <c r="X24" s="216" t="s">
        <v>61</v>
      </c>
      <c r="Y24" s="237">
        <f>V24-SECOND!$I24</f>
        <v>13.15</v>
      </c>
      <c r="Z24" s="221" t="s">
        <v>16</v>
      </c>
      <c r="AA24" s="216" t="s">
        <v>62</v>
      </c>
      <c r="AB24" s="250">
        <f>Y24-SECOND!$J24</f>
        <v>10.5</v>
      </c>
      <c r="AC24" s="222" t="s">
        <v>16</v>
      </c>
      <c r="AD24" s="216" t="s">
        <v>66</v>
      </c>
      <c r="AE24" s="251">
        <f>AB24-SECOND!$K24</f>
        <v>10.5</v>
      </c>
      <c r="AF24" s="222" t="s">
        <v>93</v>
      </c>
      <c r="AG24" s="216" t="s">
        <v>93</v>
      </c>
      <c r="AH24" s="304">
        <f>AE24-SECOND!$L24</f>
        <v>9.25</v>
      </c>
      <c r="AI24" s="222" t="s">
        <v>16</v>
      </c>
      <c r="AJ24" s="216" t="s">
        <v>67</v>
      </c>
      <c r="AK24" s="305">
        <f>AH24-SECOND!$M24</f>
        <v>9.25</v>
      </c>
      <c r="AL24" s="222" t="s">
        <v>93</v>
      </c>
      <c r="AM24" s="216" t="s">
        <v>93</v>
      </c>
      <c r="AN24" s="306">
        <f>AK24-SECOND!$N24</f>
        <v>9.25</v>
      </c>
      <c r="AO24" s="222" t="s">
        <v>93</v>
      </c>
      <c r="AP24" s="216" t="s">
        <v>93</v>
      </c>
      <c r="AQ24" s="307">
        <f>AN24-SECOND!$O24</f>
        <v>9.25</v>
      </c>
      <c r="AR24" s="222" t="s">
        <v>93</v>
      </c>
      <c r="AS24" s="216" t="s">
        <v>93</v>
      </c>
      <c r="AT24" s="251">
        <f>AQ24-SECOND!$P24</f>
        <v>9.25</v>
      </c>
      <c r="AU24" s="222" t="s">
        <v>93</v>
      </c>
      <c r="AV24" s="216" t="s">
        <v>93</v>
      </c>
      <c r="AW24" s="251">
        <f>AT24-SECOND!$K24</f>
        <v>9.25</v>
      </c>
      <c r="AX24" s="222" t="s">
        <v>93</v>
      </c>
      <c r="AY24" s="216" t="s">
        <v>93</v>
      </c>
      <c r="AZ24" s="251">
        <f>AW24-SECOND!$K24</f>
        <v>9.25</v>
      </c>
      <c r="BA24" s="222" t="s">
        <v>93</v>
      </c>
      <c r="BB24" s="216" t="s">
        <v>93</v>
      </c>
      <c r="BC24" s="251">
        <f>AZ24-SECOND!$K24</f>
        <v>9.25</v>
      </c>
      <c r="BD24" s="222" t="s">
        <v>93</v>
      </c>
      <c r="BE24" s="216" t="s">
        <v>93</v>
      </c>
      <c r="BF24" s="251">
        <f>BC24-SECOND!$K24</f>
        <v>9.25</v>
      </c>
      <c r="BG24" s="222" t="s">
        <v>93</v>
      </c>
      <c r="BH24" s="216" t="s">
        <v>93</v>
      </c>
    </row>
    <row r="25" spans="1:60" s="15" customFormat="1" ht="16.5" customHeight="1" thickTop="1" thickBot="1" x14ac:dyDescent="0.4">
      <c r="A25" s="115">
        <f>SEPTEMBRE!$Z23</f>
        <v>0</v>
      </c>
      <c r="B25" s="244"/>
      <c r="C25" s="136">
        <f t="shared" ca="1" si="28"/>
        <v>13.4</v>
      </c>
      <c r="D25" s="275">
        <f t="shared" si="16"/>
        <v>3</v>
      </c>
      <c r="E25" s="180">
        <f ca="1">CREDITS!C24</f>
        <v>43374</v>
      </c>
      <c r="F25" s="176">
        <f>CREDITS!D24</f>
        <v>20</v>
      </c>
      <c r="G25" s="170">
        <f>F25-1.05</f>
        <v>18.95</v>
      </c>
      <c r="H25" s="160" t="s">
        <v>16</v>
      </c>
      <c r="I25" s="171" t="s">
        <v>60</v>
      </c>
      <c r="J25" s="138">
        <f>G25-SECOND!$D25</f>
        <v>18.95</v>
      </c>
      <c r="K25" s="161" t="s">
        <v>3</v>
      </c>
      <c r="L25" s="216" t="str">
        <f t="shared" si="17"/>
        <v>N/P</v>
      </c>
      <c r="M25" s="139">
        <f>J25-SECOND!$E25</f>
        <v>17.8</v>
      </c>
      <c r="N25" s="169" t="s">
        <v>16</v>
      </c>
      <c r="O25" s="140" t="s">
        <v>65</v>
      </c>
      <c r="P25" s="217">
        <f>M25-SECOND!$F25</f>
        <v>16.650000000000002</v>
      </c>
      <c r="Q25" s="218" t="s">
        <v>16</v>
      </c>
      <c r="R25" s="219" t="s">
        <v>65</v>
      </c>
      <c r="S25" s="241">
        <f>P25-SECOND!$G25</f>
        <v>16.650000000000002</v>
      </c>
      <c r="T25" s="213" t="s">
        <v>3</v>
      </c>
      <c r="U25" s="216" t="str">
        <f>IF(T25="n/p","N/P","N/C")</f>
        <v>N/P</v>
      </c>
      <c r="V25" s="239">
        <f>S25-SECOND!$H25</f>
        <v>15.600000000000001</v>
      </c>
      <c r="W25" s="215" t="s">
        <v>16</v>
      </c>
      <c r="X25" s="216" t="s">
        <v>60</v>
      </c>
      <c r="Y25" s="237">
        <f>V25-SECOND!$I25</f>
        <v>14.450000000000001</v>
      </c>
      <c r="Z25" s="221" t="s">
        <v>16</v>
      </c>
      <c r="AA25" s="216" t="s">
        <v>65</v>
      </c>
      <c r="AB25" s="250">
        <f>Y25-SECOND!$J25</f>
        <v>13.4</v>
      </c>
      <c r="AC25" s="222" t="s">
        <v>16</v>
      </c>
      <c r="AD25" s="216" t="s">
        <v>60</v>
      </c>
      <c r="AE25" s="251">
        <f>AB25-SECOND!$K25</f>
        <v>13.4</v>
      </c>
      <c r="AF25" s="222" t="s">
        <v>93</v>
      </c>
      <c r="AG25" s="216" t="str">
        <f t="shared" si="19"/>
        <v>N/E</v>
      </c>
      <c r="AH25" s="304">
        <f>AE25-SECOND!$L25</f>
        <v>12.25</v>
      </c>
      <c r="AI25" s="222" t="s">
        <v>16</v>
      </c>
      <c r="AJ25" s="216" t="s">
        <v>65</v>
      </c>
      <c r="AK25" s="305">
        <f>AH25-SECOND!$M25</f>
        <v>12.25</v>
      </c>
      <c r="AL25" s="222" t="s">
        <v>93</v>
      </c>
      <c r="AM25" s="216" t="str">
        <f t="shared" ref="AM25:AM32" si="55">IF(AL25="P",AJ25,IF(AL25="","",IF(AL25="N/E","N/E","N/P")))</f>
        <v>N/E</v>
      </c>
      <c r="AN25" s="306">
        <f>AK25-SECOND!$N25</f>
        <v>12.25</v>
      </c>
      <c r="AO25" s="222" t="s">
        <v>93</v>
      </c>
      <c r="AP25" s="216" t="str">
        <f t="shared" ref="AP25:AP32" si="56">IF(AO25="P",AM25,IF(AO25="","",IF(AO25="N/E","N/E","N/P")))</f>
        <v>N/E</v>
      </c>
      <c r="AQ25" s="307">
        <f>AN25-SECOND!$O25</f>
        <v>12.25</v>
      </c>
      <c r="AR25" s="222" t="s">
        <v>93</v>
      </c>
      <c r="AS25" s="216" t="str">
        <f t="shared" ref="AS25:AS32" si="57">IF(AR25="P",AP25,IF(AR25="","",IF(AR25="N/E","N/E","N/P")))</f>
        <v>N/E</v>
      </c>
      <c r="AT25" s="251">
        <f>AQ25-SECOND!$P25</f>
        <v>12.25</v>
      </c>
      <c r="AU25" s="222" t="s">
        <v>93</v>
      </c>
      <c r="AV25" s="216" t="str">
        <f t="shared" ref="AV25:AV32" si="58">IF(AU25="P",AS25,IF(AU25="","",IF(AU25="N/E","N/E","N/P")))</f>
        <v>N/E</v>
      </c>
      <c r="AW25" s="251">
        <f>AT25-SECOND!$K25</f>
        <v>12.25</v>
      </c>
      <c r="AX25" s="222" t="s">
        <v>93</v>
      </c>
      <c r="AY25" s="216" t="str">
        <f t="shared" ref="AY25:AY32" si="59">IF(AX25="P",AV25,IF(AX25="","",IF(AX25="N/E","N/E","N/P")))</f>
        <v>N/E</v>
      </c>
      <c r="AZ25" s="251">
        <f>AW25-SECOND!$K25</f>
        <v>12.25</v>
      </c>
      <c r="BA25" s="222" t="s">
        <v>93</v>
      </c>
      <c r="BB25" s="216" t="str">
        <f t="shared" ref="BB25:BB32" si="60">IF(BA25="P",AY25,IF(BA25="","",IF(BA25="N/E","N/E","N/P")))</f>
        <v>N/E</v>
      </c>
      <c r="BC25" s="251">
        <f>AZ25-SECOND!$K25</f>
        <v>12.25</v>
      </c>
      <c r="BD25" s="222" t="s">
        <v>93</v>
      </c>
      <c r="BE25" s="216" t="str">
        <f t="shared" ref="BE25:BE32" si="61">IF(BD25="P",BB25,IF(BD25="","",IF(BD25="N/E","N/E","N/P")))</f>
        <v>N/E</v>
      </c>
      <c r="BF25" s="251">
        <f>BC25-SECOND!$K25</f>
        <v>12.25</v>
      </c>
      <c r="BG25" s="222" t="s">
        <v>93</v>
      </c>
      <c r="BH25" s="216" t="str">
        <f t="shared" ref="BH25:BH32" si="62">IF(BG25="P",BE25,IF(BG25="","",IF(BG25="N/E","N/E","N/P")))</f>
        <v>N/E</v>
      </c>
    </row>
    <row r="26" spans="1:60" s="15" customFormat="1" ht="16.5" customHeight="1" thickTop="1" thickBot="1" x14ac:dyDescent="0.4">
      <c r="A26" s="115">
        <f>SEPTEMBRE!$Z24</f>
        <v>0</v>
      </c>
      <c r="B26" s="244"/>
      <c r="C26" s="136">
        <f t="shared" ca="1" si="28"/>
        <v>5.8</v>
      </c>
      <c r="D26" s="275">
        <f t="shared" si="16"/>
        <v>1</v>
      </c>
      <c r="E26" s="180">
        <f ca="1">CREDITS!C25</f>
        <v>43398</v>
      </c>
      <c r="F26" s="176">
        <f>CREDITS!D25</f>
        <v>10</v>
      </c>
      <c r="G26" s="170">
        <f>F26</f>
        <v>10</v>
      </c>
      <c r="H26" s="160" t="s">
        <v>3</v>
      </c>
      <c r="I26" s="216" t="str">
        <f>IF(H26="n/p","N/P","N/C")</f>
        <v>N/P</v>
      </c>
      <c r="J26" s="138">
        <f>G26-SECOND!$D26</f>
        <v>10</v>
      </c>
      <c r="K26" s="161" t="s">
        <v>3</v>
      </c>
      <c r="L26" s="216" t="str">
        <f t="shared" si="17"/>
        <v>N/P</v>
      </c>
      <c r="M26" s="139">
        <f>J26-SECOND!$E26</f>
        <v>10</v>
      </c>
      <c r="N26" s="169" t="s">
        <v>3</v>
      </c>
      <c r="O26" s="216" t="str">
        <f>IF(N26="n/p","N/P","N/C")</f>
        <v>N/P</v>
      </c>
      <c r="P26" s="217">
        <f>M26-SECOND!$F26</f>
        <v>8.9499999999999993</v>
      </c>
      <c r="Q26" s="218" t="s">
        <v>16</v>
      </c>
      <c r="R26" s="219" t="s">
        <v>60</v>
      </c>
      <c r="S26" s="241">
        <f>P26-SECOND!$G26</f>
        <v>8.9499999999999993</v>
      </c>
      <c r="T26" s="213" t="s">
        <v>3</v>
      </c>
      <c r="U26" s="216" t="str">
        <f>IF(T26="n/p","N/P","N/C")</f>
        <v>N/P</v>
      </c>
      <c r="V26" s="239">
        <f>S26-SECOND!$H26</f>
        <v>7.8999999999999995</v>
      </c>
      <c r="W26" s="215" t="s">
        <v>16</v>
      </c>
      <c r="X26" s="216" t="s">
        <v>60</v>
      </c>
      <c r="Y26" s="237">
        <f>V26-SECOND!$I26</f>
        <v>6.85</v>
      </c>
      <c r="Z26" s="221" t="s">
        <v>16</v>
      </c>
      <c r="AA26" s="216" t="s">
        <v>60</v>
      </c>
      <c r="AB26" s="250">
        <f>Y26-SECOND!$J26</f>
        <v>5.8</v>
      </c>
      <c r="AC26" s="222" t="s">
        <v>16</v>
      </c>
      <c r="AD26" s="216" t="s">
        <v>60</v>
      </c>
      <c r="AE26" s="251">
        <f>AB26-SECOND!$K26</f>
        <v>5.8</v>
      </c>
      <c r="AF26" s="222" t="s">
        <v>93</v>
      </c>
      <c r="AG26" s="216" t="str">
        <f t="shared" si="19"/>
        <v>N/E</v>
      </c>
      <c r="AH26" s="304">
        <f>AE26-SECOND!$L26</f>
        <v>4.75</v>
      </c>
      <c r="AI26" s="222" t="s">
        <v>16</v>
      </c>
      <c r="AJ26" s="216" t="s">
        <v>60</v>
      </c>
      <c r="AK26" s="305">
        <f>AH26-SECOND!$M26</f>
        <v>4.75</v>
      </c>
      <c r="AL26" s="222" t="s">
        <v>93</v>
      </c>
      <c r="AM26" s="216" t="str">
        <f t="shared" si="55"/>
        <v>N/E</v>
      </c>
      <c r="AN26" s="306">
        <f>AK26-SECOND!$N26</f>
        <v>4.75</v>
      </c>
      <c r="AO26" s="222" t="s">
        <v>93</v>
      </c>
      <c r="AP26" s="216" t="str">
        <f t="shared" si="56"/>
        <v>N/E</v>
      </c>
      <c r="AQ26" s="307">
        <f>AN26-SECOND!$O26</f>
        <v>4.75</v>
      </c>
      <c r="AR26" s="222" t="s">
        <v>93</v>
      </c>
      <c r="AS26" s="216" t="str">
        <f t="shared" si="57"/>
        <v>N/E</v>
      </c>
      <c r="AT26" s="251">
        <f>AQ26-SECOND!$P26</f>
        <v>4.75</v>
      </c>
      <c r="AU26" s="222" t="s">
        <v>93</v>
      </c>
      <c r="AV26" s="216" t="str">
        <f t="shared" si="58"/>
        <v>N/E</v>
      </c>
      <c r="AW26" s="251">
        <f>AT26-SECOND!$K26</f>
        <v>4.75</v>
      </c>
      <c r="AX26" s="222" t="s">
        <v>93</v>
      </c>
      <c r="AY26" s="216" t="str">
        <f t="shared" si="59"/>
        <v>N/E</v>
      </c>
      <c r="AZ26" s="251">
        <f>AW26-SECOND!$K26</f>
        <v>4.75</v>
      </c>
      <c r="BA26" s="222" t="s">
        <v>93</v>
      </c>
      <c r="BB26" s="216" t="str">
        <f t="shared" si="60"/>
        <v>N/E</v>
      </c>
      <c r="BC26" s="251">
        <f>AZ26-SECOND!$K26</f>
        <v>4.75</v>
      </c>
      <c r="BD26" s="222" t="s">
        <v>93</v>
      </c>
      <c r="BE26" s="216" t="str">
        <f t="shared" si="61"/>
        <v>N/E</v>
      </c>
      <c r="BF26" s="251">
        <f>BC26-SECOND!$K26</f>
        <v>4.75</v>
      </c>
      <c r="BG26" s="222" t="s">
        <v>93</v>
      </c>
      <c r="BH26" s="216" t="str">
        <f t="shared" si="62"/>
        <v>N/E</v>
      </c>
    </row>
    <row r="27" spans="1:60" s="15" customFormat="1" ht="16.5" customHeight="1" thickTop="1" thickBot="1" x14ac:dyDescent="0.4">
      <c r="A27" s="115">
        <f>SEPTEMBRE!$Z25</f>
        <v>0</v>
      </c>
      <c r="B27" s="244"/>
      <c r="C27" s="136">
        <f t="shared" ca="1" si="28"/>
        <v>14.95</v>
      </c>
      <c r="D27" s="275">
        <f t="shared" si="16"/>
        <v>1</v>
      </c>
      <c r="E27" s="180">
        <f ca="1">CREDITS!C26</f>
        <v>43398</v>
      </c>
      <c r="F27" s="176">
        <f>CREDITS!D26</f>
        <v>20</v>
      </c>
      <c r="G27" s="170">
        <f>F27</f>
        <v>20</v>
      </c>
      <c r="H27" s="160" t="s">
        <v>3</v>
      </c>
      <c r="I27" s="216" t="str">
        <f>IF(H27="n/p","N/P","N/C")</f>
        <v>N/P</v>
      </c>
      <c r="J27" s="138">
        <f>G27-SECOND!$D27</f>
        <v>20</v>
      </c>
      <c r="K27" s="161" t="s">
        <v>3</v>
      </c>
      <c r="L27" s="216" t="str">
        <f t="shared" si="17"/>
        <v>N/P</v>
      </c>
      <c r="M27" s="139">
        <f>J27-SECOND!$E27</f>
        <v>20</v>
      </c>
      <c r="N27" s="169" t="s">
        <v>3</v>
      </c>
      <c r="O27" s="216" t="str">
        <f>IF(N27="n/p","N/P","N/C")</f>
        <v>N/P</v>
      </c>
      <c r="P27" s="217">
        <f>M27-SECOND!$F27</f>
        <v>18.850000000000001</v>
      </c>
      <c r="Q27" s="218" t="s">
        <v>16</v>
      </c>
      <c r="R27" s="219" t="s">
        <v>65</v>
      </c>
      <c r="S27" s="241">
        <f>P27-SECOND!$G27</f>
        <v>18.850000000000001</v>
      </c>
      <c r="T27" s="213" t="s">
        <v>3</v>
      </c>
      <c r="U27" s="216" t="str">
        <f>IF(T27="n/p","N/P","N/C")</f>
        <v>N/P</v>
      </c>
      <c r="V27" s="239">
        <f>S27-SECOND!$H27</f>
        <v>17.55</v>
      </c>
      <c r="W27" s="215" t="s">
        <v>16</v>
      </c>
      <c r="X27" s="216" t="s">
        <v>61</v>
      </c>
      <c r="Y27" s="237">
        <f>V27-SECOND!$I27</f>
        <v>16.25</v>
      </c>
      <c r="Z27" s="221" t="s">
        <v>16</v>
      </c>
      <c r="AA27" s="216" t="s">
        <v>61</v>
      </c>
      <c r="AB27" s="250">
        <f>Y27-SECOND!$J27</f>
        <v>14.95</v>
      </c>
      <c r="AC27" s="222" t="s">
        <v>16</v>
      </c>
      <c r="AD27" s="216" t="s">
        <v>62</v>
      </c>
      <c r="AE27" s="251">
        <f>AB27-SECOND!$K27</f>
        <v>14.95</v>
      </c>
      <c r="AF27" s="222" t="s">
        <v>93</v>
      </c>
      <c r="AG27" s="216" t="str">
        <f t="shared" si="19"/>
        <v>N/E</v>
      </c>
      <c r="AH27" s="304">
        <f>AE27-SECOND!$L27</f>
        <v>13.649999999999999</v>
      </c>
      <c r="AI27" s="222" t="s">
        <v>16</v>
      </c>
      <c r="AJ27" s="216" t="s">
        <v>62</v>
      </c>
      <c r="AK27" s="305">
        <f>AH27-SECOND!$M27</f>
        <v>13.649999999999999</v>
      </c>
      <c r="AL27" s="222" t="s">
        <v>93</v>
      </c>
      <c r="AM27" s="216" t="str">
        <f t="shared" si="55"/>
        <v>N/E</v>
      </c>
      <c r="AN27" s="306">
        <f>AK27-SECOND!$N27</f>
        <v>13.649999999999999</v>
      </c>
      <c r="AO27" s="222" t="s">
        <v>93</v>
      </c>
      <c r="AP27" s="216" t="str">
        <f t="shared" si="56"/>
        <v>N/E</v>
      </c>
      <c r="AQ27" s="307">
        <f>AN27-SECOND!$O27</f>
        <v>13.649999999999999</v>
      </c>
      <c r="AR27" s="222" t="s">
        <v>93</v>
      </c>
      <c r="AS27" s="216" t="str">
        <f t="shared" si="57"/>
        <v>N/E</v>
      </c>
      <c r="AT27" s="251">
        <f>AQ27-SECOND!$P27</f>
        <v>13.649999999999999</v>
      </c>
      <c r="AU27" s="222" t="s">
        <v>93</v>
      </c>
      <c r="AV27" s="216" t="str">
        <f t="shared" si="58"/>
        <v>N/E</v>
      </c>
      <c r="AW27" s="251">
        <f>AT27-SECOND!$K27</f>
        <v>13.649999999999999</v>
      </c>
      <c r="AX27" s="222" t="s">
        <v>93</v>
      </c>
      <c r="AY27" s="216" t="str">
        <f t="shared" si="59"/>
        <v>N/E</v>
      </c>
      <c r="AZ27" s="251">
        <f>AW27-SECOND!$K27</f>
        <v>13.649999999999999</v>
      </c>
      <c r="BA27" s="222" t="s">
        <v>93</v>
      </c>
      <c r="BB27" s="216" t="str">
        <f t="shared" si="60"/>
        <v>N/E</v>
      </c>
      <c r="BC27" s="251">
        <f>AZ27-SECOND!$K27</f>
        <v>13.649999999999999</v>
      </c>
      <c r="BD27" s="222" t="s">
        <v>93</v>
      </c>
      <c r="BE27" s="216" t="str">
        <f t="shared" si="61"/>
        <v>N/E</v>
      </c>
      <c r="BF27" s="251">
        <f>BC27-SECOND!$K27</f>
        <v>13.649999999999999</v>
      </c>
      <c r="BG27" s="222" t="s">
        <v>93</v>
      </c>
      <c r="BH27" s="216" t="str">
        <f t="shared" si="62"/>
        <v>N/E</v>
      </c>
    </row>
    <row r="28" spans="1:60" ht="16.5" customHeight="1" thickTop="1" thickBot="1" x14ac:dyDescent="0.4">
      <c r="A28" s="115">
        <f>SEPTEMBRE!$Z26</f>
        <v>0</v>
      </c>
      <c r="B28" s="244"/>
      <c r="C28" s="136">
        <f t="shared" ca="1" si="28"/>
        <v>0</v>
      </c>
      <c r="D28" s="275">
        <f t="shared" si="16"/>
        <v>0</v>
      </c>
      <c r="E28" s="180">
        <f ca="1">CREDITS!C27</f>
        <v>0</v>
      </c>
      <c r="F28" s="176">
        <f>CREDITS!D27</f>
        <v>0</v>
      </c>
      <c r="G28" s="170"/>
      <c r="H28" s="222" t="s">
        <v>93</v>
      </c>
      <c r="I28" s="216" t="str">
        <f>IF(H28="P",C28,IF(H28="","",IF(H28="N/E","N/E","N/P")))</f>
        <v>N/E</v>
      </c>
      <c r="J28" s="138">
        <f>G28-SECOND!$D28</f>
        <v>0</v>
      </c>
      <c r="K28" s="222" t="s">
        <v>93</v>
      </c>
      <c r="L28" s="216" t="str">
        <f t="shared" ref="L28:L32" si="63">IF(K28="P",I28,IF(K28="","",IF(K28="N/E","N/E","N/P")))</f>
        <v>N/E</v>
      </c>
      <c r="M28" s="139"/>
      <c r="N28" s="222" t="s">
        <v>93</v>
      </c>
      <c r="O28" s="216" t="str">
        <f t="shared" ref="O28:O32" si="64">IF(N28="P",L28,IF(N28="","",IF(N28="N/E","N/E","N/P")))</f>
        <v>N/E</v>
      </c>
      <c r="P28" s="217"/>
      <c r="Q28" s="222" t="s">
        <v>93</v>
      </c>
      <c r="R28" s="216" t="str">
        <f t="shared" ref="R28:R32" si="65">IF(Q28="P",O28,IF(Q28="","",IF(Q28="N/E","N/E","N/P")))</f>
        <v>N/E</v>
      </c>
      <c r="S28" s="241">
        <f>P28-SECOND!$L28</f>
        <v>0</v>
      </c>
      <c r="T28" s="222" t="s">
        <v>93</v>
      </c>
      <c r="U28" s="216" t="str">
        <f t="shared" ref="U28:U32" si="66">IF(T28="P",R28,IF(T28="","",IF(T28="N/E","N/E","N/P")))</f>
        <v>N/E</v>
      </c>
      <c r="V28" s="222"/>
      <c r="W28" s="222" t="s">
        <v>93</v>
      </c>
      <c r="X28" s="216" t="str">
        <f t="shared" ref="X28:X32" si="67">IF(W28="P",U28,IF(W28="","",IF(W28="N/E","N/E","N/P")))</f>
        <v>N/E</v>
      </c>
      <c r="Y28" s="237"/>
      <c r="Z28" s="222" t="s">
        <v>93</v>
      </c>
      <c r="AA28" s="216" t="str">
        <f t="shared" ref="AA28:AA32" si="68">IF(Z28="P",X28,IF(Z28="","",IF(Z28="N/E","N/E","N/P")))</f>
        <v>N/E</v>
      </c>
      <c r="AB28" s="250"/>
      <c r="AC28" s="222" t="s">
        <v>93</v>
      </c>
      <c r="AD28" s="216" t="str">
        <f t="shared" ref="AD28:AD32" si="69">IF(AC28="P",AA28,IF(AC28="","",IF(AC28="N/E","N/E","N/P")))</f>
        <v>N/E</v>
      </c>
      <c r="AE28" s="251">
        <f>AB28-SECOND!$K28</f>
        <v>0</v>
      </c>
      <c r="AF28" s="222" t="s">
        <v>93</v>
      </c>
      <c r="AG28" s="216" t="str">
        <f t="shared" si="19"/>
        <v>N/E</v>
      </c>
      <c r="AH28" s="304">
        <f>AE28-SECOND!$L28</f>
        <v>0</v>
      </c>
      <c r="AI28" s="222" t="s">
        <v>93</v>
      </c>
      <c r="AJ28" s="216" t="str">
        <f t="shared" si="29"/>
        <v>N/E</v>
      </c>
      <c r="AK28" s="305">
        <f>AH28-SECOND!$M28</f>
        <v>0</v>
      </c>
      <c r="AL28" s="222" t="s">
        <v>93</v>
      </c>
      <c r="AM28" s="216" t="str">
        <f t="shared" si="55"/>
        <v>N/E</v>
      </c>
      <c r="AN28" s="306">
        <f>AK28-SECOND!$N28</f>
        <v>0</v>
      </c>
      <c r="AO28" s="222" t="s">
        <v>93</v>
      </c>
      <c r="AP28" s="216" t="str">
        <f t="shared" si="56"/>
        <v>N/E</v>
      </c>
      <c r="AQ28" s="307">
        <f>AN28-SECOND!$O28</f>
        <v>0</v>
      </c>
      <c r="AR28" s="222" t="s">
        <v>93</v>
      </c>
      <c r="AS28" s="216" t="str">
        <f t="shared" si="57"/>
        <v>N/E</v>
      </c>
      <c r="AT28" s="251">
        <f>AQ28-SECOND!$P28</f>
        <v>0</v>
      </c>
      <c r="AU28" s="222" t="s">
        <v>93</v>
      </c>
      <c r="AV28" s="216" t="str">
        <f t="shared" si="58"/>
        <v>N/E</v>
      </c>
      <c r="AW28" s="251">
        <f>AT28-SECOND!$K28</f>
        <v>0</v>
      </c>
      <c r="AX28" s="222" t="s">
        <v>93</v>
      </c>
      <c r="AY28" s="216" t="str">
        <f t="shared" si="59"/>
        <v>N/E</v>
      </c>
      <c r="AZ28" s="251">
        <f>AW28-SECOND!$K28</f>
        <v>0</v>
      </c>
      <c r="BA28" s="222" t="s">
        <v>93</v>
      </c>
      <c r="BB28" s="216" t="str">
        <f t="shared" si="60"/>
        <v>N/E</v>
      </c>
      <c r="BC28" s="251">
        <f>AZ28-SECOND!$K28</f>
        <v>0</v>
      </c>
      <c r="BD28" s="222" t="s">
        <v>93</v>
      </c>
      <c r="BE28" s="216" t="str">
        <f t="shared" si="61"/>
        <v>N/E</v>
      </c>
      <c r="BF28" s="251">
        <f>BC28-SECOND!$K28</f>
        <v>0</v>
      </c>
      <c r="BG28" s="222" t="s">
        <v>93</v>
      </c>
      <c r="BH28" s="216" t="str">
        <f t="shared" si="62"/>
        <v>N/E</v>
      </c>
    </row>
    <row r="29" spans="1:60" ht="16.5" customHeight="1" thickTop="1" thickBot="1" x14ac:dyDescent="0.4">
      <c r="A29" s="115">
        <f>SEPTEMBRE!$Z27</f>
        <v>0</v>
      </c>
      <c r="B29" s="244"/>
      <c r="C29" s="136">
        <f t="shared" ca="1" si="28"/>
        <v>0</v>
      </c>
      <c r="D29" s="275">
        <f t="shared" si="16"/>
        <v>0</v>
      </c>
      <c r="E29" s="180">
        <f ca="1">CREDITS!C28</f>
        <v>0</v>
      </c>
      <c r="F29" s="176">
        <f>CREDITS!D28</f>
        <v>0</v>
      </c>
      <c r="G29" s="170"/>
      <c r="H29" s="222" t="s">
        <v>93</v>
      </c>
      <c r="I29" s="216" t="str">
        <f>IF(H29="P",C29,IF(H29="","",IF(H29="N/E","N/E","N/P")))</f>
        <v>N/E</v>
      </c>
      <c r="J29" s="138">
        <f>G29-SECOND!$D29</f>
        <v>0</v>
      </c>
      <c r="K29" s="222" t="s">
        <v>93</v>
      </c>
      <c r="L29" s="216" t="str">
        <f t="shared" si="63"/>
        <v>N/E</v>
      </c>
      <c r="M29" s="139"/>
      <c r="N29" s="222" t="s">
        <v>93</v>
      </c>
      <c r="O29" s="216" t="str">
        <f t="shared" si="64"/>
        <v>N/E</v>
      </c>
      <c r="P29" s="217"/>
      <c r="Q29" s="222" t="s">
        <v>93</v>
      </c>
      <c r="R29" s="216" t="str">
        <f t="shared" si="65"/>
        <v>N/E</v>
      </c>
      <c r="S29" s="241">
        <f>P29-SECOND!$L29</f>
        <v>0</v>
      </c>
      <c r="T29" s="222" t="s">
        <v>93</v>
      </c>
      <c r="U29" s="216" t="str">
        <f t="shared" si="66"/>
        <v>N/E</v>
      </c>
      <c r="V29" s="239"/>
      <c r="W29" s="222" t="s">
        <v>93</v>
      </c>
      <c r="X29" s="216" t="str">
        <f t="shared" si="67"/>
        <v>N/E</v>
      </c>
      <c r="Y29" s="237"/>
      <c r="Z29" s="222" t="s">
        <v>93</v>
      </c>
      <c r="AA29" s="216" t="str">
        <f t="shared" si="68"/>
        <v>N/E</v>
      </c>
      <c r="AB29" s="250"/>
      <c r="AC29" s="222" t="s">
        <v>93</v>
      </c>
      <c r="AD29" s="216" t="str">
        <f t="shared" si="69"/>
        <v>N/E</v>
      </c>
      <c r="AE29" s="251">
        <f>AB29-SECOND!$K29</f>
        <v>0</v>
      </c>
      <c r="AF29" s="222" t="s">
        <v>93</v>
      </c>
      <c r="AG29" s="216" t="str">
        <f t="shared" si="19"/>
        <v>N/E</v>
      </c>
      <c r="AH29" s="304">
        <f>AE29-SECOND!$L29</f>
        <v>0</v>
      </c>
      <c r="AI29" s="222" t="s">
        <v>93</v>
      </c>
      <c r="AJ29" s="216" t="str">
        <f t="shared" si="29"/>
        <v>N/E</v>
      </c>
      <c r="AK29" s="305">
        <f>AH29-SECOND!$M29</f>
        <v>0</v>
      </c>
      <c r="AL29" s="222" t="s">
        <v>93</v>
      </c>
      <c r="AM29" s="216" t="str">
        <f t="shared" si="55"/>
        <v>N/E</v>
      </c>
      <c r="AN29" s="306">
        <f>AK29-SECOND!$N29</f>
        <v>0</v>
      </c>
      <c r="AO29" s="222" t="s">
        <v>93</v>
      </c>
      <c r="AP29" s="216" t="str">
        <f t="shared" si="56"/>
        <v>N/E</v>
      </c>
      <c r="AQ29" s="307">
        <f>AN29-SECOND!$O29</f>
        <v>0</v>
      </c>
      <c r="AR29" s="222" t="s">
        <v>93</v>
      </c>
      <c r="AS29" s="216" t="str">
        <f t="shared" si="57"/>
        <v>N/E</v>
      </c>
      <c r="AT29" s="251">
        <f>AQ29-SECOND!$P29</f>
        <v>0</v>
      </c>
      <c r="AU29" s="222" t="s">
        <v>93</v>
      </c>
      <c r="AV29" s="216" t="str">
        <f t="shared" si="58"/>
        <v>N/E</v>
      </c>
      <c r="AW29" s="251">
        <f>AT29-SECOND!$K29</f>
        <v>0</v>
      </c>
      <c r="AX29" s="222" t="s">
        <v>93</v>
      </c>
      <c r="AY29" s="216" t="str">
        <f t="shared" si="59"/>
        <v>N/E</v>
      </c>
      <c r="AZ29" s="251">
        <f>AW29-SECOND!$K29</f>
        <v>0</v>
      </c>
      <c r="BA29" s="222" t="s">
        <v>93</v>
      </c>
      <c r="BB29" s="216" t="str">
        <f t="shared" si="60"/>
        <v>N/E</v>
      </c>
      <c r="BC29" s="251">
        <f>AZ29-SECOND!$K29</f>
        <v>0</v>
      </c>
      <c r="BD29" s="222" t="s">
        <v>93</v>
      </c>
      <c r="BE29" s="216" t="str">
        <f t="shared" si="61"/>
        <v>N/E</v>
      </c>
      <c r="BF29" s="251">
        <f>BC29-SECOND!$K29</f>
        <v>0</v>
      </c>
      <c r="BG29" s="222" t="s">
        <v>93</v>
      </c>
      <c r="BH29" s="216" t="str">
        <f t="shared" si="62"/>
        <v>N/E</v>
      </c>
    </row>
    <row r="30" spans="1:60" ht="16.5" customHeight="1" thickTop="1" thickBot="1" x14ac:dyDescent="0.4">
      <c r="A30" s="115">
        <f>SEPTEMBRE!$Z28</f>
        <v>0</v>
      </c>
      <c r="B30" s="244"/>
      <c r="C30" s="136">
        <f t="shared" ca="1" si="28"/>
        <v>0</v>
      </c>
      <c r="D30" s="275">
        <f t="shared" si="16"/>
        <v>0</v>
      </c>
      <c r="E30" s="180">
        <f ca="1">CREDITS!C29</f>
        <v>0</v>
      </c>
      <c r="F30" s="176">
        <f>CREDITS!D29</f>
        <v>0</v>
      </c>
      <c r="G30" s="170"/>
      <c r="H30" s="222" t="s">
        <v>93</v>
      </c>
      <c r="I30" s="216" t="str">
        <f>IF(H30="P",C30,IF(H30="","",IF(H30="N/E","N/E","N/P")))</f>
        <v>N/E</v>
      </c>
      <c r="J30" s="138">
        <f>G30-SECOND!$D30</f>
        <v>0</v>
      </c>
      <c r="K30" s="222" t="s">
        <v>93</v>
      </c>
      <c r="L30" s="216" t="str">
        <f t="shared" si="63"/>
        <v>N/E</v>
      </c>
      <c r="M30" s="139"/>
      <c r="N30" s="222" t="s">
        <v>93</v>
      </c>
      <c r="O30" s="216" t="str">
        <f t="shared" si="64"/>
        <v>N/E</v>
      </c>
      <c r="P30" s="217"/>
      <c r="Q30" s="222" t="s">
        <v>93</v>
      </c>
      <c r="R30" s="216" t="str">
        <f t="shared" si="65"/>
        <v>N/E</v>
      </c>
      <c r="S30" s="241">
        <f>P30-SECOND!$L30</f>
        <v>0</v>
      </c>
      <c r="T30" s="222" t="s">
        <v>93</v>
      </c>
      <c r="U30" s="216" t="str">
        <f t="shared" si="66"/>
        <v>N/E</v>
      </c>
      <c r="V30" s="239"/>
      <c r="W30" s="222" t="s">
        <v>93</v>
      </c>
      <c r="X30" s="216" t="str">
        <f t="shared" si="67"/>
        <v>N/E</v>
      </c>
      <c r="Y30" s="237"/>
      <c r="Z30" s="222" t="s">
        <v>93</v>
      </c>
      <c r="AA30" s="216" t="str">
        <f t="shared" si="68"/>
        <v>N/E</v>
      </c>
      <c r="AB30" s="250"/>
      <c r="AC30" s="222" t="s">
        <v>93</v>
      </c>
      <c r="AD30" s="216" t="str">
        <f t="shared" si="69"/>
        <v>N/E</v>
      </c>
      <c r="AE30" s="251">
        <f>AB30-SECOND!$K30</f>
        <v>0</v>
      </c>
      <c r="AF30" s="222" t="s">
        <v>93</v>
      </c>
      <c r="AG30" s="216" t="str">
        <f t="shared" si="19"/>
        <v>N/E</v>
      </c>
      <c r="AH30" s="304">
        <f>AE30-SECOND!$L30</f>
        <v>0</v>
      </c>
      <c r="AI30" s="222" t="s">
        <v>93</v>
      </c>
      <c r="AJ30" s="216" t="str">
        <f t="shared" si="29"/>
        <v>N/E</v>
      </c>
      <c r="AK30" s="305">
        <f>AH30-SECOND!$M30</f>
        <v>0</v>
      </c>
      <c r="AL30" s="222" t="s">
        <v>93</v>
      </c>
      <c r="AM30" s="216" t="str">
        <f t="shared" si="55"/>
        <v>N/E</v>
      </c>
      <c r="AN30" s="306">
        <f>AK30-SECOND!$N30</f>
        <v>0</v>
      </c>
      <c r="AO30" s="222" t="s">
        <v>93</v>
      </c>
      <c r="AP30" s="216" t="str">
        <f t="shared" si="56"/>
        <v>N/E</v>
      </c>
      <c r="AQ30" s="307">
        <f>AN30-SECOND!$O30</f>
        <v>0</v>
      </c>
      <c r="AR30" s="222" t="s">
        <v>93</v>
      </c>
      <c r="AS30" s="216" t="str">
        <f t="shared" si="57"/>
        <v>N/E</v>
      </c>
      <c r="AT30" s="251">
        <f>AQ30-SECOND!$P30</f>
        <v>0</v>
      </c>
      <c r="AU30" s="222" t="s">
        <v>93</v>
      </c>
      <c r="AV30" s="216" t="str">
        <f t="shared" si="58"/>
        <v>N/E</v>
      </c>
      <c r="AW30" s="251">
        <f>AT30-SECOND!$K30</f>
        <v>0</v>
      </c>
      <c r="AX30" s="222" t="s">
        <v>93</v>
      </c>
      <c r="AY30" s="216" t="str">
        <f t="shared" si="59"/>
        <v>N/E</v>
      </c>
      <c r="AZ30" s="251">
        <f>AW30-SECOND!$K30</f>
        <v>0</v>
      </c>
      <c r="BA30" s="222" t="s">
        <v>93</v>
      </c>
      <c r="BB30" s="216" t="str">
        <f t="shared" si="60"/>
        <v>N/E</v>
      </c>
      <c r="BC30" s="251">
        <f>AZ30-SECOND!$K30</f>
        <v>0</v>
      </c>
      <c r="BD30" s="222" t="s">
        <v>93</v>
      </c>
      <c r="BE30" s="216" t="str">
        <f t="shared" si="61"/>
        <v>N/E</v>
      </c>
      <c r="BF30" s="251">
        <f>BC30-SECOND!$K30</f>
        <v>0</v>
      </c>
      <c r="BG30" s="222" t="s">
        <v>93</v>
      </c>
      <c r="BH30" s="216" t="str">
        <f t="shared" si="62"/>
        <v>N/E</v>
      </c>
    </row>
    <row r="31" spans="1:60" ht="16.5" customHeight="1" thickTop="1" thickBot="1" x14ac:dyDescent="0.4">
      <c r="A31" s="115">
        <f>SEPTEMBRE!$Z29</f>
        <v>0</v>
      </c>
      <c r="B31" s="244"/>
      <c r="C31" s="136">
        <f t="shared" ca="1" si="28"/>
        <v>0</v>
      </c>
      <c r="D31" s="275">
        <f t="shared" si="16"/>
        <v>0</v>
      </c>
      <c r="E31" s="180">
        <f ca="1">CREDITS!C30</f>
        <v>0</v>
      </c>
      <c r="F31" s="176">
        <f>CREDITS!D30</f>
        <v>0</v>
      </c>
      <c r="G31" s="170"/>
      <c r="H31" s="222" t="s">
        <v>93</v>
      </c>
      <c r="I31" s="216" t="str">
        <f>IF(H31="P",C31,IF(H31="","",IF(H31="N/E","N/E","N/P")))</f>
        <v>N/E</v>
      </c>
      <c r="J31" s="138">
        <f>G31-SECOND!$D31</f>
        <v>0</v>
      </c>
      <c r="K31" s="222" t="s">
        <v>93</v>
      </c>
      <c r="L31" s="216" t="str">
        <f t="shared" si="63"/>
        <v>N/E</v>
      </c>
      <c r="M31" s="139"/>
      <c r="N31" s="222" t="s">
        <v>93</v>
      </c>
      <c r="O31" s="216" t="str">
        <f t="shared" si="64"/>
        <v>N/E</v>
      </c>
      <c r="P31" s="217"/>
      <c r="Q31" s="222" t="s">
        <v>93</v>
      </c>
      <c r="R31" s="216" t="str">
        <f t="shared" si="65"/>
        <v>N/E</v>
      </c>
      <c r="S31" s="241">
        <f>P31-SECOND!$L31</f>
        <v>0</v>
      </c>
      <c r="T31" s="222" t="s">
        <v>93</v>
      </c>
      <c r="U31" s="216" t="str">
        <f t="shared" si="66"/>
        <v>N/E</v>
      </c>
      <c r="V31" s="239"/>
      <c r="W31" s="222" t="s">
        <v>93</v>
      </c>
      <c r="X31" s="216" t="str">
        <f t="shared" si="67"/>
        <v>N/E</v>
      </c>
      <c r="Y31" s="237"/>
      <c r="Z31" s="222" t="s">
        <v>93</v>
      </c>
      <c r="AA31" s="216" t="str">
        <f t="shared" si="68"/>
        <v>N/E</v>
      </c>
      <c r="AB31" s="250"/>
      <c r="AC31" s="222" t="s">
        <v>93</v>
      </c>
      <c r="AD31" s="216" t="str">
        <f t="shared" si="69"/>
        <v>N/E</v>
      </c>
      <c r="AE31" s="251">
        <f>AB31-SECOND!$K31</f>
        <v>0</v>
      </c>
      <c r="AF31" s="222" t="s">
        <v>93</v>
      </c>
      <c r="AG31" s="216" t="str">
        <f t="shared" si="19"/>
        <v>N/E</v>
      </c>
      <c r="AH31" s="304">
        <f>AE31-SECOND!$L31</f>
        <v>0</v>
      </c>
      <c r="AI31" s="222" t="s">
        <v>93</v>
      </c>
      <c r="AJ31" s="216" t="str">
        <f t="shared" si="29"/>
        <v>N/E</v>
      </c>
      <c r="AK31" s="305">
        <f>AH31-SECOND!$M31</f>
        <v>0</v>
      </c>
      <c r="AL31" s="222" t="s">
        <v>93</v>
      </c>
      <c r="AM31" s="216" t="str">
        <f t="shared" si="55"/>
        <v>N/E</v>
      </c>
      <c r="AN31" s="306">
        <f>AK31-SECOND!$N31</f>
        <v>0</v>
      </c>
      <c r="AO31" s="222" t="s">
        <v>93</v>
      </c>
      <c r="AP31" s="216" t="str">
        <f t="shared" si="56"/>
        <v>N/E</v>
      </c>
      <c r="AQ31" s="307">
        <f>AN31-SECOND!$O31</f>
        <v>0</v>
      </c>
      <c r="AR31" s="222" t="s">
        <v>93</v>
      </c>
      <c r="AS31" s="216" t="str">
        <f t="shared" si="57"/>
        <v>N/E</v>
      </c>
      <c r="AT31" s="251">
        <f>AQ31-SECOND!$P31</f>
        <v>0</v>
      </c>
      <c r="AU31" s="222" t="s">
        <v>93</v>
      </c>
      <c r="AV31" s="216" t="str">
        <f t="shared" si="58"/>
        <v>N/E</v>
      </c>
      <c r="AW31" s="251">
        <f>AT31-SECOND!$K31</f>
        <v>0</v>
      </c>
      <c r="AX31" s="222" t="s">
        <v>93</v>
      </c>
      <c r="AY31" s="216" t="str">
        <f t="shared" si="59"/>
        <v>N/E</v>
      </c>
      <c r="AZ31" s="251">
        <f>AW31-SECOND!$K31</f>
        <v>0</v>
      </c>
      <c r="BA31" s="222" t="s">
        <v>93</v>
      </c>
      <c r="BB31" s="216" t="str">
        <f t="shared" si="60"/>
        <v>N/E</v>
      </c>
      <c r="BC31" s="251">
        <f>AZ31-SECOND!$K31</f>
        <v>0</v>
      </c>
      <c r="BD31" s="222" t="s">
        <v>93</v>
      </c>
      <c r="BE31" s="216" t="str">
        <f t="shared" si="61"/>
        <v>N/E</v>
      </c>
      <c r="BF31" s="251">
        <f>BC31-SECOND!$K31</f>
        <v>0</v>
      </c>
      <c r="BG31" s="222" t="s">
        <v>93</v>
      </c>
      <c r="BH31" s="216" t="str">
        <f t="shared" si="62"/>
        <v>N/E</v>
      </c>
    </row>
    <row r="32" spans="1:60" ht="16.5" customHeight="1" thickTop="1" thickBot="1" x14ac:dyDescent="0.4">
      <c r="A32" s="115">
        <f>SEPTEMBRE!$Z30</f>
        <v>0</v>
      </c>
      <c r="B32" s="244" t="s">
        <v>17</v>
      </c>
      <c r="C32" s="136">
        <f t="shared" ca="1" si="28"/>
        <v>0</v>
      </c>
      <c r="D32" s="275">
        <f t="shared" si="16"/>
        <v>0</v>
      </c>
      <c r="E32" s="181">
        <f ca="1">CREDITS!C31</f>
        <v>0</v>
      </c>
      <c r="F32" s="177">
        <f>CREDITS!D31</f>
        <v>0</v>
      </c>
      <c r="G32" s="170"/>
      <c r="H32" s="222" t="s">
        <v>93</v>
      </c>
      <c r="I32" s="216" t="str">
        <f>IF(H32="P",C32,IF(H32="","",IF(H32="N/E","N/E","N/P")))</f>
        <v>N/E</v>
      </c>
      <c r="J32" s="138">
        <f>G32-SECOND!$D32</f>
        <v>0</v>
      </c>
      <c r="K32" s="222" t="s">
        <v>93</v>
      </c>
      <c r="L32" s="216" t="str">
        <f t="shared" si="63"/>
        <v>N/E</v>
      </c>
      <c r="M32" s="141"/>
      <c r="N32" s="222" t="s">
        <v>93</v>
      </c>
      <c r="O32" s="216" t="str">
        <f t="shared" si="64"/>
        <v>N/E</v>
      </c>
      <c r="P32" s="220"/>
      <c r="Q32" s="222" t="s">
        <v>93</v>
      </c>
      <c r="R32" s="216" t="str">
        <f t="shared" si="65"/>
        <v>N/E</v>
      </c>
      <c r="S32" s="242">
        <f>P32-SECOND!$L32</f>
        <v>0</v>
      </c>
      <c r="T32" s="222" t="s">
        <v>93</v>
      </c>
      <c r="U32" s="216" t="str">
        <f t="shared" si="66"/>
        <v>N/E</v>
      </c>
      <c r="V32" s="240"/>
      <c r="W32" s="222" t="s">
        <v>93</v>
      </c>
      <c r="X32" s="216" t="str">
        <f t="shared" si="67"/>
        <v>N/E</v>
      </c>
      <c r="Y32" s="238"/>
      <c r="Z32" s="222" t="s">
        <v>93</v>
      </c>
      <c r="AA32" s="216" t="str">
        <f t="shared" si="68"/>
        <v>N/E</v>
      </c>
      <c r="AB32" s="250"/>
      <c r="AC32" s="222" t="s">
        <v>93</v>
      </c>
      <c r="AD32" s="216" t="str">
        <f t="shared" si="69"/>
        <v>N/E</v>
      </c>
      <c r="AE32" s="252">
        <f>AB32-SECOND!$K32</f>
        <v>0</v>
      </c>
      <c r="AF32" s="222" t="s">
        <v>93</v>
      </c>
      <c r="AG32" s="216" t="str">
        <f t="shared" si="19"/>
        <v>N/E</v>
      </c>
      <c r="AH32" s="304">
        <f>AE32-SECOND!$L32</f>
        <v>0</v>
      </c>
      <c r="AI32" s="222" t="s">
        <v>93</v>
      </c>
      <c r="AJ32" s="216" t="str">
        <f t="shared" si="29"/>
        <v>N/E</v>
      </c>
      <c r="AK32" s="305">
        <f>AH32-SECOND!$M32</f>
        <v>0</v>
      </c>
      <c r="AL32" s="222" t="s">
        <v>93</v>
      </c>
      <c r="AM32" s="216" t="str">
        <f t="shared" si="55"/>
        <v>N/E</v>
      </c>
      <c r="AN32" s="306">
        <f>AK32-SECOND!$N32</f>
        <v>0</v>
      </c>
      <c r="AO32" s="222" t="s">
        <v>93</v>
      </c>
      <c r="AP32" s="216" t="str">
        <f t="shared" si="56"/>
        <v>N/E</v>
      </c>
      <c r="AQ32" s="307">
        <f>AN32-SECOND!$O32</f>
        <v>0</v>
      </c>
      <c r="AR32" s="222" t="s">
        <v>93</v>
      </c>
      <c r="AS32" s="216" t="str">
        <f t="shared" si="57"/>
        <v>N/E</v>
      </c>
      <c r="AT32" s="251">
        <f>AQ32-SECOND!$P32</f>
        <v>0</v>
      </c>
      <c r="AU32" s="222" t="s">
        <v>93</v>
      </c>
      <c r="AV32" s="216" t="str">
        <f t="shared" si="58"/>
        <v>N/E</v>
      </c>
      <c r="AW32" s="252">
        <f>AT32-SECOND!$K32</f>
        <v>0</v>
      </c>
      <c r="AX32" s="222" t="s">
        <v>93</v>
      </c>
      <c r="AY32" s="216" t="str">
        <f t="shared" si="59"/>
        <v>N/E</v>
      </c>
      <c r="AZ32" s="252">
        <f>AW32-SECOND!$K32</f>
        <v>0</v>
      </c>
      <c r="BA32" s="222" t="s">
        <v>93</v>
      </c>
      <c r="BB32" s="216" t="str">
        <f t="shared" si="60"/>
        <v>N/E</v>
      </c>
      <c r="BC32" s="252">
        <f>AZ32-SECOND!$K32</f>
        <v>0</v>
      </c>
      <c r="BD32" s="222" t="s">
        <v>93</v>
      </c>
      <c r="BE32" s="216" t="str">
        <f t="shared" si="61"/>
        <v>N/E</v>
      </c>
      <c r="BF32" s="252">
        <f>BC32-SECOND!$K32</f>
        <v>0</v>
      </c>
      <c r="BG32" s="222" t="s">
        <v>93</v>
      </c>
      <c r="BH32" s="216" t="str">
        <f t="shared" si="62"/>
        <v>N/E</v>
      </c>
    </row>
    <row r="33" spans="1:60" s="229" customFormat="1" ht="17.5" thickBot="1" x14ac:dyDescent="0.4">
      <c r="A33" s="82"/>
      <c r="B33" s="82"/>
      <c r="C33" s="297"/>
      <c r="D33" s="82"/>
      <c r="E33" s="82"/>
      <c r="F33" s="82"/>
      <c r="G33" s="320">
        <f>G3</f>
        <v>43378</v>
      </c>
      <c r="H33" s="321"/>
      <c r="I33" s="322"/>
      <c r="J33" s="323"/>
      <c r="K33" s="323"/>
      <c r="L33" s="324"/>
      <c r="M33" s="323"/>
      <c r="N33" s="323"/>
      <c r="O33" s="324"/>
      <c r="P33" s="323"/>
      <c r="Q33" s="323"/>
      <c r="R33" s="324"/>
      <c r="S33" s="323"/>
      <c r="T33" s="323"/>
      <c r="U33" s="324"/>
      <c r="V33" s="323"/>
      <c r="W33" s="323"/>
      <c r="X33" s="324"/>
      <c r="Y33" s="323"/>
      <c r="Z33" s="323"/>
      <c r="AA33" s="324"/>
      <c r="AB33" s="323"/>
      <c r="AC33" s="323"/>
      <c r="AD33" s="324"/>
      <c r="AE33" s="323"/>
      <c r="AF33" s="323"/>
      <c r="AG33" s="324"/>
      <c r="AH33" s="317"/>
      <c r="AI33" s="318"/>
      <c r="AJ33" s="319"/>
      <c r="AK33" s="323"/>
      <c r="AL33" s="323"/>
      <c r="AM33" s="324"/>
      <c r="AN33" s="323"/>
      <c r="AO33" s="323"/>
      <c r="AP33" s="324"/>
      <c r="AQ33" s="323"/>
      <c r="AR33" s="323"/>
      <c r="AS33" s="324"/>
      <c r="AT33" s="323"/>
      <c r="AU33" s="323"/>
      <c r="AV33" s="324"/>
      <c r="AW33" s="323"/>
      <c r="AX33" s="323"/>
      <c r="AY33" s="324"/>
      <c r="AZ33" s="323"/>
      <c r="BA33" s="323"/>
      <c r="BB33" s="324"/>
      <c r="BC33" s="323"/>
      <c r="BD33" s="323"/>
      <c r="BE33" s="324"/>
      <c r="BF33" s="323"/>
      <c r="BG33" s="323"/>
      <c r="BH33" s="324"/>
    </row>
    <row r="34" spans="1:60" s="227" customFormat="1" ht="27" thickTop="1" thickBot="1" x14ac:dyDescent="0.65">
      <c r="A34" s="147"/>
      <c r="B34" s="147"/>
      <c r="C34" s="293"/>
      <c r="D34" s="147"/>
      <c r="E34" s="147"/>
      <c r="F34" s="156"/>
      <c r="G34" s="147"/>
      <c r="H34" s="147"/>
      <c r="I34" s="234" t="str">
        <f>IF(OR(H35&lt;I45,H35&gt;I45),"ERREUR","OK")</f>
        <v>OK</v>
      </c>
      <c r="J34" s="147"/>
      <c r="K34" s="147"/>
      <c r="L34" s="234" t="str">
        <f>IF(OR(K35&lt;L45,K35&gt;L45),"ERREUR","OK")</f>
        <v>OK</v>
      </c>
      <c r="M34" s="147"/>
      <c r="N34" s="147"/>
      <c r="O34" s="234" t="str">
        <f>IF(OR(N35&lt;O45,N35&gt;O45),"ERREUR","OK")</f>
        <v>OK</v>
      </c>
      <c r="P34" s="147"/>
      <c r="Q34" s="147"/>
      <c r="R34" s="234" t="str">
        <f>IF(OR(Q35&lt;R45,Q35&gt;R45),"ERREUR","OK")</f>
        <v>OK</v>
      </c>
      <c r="S34" s="147"/>
      <c r="T34" s="147"/>
      <c r="U34" s="234" t="str">
        <f>IF(OR(T35&lt;U45,T35&gt;U45),"ERREUR","OK")</f>
        <v>OK</v>
      </c>
      <c r="V34" s="147"/>
      <c r="W34" s="147"/>
      <c r="X34" s="234" t="str">
        <f>IF(OR(W35&lt;X45,W35&gt;X45),"ERREUR","OK")</f>
        <v>OK</v>
      </c>
      <c r="Y34" s="147"/>
      <c r="Z34" s="147"/>
      <c r="AA34" s="234" t="str">
        <f>IF(OR(Z35&lt;AA45,Z35&gt;AA45),"ERREUR","OK")</f>
        <v>OK</v>
      </c>
      <c r="AB34" s="147"/>
      <c r="AC34" s="147"/>
      <c r="AD34" s="235" t="str">
        <f>IF(OR(AC35&lt;AD45,AC35&gt;AD45),"ERREUR","OK")</f>
        <v>OK</v>
      </c>
      <c r="AE34" s="147"/>
      <c r="AF34" s="147"/>
      <c r="AG34" s="236" t="str">
        <f>IF(OR(AF35&lt;AG45,AF35&gt;AG45),"ERREUR","OK")</f>
        <v>OK</v>
      </c>
      <c r="AH34" s="147"/>
      <c r="AI34" s="147"/>
      <c r="AJ34" s="236" t="str">
        <f>IF(OR(AI35&lt;AJ45,AI35&gt;AJ45),"ERREUR","OK")</f>
        <v>OK</v>
      </c>
      <c r="AK34" s="147"/>
      <c r="AL34" s="147"/>
      <c r="AM34" s="236" t="str">
        <f>IF(OR(AL35&lt;AM45,AL35&gt;AM45),"ERREUR","OK")</f>
        <v>OK</v>
      </c>
      <c r="AN34" s="147"/>
      <c r="AO34" s="147"/>
      <c r="AP34" s="236" t="str">
        <f>IF(OR(AO35&lt;AP45,AO35&gt;AP45),"ERREUR","OK")</f>
        <v>OK</v>
      </c>
      <c r="AQ34" s="147"/>
      <c r="AR34" s="147"/>
      <c r="AS34" s="236" t="str">
        <f>IF(OR(AR35&lt;AS45,AR35&gt;AS45),"ERREUR","OK")</f>
        <v>OK</v>
      </c>
      <c r="AT34" s="147"/>
      <c r="AU34" s="147"/>
      <c r="AV34" s="236" t="str">
        <f>IF(OR(AU35&lt;AV45,AU35&gt;AV45),"ERREUR","OK")</f>
        <v>OK</v>
      </c>
      <c r="AW34" s="147"/>
      <c r="AX34" s="147"/>
      <c r="AY34" s="236" t="str">
        <f>IF(OR(AX35&lt;AY45,AX35&gt;AY45),"ERREUR","OK")</f>
        <v>OK</v>
      </c>
      <c r="AZ34" s="147"/>
      <c r="BA34" s="147"/>
      <c r="BB34" s="236" t="str">
        <f>IF(OR(BA35&lt;BB45,BA35&gt;BB45),"ERREUR","OK")</f>
        <v>OK</v>
      </c>
      <c r="BC34" s="147"/>
      <c r="BD34" s="147"/>
      <c r="BE34" s="236" t="str">
        <f>IF(OR(BD35&lt;BE45,BD35&gt;BE45),"ERREUR","OK")</f>
        <v>OK</v>
      </c>
      <c r="BF34" s="147"/>
      <c r="BG34" s="147"/>
      <c r="BH34" s="236" t="str">
        <f>IF(OR(BG35&lt;BH45,BG35&gt;BH45),"ERREUR","OK")</f>
        <v>OK</v>
      </c>
    </row>
    <row r="35" spans="1:60" s="128" customFormat="1" ht="27" thickTop="1" thickBot="1" x14ac:dyDescent="0.65">
      <c r="A35" s="123" t="e">
        <f>SUM(A4:A32)</f>
        <v>#N/A</v>
      </c>
      <c r="B35" s="281" t="s">
        <v>2</v>
      </c>
      <c r="C35" s="298">
        <f ca="1">IF(OR(C$3&gt;Y33,C$3&lt;AB33),AB35,IF(OR(C$3&gt;AB33,C$3&lt;AE33),AE35,IF(OR(C$3&gt;AE33,C$3&lt;AH33),AH35)))</f>
        <v>172.70499999999996</v>
      </c>
      <c r="D35" s="204" t="s">
        <v>50</v>
      </c>
      <c r="E35" s="130"/>
      <c r="F35" s="174">
        <f>SUM(F4:F32)</f>
        <v>255</v>
      </c>
      <c r="G35" s="225">
        <f>SECOND!C36</f>
        <v>272.38</v>
      </c>
      <c r="H35" s="191">
        <f>COUNTIF(H4:H32,"p")</f>
        <v>16</v>
      </c>
      <c r="I35" s="194">
        <f>COUNTIF(I4:I32,"PATES LORRAIN")</f>
        <v>0</v>
      </c>
      <c r="J35" s="224">
        <f>SECOND!D36</f>
        <v>272.38</v>
      </c>
      <c r="K35" s="191">
        <f>COUNTIF(K4:K32,"p")</f>
        <v>0</v>
      </c>
      <c r="L35" s="194">
        <f>COUNTIF(L4:L32,"PATES LORRAIN")</f>
        <v>0</v>
      </c>
      <c r="M35" s="224">
        <f>SECOND!E36</f>
        <v>256.27</v>
      </c>
      <c r="N35" s="191">
        <f>COUNTIF(N4:N32,"p")</f>
        <v>16</v>
      </c>
      <c r="O35" s="194">
        <f>COUNTIF(O4:O32,"PATES LORRAIN")</f>
        <v>0</v>
      </c>
      <c r="P35" s="224">
        <f>SECOND!F36</f>
        <v>238.26999999999998</v>
      </c>
      <c r="Q35" s="133">
        <f>COUNTIF(Q4:Q32,"p")</f>
        <v>18</v>
      </c>
      <c r="R35" s="194">
        <f>COUNTIF(R4:R32,"PATES LORRAIN")</f>
        <v>0</v>
      </c>
      <c r="S35" s="224">
        <f>SECOND!G36</f>
        <v>227.55999999999997</v>
      </c>
      <c r="T35" s="133">
        <f>COUNTIF(T4:T32,"p")</f>
        <v>8</v>
      </c>
      <c r="U35" s="194">
        <f>COUNTIF(U4:U32,"PATES LORRAIN")</f>
        <v>2</v>
      </c>
      <c r="V35" s="224">
        <f>SECOND!H36</f>
        <v>206.63499999999996</v>
      </c>
      <c r="W35" s="133">
        <f>COUNTIF(W4:W32,"p")</f>
        <v>18</v>
      </c>
      <c r="X35" s="194">
        <f>COUNTIF(X4:X32,"PATES LORRAIN")</f>
        <v>2</v>
      </c>
      <c r="Y35" s="224">
        <f>SECOND!I36</f>
        <v>190.34499999999997</v>
      </c>
      <c r="Z35" s="133">
        <f>COUNTIF(Z4:Z32,"p")</f>
        <v>19</v>
      </c>
      <c r="AA35" s="194">
        <f>COUNTIF(AA4:AA32,"PATES LORRAIN")</f>
        <v>1</v>
      </c>
      <c r="AB35" s="224">
        <f>SECOND!J36</f>
        <v>172.70499999999996</v>
      </c>
      <c r="AC35" s="133">
        <f>COUNTIF(AC4:AC32,"p")</f>
        <v>16</v>
      </c>
      <c r="AD35" s="194">
        <f>COUNTIF(AD4:AD32,"PATES LORRAIN")</f>
        <v>1</v>
      </c>
      <c r="AE35" s="224">
        <f>SECOND!K36</f>
        <v>172.70499999999996</v>
      </c>
      <c r="AF35" s="133">
        <f>COUNTIF(AF4:AF32,"p")</f>
        <v>0</v>
      </c>
      <c r="AG35" s="194">
        <f>COUNTIF(AG4:AG32,"PATES LORRAIN")</f>
        <v>0</v>
      </c>
      <c r="AH35" s="224">
        <f>SECOND!L36</f>
        <v>155.15499999999994</v>
      </c>
      <c r="AI35" s="133">
        <f>COUNTIF(AI4:AI32,"p")</f>
        <v>17</v>
      </c>
      <c r="AJ35" s="194">
        <f>COUNTIF(AJ4:AJ32,"PATES LORRAIN")</f>
        <v>1</v>
      </c>
      <c r="AK35" s="224">
        <f>SECOND!Q36</f>
        <v>0</v>
      </c>
      <c r="AL35" s="133">
        <f>COUNTIF(AL4:AL32,"p")</f>
        <v>0</v>
      </c>
      <c r="AM35" s="194">
        <f>COUNTIF(AM4:AM32,"PATES LORRAIN")</f>
        <v>0</v>
      </c>
      <c r="AN35" s="224">
        <f>SECOND!T36</f>
        <v>0</v>
      </c>
      <c r="AO35" s="133">
        <f>COUNTIF(AO4:AO32,"p")</f>
        <v>0</v>
      </c>
      <c r="AP35" s="194">
        <f>COUNTIF(AP4:AP32,"PATES LORRAIN")</f>
        <v>0</v>
      </c>
      <c r="AQ35" s="224">
        <f>SECOND!W36</f>
        <v>0</v>
      </c>
      <c r="AR35" s="133">
        <f>COUNTIF(AR4:AR32,"p")</f>
        <v>0</v>
      </c>
      <c r="AS35" s="194">
        <f>COUNTIF(AS4:AS32,"PATES LORRAIN")</f>
        <v>0</v>
      </c>
      <c r="AT35" s="224">
        <f>SECOND!Z36</f>
        <v>0</v>
      </c>
      <c r="AU35" s="133">
        <f>COUNTIF(AU4:AU32,"p")</f>
        <v>0</v>
      </c>
      <c r="AV35" s="194">
        <f>COUNTIF(AV4:AV32,"PATES LORRAIN")</f>
        <v>0</v>
      </c>
      <c r="AW35" s="224">
        <f>SECOND!AC36</f>
        <v>0</v>
      </c>
      <c r="AX35" s="133">
        <f>COUNTIF(AX4:AX32,"p")</f>
        <v>0</v>
      </c>
      <c r="AY35" s="194">
        <f>COUNTIF(AY4:AY32,"PATES LORRAIN")</f>
        <v>0</v>
      </c>
      <c r="AZ35" s="224">
        <f>SECOND!AF36</f>
        <v>0</v>
      </c>
      <c r="BA35" s="133">
        <f>COUNTIF(BA4:BA32,"p")</f>
        <v>0</v>
      </c>
      <c r="BB35" s="194">
        <f>COUNTIF(BB4:BB32,"PATES LORRAIN")</f>
        <v>0</v>
      </c>
      <c r="BC35" s="224">
        <f>SECOND!AI36</f>
        <v>0</v>
      </c>
      <c r="BD35" s="133">
        <f>COUNTIF(BD4:BD32,"p")</f>
        <v>0</v>
      </c>
      <c r="BE35" s="194">
        <f>COUNTIF(BE4:BE32,"PATES LORRAIN")</f>
        <v>0</v>
      </c>
      <c r="BF35" s="224">
        <f>SECOND!AL36</f>
        <v>0</v>
      </c>
      <c r="BG35" s="133">
        <f>COUNTIF(BG4:BG32,"p")</f>
        <v>0</v>
      </c>
      <c r="BH35" s="194">
        <f>COUNTIF(BH4:BH32,"PATES LORRAIN")</f>
        <v>0</v>
      </c>
    </row>
    <row r="36" spans="1:60" s="125" customFormat="1" ht="23.25" customHeight="1" thickTop="1" thickBot="1" x14ac:dyDescent="0.65">
      <c r="A36" s="127"/>
      <c r="B36" s="282" t="s">
        <v>66</v>
      </c>
      <c r="C36" s="299">
        <f ca="1">IF(OR(C$3&gt;Y34,C$3&lt;AB34),AB36,IF(OR(C$3&gt;AB34,C$3&lt;AE34),AE36,IF(OR(C$3&gt;AE34,C$3&lt;AH34),AH36)))</f>
        <v>167.35</v>
      </c>
      <c r="D36" s="205" t="s">
        <v>51</v>
      </c>
      <c r="E36" s="155"/>
      <c r="F36" s="123"/>
      <c r="G36" s="158">
        <f>SUM(G4:G32)</f>
        <v>278.09999999999997</v>
      </c>
      <c r="H36" s="192">
        <f>COUNTIF(H5:H32,"n/p")</f>
        <v>8</v>
      </c>
      <c r="I36" s="195">
        <f>COUNTIF(I4:I32,"PATES  POULET")</f>
        <v>0</v>
      </c>
      <c r="J36" s="124">
        <f>SUM(J4:J32)</f>
        <v>278.09999999999997</v>
      </c>
      <c r="K36" s="192">
        <f>COUNTIF(K5:K32,"n/p")</f>
        <v>22</v>
      </c>
      <c r="L36" s="195">
        <f>COUNTIF(L4:L32,"PATES  POULET")</f>
        <v>0</v>
      </c>
      <c r="M36" s="124">
        <f>SUM(M4:M32)</f>
        <v>260.2</v>
      </c>
      <c r="N36" s="192">
        <f>COUNTIF(N5:N32,"n/p")</f>
        <v>7</v>
      </c>
      <c r="O36" s="195">
        <f>COUNTIF(O4:O32,"PATES  POULET")</f>
        <v>0</v>
      </c>
      <c r="P36" s="124">
        <f>SUM(P4:P32)</f>
        <v>240.2</v>
      </c>
      <c r="Q36" s="134">
        <f>COUNTIF(Q5:Q32,"n/p")</f>
        <v>5</v>
      </c>
      <c r="R36" s="195">
        <f>COUNTIF(R4:R32,"PATES  POULET")</f>
        <v>0</v>
      </c>
      <c r="S36" s="124">
        <f>SUM(S4:S32)</f>
        <v>228.29999999999995</v>
      </c>
      <c r="T36" s="134">
        <f>COUNTIF(T5:T32,"n/p")</f>
        <v>15</v>
      </c>
      <c r="U36" s="195">
        <f>COUNTIF(U4:U32,"PATES  POULET")</f>
        <v>0</v>
      </c>
      <c r="V36" s="124">
        <f>SUM(V4:V32)</f>
        <v>205.05</v>
      </c>
      <c r="W36" s="134">
        <f>COUNTIF(W4:W32,"n/p")</f>
        <v>5</v>
      </c>
      <c r="X36" s="195">
        <f>COUNTIF(X4:X32,"PATES  POULET")</f>
        <v>0</v>
      </c>
      <c r="Y36" s="124">
        <f>SUM(Y4:Y32)</f>
        <v>186.94999999999996</v>
      </c>
      <c r="Z36" s="134">
        <f>COUNTIF(Z5:Z32,"n/p")</f>
        <v>4</v>
      </c>
      <c r="AA36" s="195">
        <f>COUNTIF(AA4:AA32,"PATES  POULET")</f>
        <v>0</v>
      </c>
      <c r="AB36" s="124">
        <f>SUM(AB4:AB32)</f>
        <v>167.35</v>
      </c>
      <c r="AC36" s="134">
        <f>COUNTIF(AC5:AC32,"n/p")</f>
        <v>7</v>
      </c>
      <c r="AD36" s="195">
        <f>COUNTIF(AD4:AD32,"PATES  POULET")</f>
        <v>1</v>
      </c>
      <c r="AE36" s="124">
        <f>SUM(AE4:AE32)</f>
        <v>167.35</v>
      </c>
      <c r="AF36" s="134">
        <f>COUNTIF(AF5:AF32,"n/p")</f>
        <v>0</v>
      </c>
      <c r="AG36" s="195">
        <f>COUNTIF(AG4:AG32,"PATES  POULET")</f>
        <v>0</v>
      </c>
      <c r="AH36" s="124">
        <f>SUM(AH4:AH32)</f>
        <v>147.85000000000002</v>
      </c>
      <c r="AI36" s="134">
        <f>COUNTIF(AI5:AI32,"n/p")</f>
        <v>5</v>
      </c>
      <c r="AJ36" s="195">
        <f>COUNTIF(AJ4:AJ32,"PATES  POULET")</f>
        <v>0</v>
      </c>
      <c r="AK36" s="124">
        <f>SUM(AK4:AK32)</f>
        <v>147.85000000000002</v>
      </c>
      <c r="AL36" s="134">
        <f>COUNTIF(AL5:AL32,"n/p")</f>
        <v>0</v>
      </c>
      <c r="AM36" s="195">
        <f>COUNTIF(AM4:AM32,"PATES  POULET")</f>
        <v>0</v>
      </c>
      <c r="AN36" s="124">
        <f>SUM(AN4:AN32)</f>
        <v>147.85000000000002</v>
      </c>
      <c r="AO36" s="134">
        <f>COUNTIF(AO5:AO32,"n/p")</f>
        <v>0</v>
      </c>
      <c r="AP36" s="195">
        <f>COUNTIF(AP4:AP32,"PATES  POULET")</f>
        <v>0</v>
      </c>
      <c r="AQ36" s="124">
        <f>SUM(AQ4:AQ32)</f>
        <v>147.85000000000002</v>
      </c>
      <c r="AR36" s="134">
        <f>COUNTIF(AR5:AR32,"n/p")</f>
        <v>0</v>
      </c>
      <c r="AS36" s="195">
        <f>COUNTIF(AS4:AS32,"PATES  POULET")</f>
        <v>0</v>
      </c>
      <c r="AT36" s="124">
        <f>SUM(AT4:AT32)</f>
        <v>147.85000000000002</v>
      </c>
      <c r="AU36" s="134">
        <f>COUNTIF(AU5:AU32,"n/p")</f>
        <v>0</v>
      </c>
      <c r="AV36" s="195">
        <f>COUNTIF(AV4:AV32,"PATES  POULET")</f>
        <v>0</v>
      </c>
      <c r="AW36" s="124">
        <f>SUM(AW4:AW32)</f>
        <v>147.85000000000002</v>
      </c>
      <c r="AX36" s="134">
        <f>COUNTIF(AX5:AX32,"n/p")</f>
        <v>0</v>
      </c>
      <c r="AY36" s="195">
        <f>COUNTIF(AY4:AY32,"PATES  POULET")</f>
        <v>0</v>
      </c>
      <c r="AZ36" s="124">
        <f>SUM(AZ4:AZ32)</f>
        <v>147.85000000000002</v>
      </c>
      <c r="BA36" s="134">
        <f>COUNTIF(BA5:BA32,"n/p")</f>
        <v>0</v>
      </c>
      <c r="BB36" s="195">
        <f>COUNTIF(BB4:BB32,"PATES  POULET")</f>
        <v>0</v>
      </c>
      <c r="BC36" s="124">
        <f>SUM(BC4:BC32)</f>
        <v>147.85000000000002</v>
      </c>
      <c r="BD36" s="134">
        <f>COUNTIF(BD5:BD32,"n/p")</f>
        <v>0</v>
      </c>
      <c r="BE36" s="195">
        <f>COUNTIF(BE4:BE32,"PATES  POULET")</f>
        <v>0</v>
      </c>
      <c r="BF36" s="124">
        <f>SUM(BF4:BF32)</f>
        <v>147.85000000000002</v>
      </c>
      <c r="BG36" s="134">
        <f>COUNTIF(BG5:BG32,"n/p")</f>
        <v>0</v>
      </c>
      <c r="BH36" s="195">
        <f>COUNTIF(BH4:BH32,"PATES  POULET")</f>
        <v>0</v>
      </c>
    </row>
    <row r="37" spans="1:60" ht="26.5" thickBot="1" x14ac:dyDescent="0.65">
      <c r="A37" s="4"/>
      <c r="B37" s="283" t="s">
        <v>65</v>
      </c>
      <c r="C37" s="299">
        <f ca="1">IF(OR(C$3&gt;Y35,C$3&lt;AB35),AB37,IF(OR(C$3&gt;AB35,C$3&lt;AE35),AE37,IF(OR(C$3&gt;AE35,C$3&lt;AH35),AH37)))</f>
        <v>5.3549999999999613</v>
      </c>
      <c r="D37" s="205" t="s">
        <v>51</v>
      </c>
      <c r="E37" s="155"/>
      <c r="F37" s="175"/>
      <c r="G37" s="158">
        <f>G35-G36</f>
        <v>-5.7199999999999704</v>
      </c>
      <c r="H37" s="211"/>
      <c r="I37" s="196">
        <f>COUNTIF(I4:I32,"PAIN CHOCOLAT")</f>
        <v>10</v>
      </c>
      <c r="J37" s="124">
        <f>J35-J36</f>
        <v>-5.7199999999999704</v>
      </c>
      <c r="K37" s="212"/>
      <c r="L37" s="196">
        <f>COUNTIF(L4:L32,"PAIN CHOCOLAT")</f>
        <v>0</v>
      </c>
      <c r="M37" s="124">
        <f>M35-M36</f>
        <v>-3.9300000000000068</v>
      </c>
      <c r="N37" s="193"/>
      <c r="O37" s="196">
        <f>COUNTIF(O4:O32,"PAIN CHOCOLAT")</f>
        <v>11</v>
      </c>
      <c r="P37" s="124">
        <f>P35-P36</f>
        <v>-1.9300000000000068</v>
      </c>
      <c r="Q37" s="134">
        <f>COUNTIF(Q6:Q35,"n/C")</f>
        <v>0</v>
      </c>
      <c r="R37" s="196">
        <f>COUNTIF(R4:R32,"PAIN CHOCOLAT")</f>
        <v>11</v>
      </c>
      <c r="S37" s="124">
        <f>S35-S36</f>
        <v>-0.73999999999998067</v>
      </c>
      <c r="T37" s="134">
        <f>COUNTIF(T6:T35,"n/C")</f>
        <v>0</v>
      </c>
      <c r="U37" s="196">
        <f>COUNTIF(U4:U32,"PAIN CHOCOLAT")</f>
        <v>3</v>
      </c>
      <c r="V37" s="124">
        <f>V35-V36</f>
        <v>1.5849999999999511</v>
      </c>
      <c r="W37" s="134">
        <f>COUNTIF(W6:W35,"n/C")</f>
        <v>0</v>
      </c>
      <c r="X37" s="196">
        <f>COUNTIF(X4:X32,"PAIN CHOCOLAT")</f>
        <v>3</v>
      </c>
      <c r="Y37" s="124">
        <f>Y35-Y36</f>
        <v>3.3950000000000102</v>
      </c>
      <c r="Z37" s="134">
        <f>COUNTIF(Z6:Z35,"n/C")</f>
        <v>0</v>
      </c>
      <c r="AA37" s="196">
        <f>COUNTIF(AA4:AA32,"PAIN CHOCOLAT")</f>
        <v>3</v>
      </c>
      <c r="AB37" s="124">
        <f>AB35-AB36</f>
        <v>5.3549999999999613</v>
      </c>
      <c r="AC37" s="134">
        <f>COUNTIF(AC6:AC35,"n/C")</f>
        <v>0</v>
      </c>
      <c r="AD37" s="196">
        <f>COUNTIF(AD4:AD32,"PAIN CHOCOLAT")</f>
        <v>2</v>
      </c>
      <c r="AE37" s="124">
        <f>AE35-AE36</f>
        <v>5.3549999999999613</v>
      </c>
      <c r="AF37" s="134">
        <f>COUNTIF(AF6:AF35,"n/C")</f>
        <v>0</v>
      </c>
      <c r="AG37" s="196">
        <f>COUNTIF(AG4:AG32,"PAIN CHOCOLAT")</f>
        <v>0</v>
      </c>
      <c r="AH37" s="124">
        <f>AH35-AH36</f>
        <v>7.3049999999999216</v>
      </c>
      <c r="AI37" s="134">
        <f>COUNTIF(AI6:AI35,"n/C")</f>
        <v>0</v>
      </c>
      <c r="AJ37" s="196">
        <f>COUNTIF(AJ4:AJ32,"PAIN CHOCOLAT")</f>
        <v>5</v>
      </c>
      <c r="AK37" s="124">
        <f>AK35-AK36</f>
        <v>-147.85000000000002</v>
      </c>
      <c r="AL37" s="134">
        <f>COUNTIF(AL6:AL35,"n/C")</f>
        <v>0</v>
      </c>
      <c r="AM37" s="196">
        <f>COUNTIF(AM4:AM32,"PAIN CHOCOLAT")</f>
        <v>0</v>
      </c>
      <c r="AN37" s="124">
        <f>AN35-AN36</f>
        <v>-147.85000000000002</v>
      </c>
      <c r="AO37" s="134">
        <f>COUNTIF(AO6:AO35,"n/C")</f>
        <v>0</v>
      </c>
      <c r="AP37" s="196">
        <f>COUNTIF(AP4:AP32,"PAIN CHOCOLAT")</f>
        <v>0</v>
      </c>
      <c r="AQ37" s="124">
        <f>AQ35-AQ36</f>
        <v>-147.85000000000002</v>
      </c>
      <c r="AR37" s="134">
        <f>COUNTIF(AR6:AR35,"n/C")</f>
        <v>0</v>
      </c>
      <c r="AS37" s="196">
        <f>COUNTIF(AS4:AS32,"PAIN CHOCOLAT")</f>
        <v>0</v>
      </c>
      <c r="AT37" s="124">
        <f>AT35-AT36</f>
        <v>-147.85000000000002</v>
      </c>
      <c r="AU37" s="134">
        <f>COUNTIF(AU6:AU35,"n/C")</f>
        <v>0</v>
      </c>
      <c r="AV37" s="196">
        <f>COUNTIF(AV4:AV32,"PAIN CHOCOLAT")</f>
        <v>0</v>
      </c>
      <c r="AW37" s="124">
        <f>AW35-AW36</f>
        <v>-147.85000000000002</v>
      </c>
      <c r="AX37" s="134">
        <f>COUNTIF(AX6:AX35,"n/C")</f>
        <v>0</v>
      </c>
      <c r="AY37" s="196">
        <f>COUNTIF(AY4:AY32,"PAIN CHOCOLAT")</f>
        <v>0</v>
      </c>
      <c r="AZ37" s="124">
        <f>AZ35-AZ36</f>
        <v>-147.85000000000002</v>
      </c>
      <c r="BA37" s="134">
        <f>COUNTIF(BA6:BA35,"n/C")</f>
        <v>0</v>
      </c>
      <c r="BB37" s="196">
        <f>COUNTIF(BB4:BB32,"PAIN CHOCOLAT")</f>
        <v>0</v>
      </c>
      <c r="BC37" s="124">
        <f>BC35-BC36</f>
        <v>-147.85000000000002</v>
      </c>
      <c r="BD37" s="134">
        <f>COUNTIF(BD6:BD35,"n/C")</f>
        <v>0</v>
      </c>
      <c r="BE37" s="196">
        <f>COUNTIF(BE4:BE32,"PAIN CHOCOLAT")</f>
        <v>0</v>
      </c>
      <c r="BF37" s="124">
        <f>BF35-BF36</f>
        <v>-147.85000000000002</v>
      </c>
      <c r="BG37" s="134">
        <f>COUNTIF(BG6:BG35,"n/C")</f>
        <v>0</v>
      </c>
      <c r="BH37" s="196">
        <f>COUNTIF(BH4:BH32,"PAIN CHOCOLAT")</f>
        <v>0</v>
      </c>
    </row>
    <row r="38" spans="1:60" s="173" customFormat="1" ht="25.5" customHeight="1" thickTop="1" thickBot="1" x14ac:dyDescent="0.65">
      <c r="A38" s="228"/>
      <c r="B38" s="284" t="s">
        <v>64</v>
      </c>
      <c r="C38" s="300">
        <f ca="1">IF(OR(C$3&gt;Y36,C$3&lt;AB36),AB38,IF(OR(C$3&gt;AB36,C$3&lt;AE36),AE38,IF(OR(C$3&gt;AE36,C$3&lt;AH36),AH38)))</f>
        <v>17.640000000000004</v>
      </c>
      <c r="D38" s="136"/>
      <c r="E38" s="136"/>
      <c r="F38" s="136"/>
      <c r="G38" s="223">
        <f>SECOND!C35</f>
        <v>16.020000000000003</v>
      </c>
      <c r="H38" s="136"/>
      <c r="I38" s="197">
        <f>COUNTIF(I4:I32,"ESCA CHOCOLAT")</f>
        <v>0</v>
      </c>
      <c r="J38" s="223">
        <f>SECOND!D35</f>
        <v>0</v>
      </c>
      <c r="K38" s="136"/>
      <c r="L38" s="197">
        <f>COUNTIF(L4:L32,"ESCA CHOCOLAT")</f>
        <v>0</v>
      </c>
      <c r="M38" s="223">
        <f>SECOND!E35</f>
        <v>16.110000000000003</v>
      </c>
      <c r="N38" s="136"/>
      <c r="O38" s="197">
        <f>COUNTIF(O4:O32,"ESCA CHOCOLAT")</f>
        <v>0</v>
      </c>
      <c r="P38" s="223">
        <f>SECOND!F35</f>
        <v>18.000000000000004</v>
      </c>
      <c r="Q38" s="136"/>
      <c r="R38" s="197">
        <f>COUNTIF(R4:R32,"ESCA CHOCOLAT")</f>
        <v>0</v>
      </c>
      <c r="S38" s="223">
        <f>SECOND!G35</f>
        <v>10.71</v>
      </c>
      <c r="T38" s="136"/>
      <c r="U38" s="197">
        <f>COUNTIF(U4:U32,"ESCA CHOCOLAT")</f>
        <v>0</v>
      </c>
      <c r="V38" s="223">
        <f>SECOND!H35</f>
        <v>20.925000000000001</v>
      </c>
      <c r="W38" s="190"/>
      <c r="X38" s="197">
        <f>COUNTIF(X4:X32,"ESCA CHOCOLAT")</f>
        <v>2</v>
      </c>
      <c r="Y38" s="223">
        <f>SECOND!I35</f>
        <v>16.290000000000006</v>
      </c>
      <c r="Z38" s="136"/>
      <c r="AA38" s="197">
        <f>COUNTIF(AA4:AA32,"ESCA CHOCOLAT")</f>
        <v>0</v>
      </c>
      <c r="AB38" s="223">
        <f>SECOND!J35</f>
        <v>17.640000000000004</v>
      </c>
      <c r="AC38" s="206"/>
      <c r="AD38" s="207">
        <f>COUNTIF(AD4:AD32,"ESCA CHOCOLAT")</f>
        <v>0</v>
      </c>
      <c r="AE38" s="223">
        <f>SECOND!K35</f>
        <v>0</v>
      </c>
      <c r="AF38" s="136"/>
      <c r="AG38" s="197">
        <f>COUNTIF(AG4:AG32,"ESCA CHOCOLAT")</f>
        <v>0</v>
      </c>
      <c r="AH38" s="223">
        <f>SECOND!L35</f>
        <v>17.55</v>
      </c>
      <c r="AI38" s="136"/>
      <c r="AJ38" s="197">
        <f>COUNTIF(AJ4:AJ32,"ESCA CHOCOLAT")</f>
        <v>0</v>
      </c>
      <c r="AK38" s="223">
        <f>SECOND!Q35</f>
        <v>0</v>
      </c>
      <c r="AL38" s="136"/>
      <c r="AM38" s="197">
        <f>COUNTIF(AM4:AM32,"ESCA CHOCOLAT")</f>
        <v>0</v>
      </c>
      <c r="AN38" s="223">
        <f>SECOND!T35</f>
        <v>0</v>
      </c>
      <c r="AO38" s="136"/>
      <c r="AP38" s="197">
        <f>COUNTIF(AP4:AP32,"ESCA CHOCOLAT")</f>
        <v>0</v>
      </c>
      <c r="AQ38" s="223">
        <f>SECOND!W35</f>
        <v>0</v>
      </c>
      <c r="AR38" s="136"/>
      <c r="AS38" s="197">
        <f>COUNTIF(AS4:AS32,"ESCA CHOCOLAT")</f>
        <v>0</v>
      </c>
      <c r="AT38" s="223">
        <f>SECOND!Z35</f>
        <v>0</v>
      </c>
      <c r="AU38" s="136"/>
      <c r="AV38" s="197">
        <f>COUNTIF(AV4:AV32,"ESCA CHOCOLAT")</f>
        <v>0</v>
      </c>
      <c r="AW38" s="223">
        <f>SECOND!AC35</f>
        <v>0</v>
      </c>
      <c r="AX38" s="136"/>
      <c r="AY38" s="197">
        <f>COUNTIF(AY4:AY32,"ESCA CHOCOLAT")</f>
        <v>0</v>
      </c>
      <c r="AZ38" s="223">
        <f>SECOND!AF35</f>
        <v>0</v>
      </c>
      <c r="BA38" s="136"/>
      <c r="BB38" s="197">
        <f>COUNTIF(BB4:BB32,"ESCA CHOCOLAT")</f>
        <v>0</v>
      </c>
      <c r="BC38" s="223">
        <f>SECOND!AI35</f>
        <v>0</v>
      </c>
      <c r="BD38" s="136"/>
      <c r="BE38" s="197">
        <f>COUNTIF(BE4:BE32,"ESCA CHOCOLAT")</f>
        <v>0</v>
      </c>
      <c r="BF38" s="223">
        <f>SECOND!AL35</f>
        <v>0</v>
      </c>
      <c r="BG38" s="136"/>
      <c r="BH38" s="197">
        <f>COUNTIF(BH4:BH32,"ESCA CHOCOLAT")</f>
        <v>0</v>
      </c>
    </row>
    <row r="39" spans="1:60" s="148" customFormat="1" ht="27" thickTop="1" thickBot="1" x14ac:dyDescent="0.65">
      <c r="A39" s="226"/>
      <c r="B39" s="285" t="s">
        <v>60</v>
      </c>
      <c r="C39" s="301"/>
      <c r="D39" s="147"/>
      <c r="E39" s="146"/>
      <c r="F39" s="146"/>
      <c r="G39" s="149"/>
      <c r="H39" s="189"/>
      <c r="I39" s="198">
        <f>COUNTIF(I4:I32,"CROI BEURRE")</f>
        <v>6</v>
      </c>
      <c r="J39" s="149"/>
      <c r="K39" s="189"/>
      <c r="L39" s="198">
        <f>COUNTIF(L4:L32,"CROI BEURRE")</f>
        <v>0</v>
      </c>
      <c r="M39" s="149"/>
      <c r="N39" s="146"/>
      <c r="O39" s="198">
        <f>COUNTIF(O4:O32,"CROI BEURRE")</f>
        <v>5</v>
      </c>
      <c r="P39" s="149"/>
      <c r="Q39" s="146"/>
      <c r="R39" s="198">
        <f>COUNTIF(R4:R32,"CROI BEURRE")</f>
        <v>7</v>
      </c>
      <c r="S39" s="149"/>
      <c r="T39" s="146"/>
      <c r="U39" s="198">
        <f>COUNTIF(U4:U32,"CROI BEURRE")</f>
        <v>3</v>
      </c>
      <c r="V39" s="149"/>
      <c r="W39" s="146"/>
      <c r="X39" s="198">
        <f>COUNTIF(X4:X32,"CROI BEURRE")</f>
        <v>3</v>
      </c>
      <c r="Y39" s="149"/>
      <c r="Z39" s="146"/>
      <c r="AA39" s="198">
        <f>COUNTIF(AA4:AA32,"CROI BEURRE")</f>
        <v>4</v>
      </c>
      <c r="AB39" s="146"/>
      <c r="AC39" s="206"/>
      <c r="AD39" s="198">
        <f>COUNTIF(AD4:AD32,"CROI BEURRE")</f>
        <v>4</v>
      </c>
      <c r="AE39" s="146"/>
      <c r="AF39" s="146"/>
      <c r="AG39" s="198">
        <f>COUNTIF(AG4:AG32,"CROI BEURRE")</f>
        <v>0</v>
      </c>
      <c r="AH39" s="146"/>
      <c r="AI39" s="146"/>
      <c r="AJ39" s="198">
        <f>COUNTIF(AJ4:AJ32,"CROI BEURRE")</f>
        <v>2</v>
      </c>
      <c r="AK39" s="146"/>
      <c r="AL39" s="146"/>
      <c r="AM39" s="198">
        <f>COUNTIF(AM4:AM32,"CROI BEURRE")</f>
        <v>0</v>
      </c>
      <c r="AN39" s="146"/>
      <c r="AO39" s="146"/>
      <c r="AP39" s="198">
        <f>COUNTIF(AP4:AP32,"CROI BEURRE")</f>
        <v>0</v>
      </c>
      <c r="AQ39" s="146"/>
      <c r="AR39" s="146"/>
      <c r="AS39" s="198">
        <f>COUNTIF(AS4:AS32,"CROI BEURRE")</f>
        <v>0</v>
      </c>
      <c r="AT39" s="146"/>
      <c r="AU39" s="146"/>
      <c r="AV39" s="198">
        <f>COUNTIF(AV4:AV32,"CROI BEURRE")</f>
        <v>0</v>
      </c>
      <c r="AW39" s="146"/>
      <c r="AX39" s="146"/>
      <c r="AY39" s="198">
        <f>COUNTIF(AY4:AY32,"CROI BEURRE")</f>
        <v>0</v>
      </c>
      <c r="AZ39" s="146"/>
      <c r="BA39" s="146"/>
      <c r="BB39" s="198">
        <f>COUNTIF(BB4:BB32,"CROI BEURRE")</f>
        <v>0</v>
      </c>
      <c r="BC39" s="146"/>
      <c r="BD39" s="146"/>
      <c r="BE39" s="198">
        <f>COUNTIF(BE4:BE32,"CROI BEURRE")</f>
        <v>0</v>
      </c>
      <c r="BF39" s="146"/>
      <c r="BG39" s="146"/>
      <c r="BH39" s="198">
        <f>COUNTIF(BH4:BH32,"CROI BEURRE")</f>
        <v>0</v>
      </c>
    </row>
    <row r="40" spans="1:60" s="148" customFormat="1" ht="27" thickTop="1" thickBot="1" x14ac:dyDescent="0.65">
      <c r="A40" s="226"/>
      <c r="B40" s="286" t="s">
        <v>61</v>
      </c>
      <c r="C40" s="302"/>
      <c r="D40" s="147"/>
      <c r="E40" s="146"/>
      <c r="F40" s="146"/>
      <c r="G40" s="150"/>
      <c r="H40" s="189"/>
      <c r="I40" s="199">
        <f>COUNTIF(I4:I32,"CROI NUTELLA")</f>
        <v>0</v>
      </c>
      <c r="J40" s="150"/>
      <c r="K40" s="189"/>
      <c r="L40" s="199">
        <f>COUNTIF(L4:L32,"CROI NUTELLA")</f>
        <v>0</v>
      </c>
      <c r="M40" s="150"/>
      <c r="N40" s="146"/>
      <c r="O40" s="199">
        <f>COUNTIF(O4:O32,"CROI NUTELLA")</f>
        <v>0</v>
      </c>
      <c r="P40" s="150"/>
      <c r="Q40" s="146"/>
      <c r="R40" s="199">
        <f>COUNTIF(R4:R32,"CROI NUTELLA")</f>
        <v>0</v>
      </c>
      <c r="S40" s="150"/>
      <c r="T40" s="146"/>
      <c r="U40" s="199">
        <f>COUNTIF(U4:U32,"CROI NUTELLA")</f>
        <v>0</v>
      </c>
      <c r="V40" s="150"/>
      <c r="W40" s="146"/>
      <c r="X40" s="199">
        <f>COUNTIF(X4:X32,"CROI NUTELLA")</f>
        <v>4</v>
      </c>
      <c r="Y40" s="150"/>
      <c r="Z40" s="146"/>
      <c r="AA40" s="199">
        <f>COUNTIF(AA4:AA32,"CROI NUTELLA")</f>
        <v>5</v>
      </c>
      <c r="AB40" s="146"/>
      <c r="AC40" s="206"/>
      <c r="AD40" s="199">
        <f>COUNTIF(AD4:AD32,"CROI NUTELLA")</f>
        <v>5</v>
      </c>
      <c r="AE40" s="146"/>
      <c r="AF40" s="146"/>
      <c r="AG40" s="199">
        <f>COUNTIF(AG4:AG32,"CROI NUTELLA")</f>
        <v>0</v>
      </c>
      <c r="AH40" s="146"/>
      <c r="AI40" s="146"/>
      <c r="AJ40" s="199">
        <f>COUNTIF(AJ4:AJ32,"CROI NUTELLA")</f>
        <v>3</v>
      </c>
      <c r="AK40" s="146"/>
      <c r="AL40" s="146"/>
      <c r="AM40" s="199">
        <f>COUNTIF(AM4:AM32,"CROI NUTELLA")</f>
        <v>0</v>
      </c>
      <c r="AN40" s="146"/>
      <c r="AO40" s="146"/>
      <c r="AP40" s="199">
        <f>COUNTIF(AP4:AP32,"CROI NUTELLA")</f>
        <v>0</v>
      </c>
      <c r="AQ40" s="146"/>
      <c r="AR40" s="146"/>
      <c r="AS40" s="199">
        <f>COUNTIF(AS4:AS32,"CROI NUTELLA")</f>
        <v>0</v>
      </c>
      <c r="AT40" s="146"/>
      <c r="AU40" s="146"/>
      <c r="AV40" s="199">
        <f>COUNTIF(AV4:AV32,"CROI NUTELLA")</f>
        <v>0</v>
      </c>
      <c r="AW40" s="146"/>
      <c r="AX40" s="146"/>
      <c r="AY40" s="199">
        <f>COUNTIF(AY4:AY32,"CROI NUTELLA")</f>
        <v>0</v>
      </c>
      <c r="AZ40" s="146"/>
      <c r="BA40" s="146"/>
      <c r="BB40" s="199">
        <f>COUNTIF(BB4:BB32,"CROI NUTELLA")</f>
        <v>0</v>
      </c>
      <c r="BC40" s="146"/>
      <c r="BD40" s="146"/>
      <c r="BE40" s="199">
        <f>COUNTIF(BE4:BE32,"CROI NUTELLA")</f>
        <v>0</v>
      </c>
      <c r="BF40" s="146"/>
      <c r="BG40" s="146"/>
      <c r="BH40" s="199">
        <f>COUNTIF(BH4:BH32,"CROI NUTELLA")</f>
        <v>0</v>
      </c>
    </row>
    <row r="41" spans="1:60" s="148" customFormat="1" ht="27" thickTop="1" thickBot="1" x14ac:dyDescent="0.65">
      <c r="A41" s="146"/>
      <c r="B41" s="287" t="s">
        <v>62</v>
      </c>
      <c r="C41" s="293"/>
      <c r="D41" s="147"/>
      <c r="E41" s="146"/>
      <c r="F41" s="146"/>
      <c r="G41" s="146"/>
      <c r="H41" s="146"/>
      <c r="I41" s="200">
        <f>COUNTIF(I4:I32,"CROI FRAMBOISES")</f>
        <v>0</v>
      </c>
      <c r="J41" s="146"/>
      <c r="K41" s="146"/>
      <c r="L41" s="200">
        <f>COUNTIF(L4:L32,"CROI FRAMBOISES")</f>
        <v>0</v>
      </c>
      <c r="M41" s="146"/>
      <c r="N41" s="189"/>
      <c r="O41" s="200">
        <f>COUNTIF(O4:O32,"CROI FRAMBOISES")</f>
        <v>0</v>
      </c>
      <c r="P41" s="151"/>
      <c r="Q41" s="146"/>
      <c r="R41" s="200">
        <f>COUNTIF(R4:R32,"CROI FRAMBOISES")</f>
        <v>0</v>
      </c>
      <c r="S41" s="146"/>
      <c r="T41" s="146"/>
      <c r="U41" s="200">
        <f>COUNTIF(U4:U32,"CROI FRAMBOISES")</f>
        <v>0</v>
      </c>
      <c r="V41" s="146"/>
      <c r="W41" s="146"/>
      <c r="X41" s="200">
        <f>COUNTIF(X4:X32,"CROI FRAMBOISES")</f>
        <v>0</v>
      </c>
      <c r="Y41" s="146"/>
      <c r="Z41" s="146"/>
      <c r="AA41" s="200">
        <f>COUNTIF(AA4:AA32,"CROI FRAMBOISES")</f>
        <v>1</v>
      </c>
      <c r="AB41" s="146"/>
      <c r="AC41" s="206"/>
      <c r="AD41" s="200">
        <f>COUNTIF(AD4:AD32,"CROI FRAMBOISES")</f>
        <v>1</v>
      </c>
      <c r="AE41" s="146"/>
      <c r="AF41" s="146"/>
      <c r="AG41" s="200">
        <f>COUNTIF(AG4:AG32,"CROI FRAMBOISES")</f>
        <v>0</v>
      </c>
      <c r="AH41" s="146"/>
      <c r="AI41" s="146"/>
      <c r="AJ41" s="200">
        <f>COUNTIF(AJ4:AJ32,"CROI FRAMBOISES")</f>
        <v>2</v>
      </c>
      <c r="AK41" s="146"/>
      <c r="AL41" s="146"/>
      <c r="AM41" s="200">
        <f>COUNTIF(AM4:AM32,"CROI FRAMBOISES")</f>
        <v>0</v>
      </c>
      <c r="AN41" s="146"/>
      <c r="AO41" s="146"/>
      <c r="AP41" s="200">
        <f>COUNTIF(AP4:AP32,"CROI FRAMBOISES")</f>
        <v>0</v>
      </c>
      <c r="AQ41" s="146"/>
      <c r="AR41" s="146"/>
      <c r="AS41" s="200">
        <f>COUNTIF(AS4:AS32,"CROI FRAMBOISES")</f>
        <v>0</v>
      </c>
      <c r="AT41" s="146"/>
      <c r="AU41" s="146"/>
      <c r="AV41" s="200">
        <f>COUNTIF(AV4:AV32,"CROI FRAMBOISES")</f>
        <v>0</v>
      </c>
      <c r="AW41" s="146"/>
      <c r="AX41" s="146"/>
      <c r="AY41" s="200">
        <f>COUNTIF(AY4:AY32,"CROI FRAMBOISES")</f>
        <v>0</v>
      </c>
      <c r="AZ41" s="146"/>
      <c r="BA41" s="146"/>
      <c r="BB41" s="200">
        <f>COUNTIF(BB4:BB32,"CROI FRAMBOISES")</f>
        <v>0</v>
      </c>
      <c r="BC41" s="146"/>
      <c r="BD41" s="146"/>
      <c r="BE41" s="200">
        <f>COUNTIF(BE4:BE32,"CROI FRAMBOISES")</f>
        <v>0</v>
      </c>
      <c r="BF41" s="146"/>
      <c r="BG41" s="146"/>
      <c r="BH41" s="200">
        <f>COUNTIF(BH4:BH32,"CROI FRAMBOISES")</f>
        <v>0</v>
      </c>
    </row>
    <row r="42" spans="1:60" s="148" customFormat="1" ht="27" thickTop="1" thickBot="1" x14ac:dyDescent="0.65">
      <c r="A42" s="226"/>
      <c r="B42" s="288" t="s">
        <v>67</v>
      </c>
      <c r="C42" s="293"/>
      <c r="D42" s="147"/>
      <c r="E42" s="146"/>
      <c r="F42" s="146"/>
      <c r="G42" s="146"/>
      <c r="H42" s="146"/>
      <c r="I42" s="201">
        <f>COUNTIF(I4:I32,"CROI AMANDES")</f>
        <v>0</v>
      </c>
      <c r="J42" s="146"/>
      <c r="K42" s="146"/>
      <c r="L42" s="201">
        <f>COUNTIF(L4:L32,"CROI AMANDES")</f>
        <v>0</v>
      </c>
      <c r="M42" s="146"/>
      <c r="N42" s="146"/>
      <c r="O42" s="201">
        <f>COUNTIF(O4:O32,"CROI AMANDES")</f>
        <v>0</v>
      </c>
      <c r="P42" s="152"/>
      <c r="Q42" s="146"/>
      <c r="R42" s="201">
        <f>COUNTIF(R4:R32,"CROI AMANDES")</f>
        <v>0</v>
      </c>
      <c r="S42" s="146"/>
      <c r="T42" s="146"/>
      <c r="U42" s="201">
        <f>COUNTIF(U4:U32,"CROI AMANDES")</f>
        <v>0</v>
      </c>
      <c r="V42" s="146"/>
      <c r="W42" s="146"/>
      <c r="X42" s="201">
        <f>COUNTIF(X4:X32,"CROI AMANDES")</f>
        <v>2</v>
      </c>
      <c r="Y42" s="146"/>
      <c r="Z42" s="146"/>
      <c r="AA42" s="201">
        <f>COUNTIF(AA4:AA32,"CROI AMANDES")</f>
        <v>0</v>
      </c>
      <c r="AB42" s="146"/>
      <c r="AC42" s="206"/>
      <c r="AD42" s="201">
        <f>COUNTIF(AD4:AD32,"CROI AMANDES")</f>
        <v>0</v>
      </c>
      <c r="AE42" s="146"/>
      <c r="AF42" s="146"/>
      <c r="AG42" s="201">
        <f>COUNTIF(AG4:AG32,"CROI AMANDES")</f>
        <v>0</v>
      </c>
      <c r="AH42" s="146"/>
      <c r="AI42" s="146"/>
      <c r="AJ42" s="201">
        <f>COUNTIF(AJ4:AJ32,"CROI AMANDES")</f>
        <v>2</v>
      </c>
      <c r="AK42" s="146"/>
      <c r="AL42" s="146"/>
      <c r="AM42" s="201">
        <f>COUNTIF(AM4:AM32,"CROI AMANDES")</f>
        <v>0</v>
      </c>
      <c r="AN42" s="146"/>
      <c r="AO42" s="146"/>
      <c r="AP42" s="201">
        <f>COUNTIF(AP4:AP32,"CROI AMANDES")</f>
        <v>0</v>
      </c>
      <c r="AQ42" s="146"/>
      <c r="AR42" s="146"/>
      <c r="AS42" s="201">
        <f>COUNTIF(AS4:AS32,"CROI AMANDES")</f>
        <v>0</v>
      </c>
      <c r="AT42" s="146"/>
      <c r="AU42" s="146"/>
      <c r="AV42" s="201">
        <f>COUNTIF(AV4:AV32,"CROI AMANDES")</f>
        <v>0</v>
      </c>
      <c r="AW42" s="146"/>
      <c r="AX42" s="146"/>
      <c r="AY42" s="201">
        <f>COUNTIF(AY4:AY32,"CROI AMANDES")</f>
        <v>0</v>
      </c>
      <c r="AZ42" s="146"/>
      <c r="BA42" s="146"/>
      <c r="BB42" s="201">
        <f>COUNTIF(BB4:BB32,"CROI AMANDES")</f>
        <v>0</v>
      </c>
      <c r="BC42" s="146"/>
      <c r="BD42" s="146"/>
      <c r="BE42" s="201">
        <f>COUNTIF(BE4:BE32,"CROI AMANDES")</f>
        <v>0</v>
      </c>
      <c r="BF42" s="146"/>
      <c r="BG42" s="146"/>
      <c r="BH42" s="201">
        <f>COUNTIF(BH4:BH32,"CROI AMANDES")</f>
        <v>0</v>
      </c>
    </row>
    <row r="43" spans="1:60" s="148" customFormat="1" ht="27" thickTop="1" thickBot="1" x14ac:dyDescent="0.65">
      <c r="A43" s="226"/>
      <c r="B43" s="289" t="s">
        <v>63</v>
      </c>
      <c r="C43" s="293"/>
      <c r="D43" s="147"/>
      <c r="E43" s="146"/>
      <c r="F43" s="146"/>
      <c r="G43" s="146"/>
      <c r="H43" s="146"/>
      <c r="I43" s="202">
        <f>COUNTIF(I4:I32,"CROI CHOCOLAT")</f>
        <v>0</v>
      </c>
      <c r="J43" s="189"/>
      <c r="K43" s="146"/>
      <c r="L43" s="202">
        <f>COUNTIF(L4:L32,"CROI CHOCOLAT")</f>
        <v>0</v>
      </c>
      <c r="M43" s="146"/>
      <c r="N43" s="146"/>
      <c r="O43" s="202">
        <f>COUNTIF(O4:O32,"CROI CHOCOLAT")</f>
        <v>0</v>
      </c>
      <c r="P43" s="153"/>
      <c r="Q43" s="146"/>
      <c r="R43" s="202">
        <f>COUNTIF(R4:R32,"CROI CHOCOLAT")</f>
        <v>0</v>
      </c>
      <c r="S43" s="146"/>
      <c r="T43" s="146"/>
      <c r="U43" s="202">
        <f>COUNTIF(U4:U32,"CROI CHOCOLAT")</f>
        <v>0</v>
      </c>
      <c r="V43" s="146"/>
      <c r="W43" s="146"/>
      <c r="X43" s="202">
        <f>COUNTIF(X4:X32,"CROI CHOCOLAT")</f>
        <v>1</v>
      </c>
      <c r="Y43" s="146"/>
      <c r="Z43" s="208"/>
      <c r="AA43" s="202">
        <f>COUNTIF(AA4:AA32,"CROI CHOCOLAT")</f>
        <v>0</v>
      </c>
      <c r="AB43" s="146"/>
      <c r="AC43" s="206"/>
      <c r="AD43" s="202">
        <f>COUNTIF(AD4:AD32,"CROI CHOCOLAT")</f>
        <v>0</v>
      </c>
      <c r="AE43" s="146"/>
      <c r="AF43" s="146"/>
      <c r="AG43" s="202">
        <f>COUNTIF(AG4:AG32,"CROI CHOCOLAT")</f>
        <v>0</v>
      </c>
      <c r="AH43" s="146"/>
      <c r="AI43" s="146"/>
      <c r="AJ43" s="202">
        <f>COUNTIF(AJ4:AJ32,"CROI CHOCOLAT")</f>
        <v>0</v>
      </c>
      <c r="AK43" s="146"/>
      <c r="AL43" s="146"/>
      <c r="AM43" s="202">
        <f>COUNTIF(AM4:AM32,"CROI CHOCOLAT")</f>
        <v>0</v>
      </c>
      <c r="AN43" s="146"/>
      <c r="AO43" s="146"/>
      <c r="AP43" s="202">
        <f>COUNTIF(AP4:AP32,"CROI CHOCOLAT")</f>
        <v>0</v>
      </c>
      <c r="AQ43" s="146"/>
      <c r="AR43" s="146"/>
      <c r="AS43" s="202">
        <f>COUNTIF(AS4:AS32,"CROI CHOCOLAT")</f>
        <v>0</v>
      </c>
      <c r="AT43" s="146"/>
      <c r="AU43" s="146"/>
      <c r="AV43" s="202">
        <f>COUNTIF(AV4:AV32,"CROI CHOCOLAT")</f>
        <v>0</v>
      </c>
      <c r="AW43" s="146"/>
      <c r="AX43" s="146"/>
      <c r="AY43" s="202">
        <f>COUNTIF(AY4:AY32,"CROI CHOCOLAT")</f>
        <v>0</v>
      </c>
      <c r="AZ43" s="146"/>
      <c r="BA43" s="146"/>
      <c r="BB43" s="202">
        <f>COUNTIF(BB4:BB32,"CROI CHOCOLAT")</f>
        <v>0</v>
      </c>
      <c r="BC43" s="146"/>
      <c r="BD43" s="146"/>
      <c r="BE43" s="202">
        <f>COUNTIF(BE4:BE32,"CROI CHOCOLAT")</f>
        <v>0</v>
      </c>
      <c r="BF43" s="146"/>
      <c r="BG43" s="146"/>
      <c r="BH43" s="202">
        <f>COUNTIF(BH4:BH32,"CROI CHOCOLAT")</f>
        <v>0</v>
      </c>
    </row>
    <row r="44" spans="1:60" s="226" customFormat="1" ht="27" thickTop="1" thickBot="1" x14ac:dyDescent="0.65">
      <c r="B44" s="290" t="s">
        <v>39</v>
      </c>
      <c r="C44" s="293"/>
      <c r="D44" s="147"/>
      <c r="E44" s="146"/>
      <c r="F44" s="146"/>
      <c r="G44" s="146"/>
      <c r="H44" s="146"/>
      <c r="I44" s="233">
        <f>COUNTIF(I4:I32,"N/C")</f>
        <v>0</v>
      </c>
      <c r="K44" s="146"/>
      <c r="L44" s="233">
        <f>COUNTIF(L4:L32,"N/C")</f>
        <v>0</v>
      </c>
      <c r="M44" s="146"/>
      <c r="N44" s="146"/>
      <c r="O44" s="233">
        <f>COUNTIF(O4:O32,"N/C")</f>
        <v>0</v>
      </c>
      <c r="P44" s="153"/>
      <c r="Q44" s="146"/>
      <c r="R44" s="233">
        <f>COUNTIF(R4:R32,"N/C")</f>
        <v>0</v>
      </c>
      <c r="S44" s="146"/>
      <c r="T44" s="146"/>
      <c r="U44" s="233">
        <f>COUNTIF(U4:U32,"N/C")</f>
        <v>0</v>
      </c>
      <c r="V44" s="146"/>
      <c r="W44" s="146"/>
      <c r="X44" s="233">
        <f>COUNTIF(X4:X32,"N/C")</f>
        <v>1</v>
      </c>
      <c r="Y44" s="146"/>
      <c r="Z44" s="208"/>
      <c r="AA44" s="233">
        <f>COUNTIF(AA4:AA32,"N/C")</f>
        <v>5</v>
      </c>
      <c r="AB44" s="146"/>
      <c r="AC44" s="206"/>
      <c r="AD44" s="233">
        <f>COUNTIF(AD4:AD32,"N/C")</f>
        <v>2</v>
      </c>
      <c r="AE44" s="146"/>
      <c r="AF44" s="146"/>
      <c r="AG44" s="233">
        <f>COUNTIF(AG4:AG32,"N/C")</f>
        <v>0</v>
      </c>
      <c r="AH44" s="146"/>
      <c r="AI44" s="146"/>
      <c r="AJ44" s="233">
        <f>COUNTIF(AJ4:AJ32,"N/C")</f>
        <v>2</v>
      </c>
      <c r="AK44" s="146"/>
      <c r="AL44" s="146"/>
      <c r="AM44" s="233">
        <f>COUNTIF(AM4:AM32,"N/C")</f>
        <v>0</v>
      </c>
      <c r="AN44" s="146"/>
      <c r="AO44" s="146"/>
      <c r="AP44" s="233">
        <f>COUNTIF(AP4:AP32,"N/C")</f>
        <v>0</v>
      </c>
      <c r="AQ44" s="146"/>
      <c r="AR44" s="146"/>
      <c r="AS44" s="233">
        <f>COUNTIF(AS4:AS32,"N/C")</f>
        <v>0</v>
      </c>
      <c r="AT44" s="146"/>
      <c r="AU44" s="146"/>
      <c r="AV44" s="233">
        <f>COUNTIF(AV4:AV32,"N/C")</f>
        <v>0</v>
      </c>
      <c r="AW44" s="146"/>
      <c r="AX44" s="146"/>
      <c r="AY44" s="233">
        <f>COUNTIF(AY4:AY32,"N/C")</f>
        <v>0</v>
      </c>
      <c r="AZ44" s="146"/>
      <c r="BA44" s="146"/>
      <c r="BB44" s="233">
        <f>COUNTIF(BB4:BB32,"N/C")</f>
        <v>0</v>
      </c>
      <c r="BC44" s="146"/>
      <c r="BD44" s="146"/>
      <c r="BE44" s="233">
        <f>COUNTIF(BE4:BE32,"N/C")</f>
        <v>0</v>
      </c>
      <c r="BF44" s="146"/>
      <c r="BG44" s="146"/>
      <c r="BH44" s="233">
        <f>COUNTIF(BH4:BH32,"N/C")</f>
        <v>0</v>
      </c>
    </row>
    <row r="45" spans="1:60" s="154" customFormat="1" ht="27" thickTop="1" thickBot="1" x14ac:dyDescent="0.65">
      <c r="A45" s="147"/>
      <c r="B45" s="291" t="s">
        <v>48</v>
      </c>
      <c r="C45" s="293"/>
      <c r="D45" s="147"/>
      <c r="E45" s="147"/>
      <c r="F45" s="147"/>
      <c r="G45" s="147"/>
      <c r="H45" s="147"/>
      <c r="I45" s="203">
        <f>SUM(I35:I44)</f>
        <v>16</v>
      </c>
      <c r="J45" s="147"/>
      <c r="K45" s="147"/>
      <c r="L45" s="203">
        <f>SUM(L35:L44)</f>
        <v>0</v>
      </c>
      <c r="M45" s="147"/>
      <c r="N45" s="147"/>
      <c r="O45" s="203">
        <f>SUM(O35:O44)</f>
        <v>16</v>
      </c>
      <c r="P45" s="147"/>
      <c r="Q45" s="147"/>
      <c r="R45" s="203">
        <f>SUM(R35:R44)</f>
        <v>18</v>
      </c>
      <c r="S45" s="147"/>
      <c r="T45" s="147"/>
      <c r="U45" s="203">
        <f>SUM(U35:U44)</f>
        <v>8</v>
      </c>
      <c r="V45" s="147"/>
      <c r="W45" s="147"/>
      <c r="X45" s="203">
        <f>SUM(X35:X44)</f>
        <v>18</v>
      </c>
      <c r="Y45" s="147"/>
      <c r="Z45" s="208"/>
      <c r="AA45" s="203">
        <f>SUM(AA35:AA44)</f>
        <v>19</v>
      </c>
      <c r="AB45" s="147"/>
      <c r="AC45" s="206"/>
      <c r="AD45" s="203">
        <f>SUM(AD35:AD44)</f>
        <v>16</v>
      </c>
      <c r="AE45" s="147"/>
      <c r="AF45" s="147"/>
      <c r="AG45" s="203">
        <f>SUM(AG35:AG44)</f>
        <v>0</v>
      </c>
      <c r="AH45" s="147"/>
      <c r="AI45" s="147"/>
      <c r="AJ45" s="203">
        <f>SUM(AJ35:AJ44)</f>
        <v>17</v>
      </c>
      <c r="AK45" s="147"/>
      <c r="AL45" s="147"/>
      <c r="AM45" s="203">
        <f>SUM(AM35:AM44)</f>
        <v>0</v>
      </c>
      <c r="AN45" s="147"/>
      <c r="AO45" s="147"/>
      <c r="AP45" s="203">
        <f>SUM(AP35:AP44)</f>
        <v>0</v>
      </c>
      <c r="AQ45" s="147"/>
      <c r="AR45" s="147"/>
      <c r="AS45" s="203">
        <f>SUM(AS35:AS44)</f>
        <v>0</v>
      </c>
      <c r="AT45" s="147"/>
      <c r="AU45" s="147"/>
      <c r="AV45" s="203">
        <f>SUM(AV35:AV44)</f>
        <v>0</v>
      </c>
      <c r="AW45" s="147"/>
      <c r="AX45" s="147"/>
      <c r="AY45" s="203">
        <f>SUM(AY35:AY44)</f>
        <v>0</v>
      </c>
      <c r="AZ45" s="147"/>
      <c r="BA45" s="147"/>
      <c r="BB45" s="203">
        <f>SUM(BB35:BB44)</f>
        <v>0</v>
      </c>
      <c r="BC45" s="147"/>
      <c r="BD45" s="147"/>
      <c r="BE45" s="203">
        <f>SUM(BE35:BE44)</f>
        <v>0</v>
      </c>
      <c r="BF45" s="147"/>
      <c r="BG45" s="147"/>
      <c r="BH45" s="203">
        <f>SUM(BH35:BH44)</f>
        <v>0</v>
      </c>
    </row>
    <row r="46" spans="1:60" thickTop="1" thickBot="1" x14ac:dyDescent="0.4">
      <c r="B46" s="270"/>
    </row>
    <row r="47" spans="1:60" s="227" customFormat="1" ht="27" thickTop="1" thickBot="1" x14ac:dyDescent="0.65">
      <c r="A47" s="147"/>
      <c r="B47" s="270"/>
      <c r="C47" s="293"/>
      <c r="D47" s="147"/>
      <c r="E47" s="147"/>
      <c r="F47" s="147"/>
      <c r="G47" s="147"/>
      <c r="H47" s="147"/>
      <c r="I47" s="147"/>
      <c r="J47" s="147"/>
      <c r="K47" s="147"/>
      <c r="L47" s="147"/>
      <c r="M47" s="147"/>
      <c r="N47" s="147"/>
      <c r="O47" s="147"/>
      <c r="P47" s="147"/>
      <c r="Q47" s="147"/>
      <c r="R47" s="147"/>
      <c r="S47" s="147"/>
      <c r="T47" s="147"/>
      <c r="U47" s="147"/>
      <c r="V47" s="147"/>
      <c r="W47" s="147"/>
      <c r="X47" s="147"/>
      <c r="Y47" s="147"/>
      <c r="Z47" s="147"/>
      <c r="AA47" s="206"/>
      <c r="AB47" s="147"/>
      <c r="AC47" s="147"/>
      <c r="AD47" s="147"/>
      <c r="AE47" s="147"/>
      <c r="AF47" s="147"/>
      <c r="AG47" s="147"/>
      <c r="AH47" s="147"/>
      <c r="AI47" s="147"/>
      <c r="AJ47" s="147"/>
      <c r="AK47" s="147"/>
      <c r="AL47" s="147"/>
      <c r="AM47" s="147"/>
    </row>
    <row r="48" spans="1:60" s="227" customFormat="1" ht="27" thickTop="1" thickBot="1" x14ac:dyDescent="0.65">
      <c r="A48" s="147"/>
      <c r="B48" s="147"/>
      <c r="C48" s="293"/>
      <c r="D48" s="147"/>
      <c r="E48" s="147"/>
      <c r="F48" s="147"/>
      <c r="G48" s="147"/>
      <c r="H48" s="147"/>
      <c r="I48" s="147"/>
      <c r="J48" s="147"/>
      <c r="K48" s="147"/>
      <c r="L48" s="147"/>
      <c r="M48" s="147"/>
      <c r="N48" s="147"/>
      <c r="O48" s="147"/>
      <c r="P48" s="147"/>
      <c r="Q48" s="147"/>
      <c r="R48" s="147"/>
      <c r="S48" s="147"/>
      <c r="T48" s="147"/>
      <c r="U48" s="147"/>
      <c r="V48" s="147"/>
      <c r="W48" s="147"/>
      <c r="X48" s="147"/>
      <c r="Y48" s="147"/>
      <c r="Z48" s="147"/>
      <c r="AA48" s="206"/>
      <c r="AB48" s="147"/>
      <c r="AC48" s="147"/>
      <c r="AD48" s="147"/>
      <c r="AE48" s="147"/>
      <c r="AF48" s="147"/>
      <c r="AG48" s="147"/>
      <c r="AH48" s="147"/>
      <c r="AI48" s="147"/>
      <c r="AJ48" s="147"/>
      <c r="AK48" s="147"/>
      <c r="AL48" s="147"/>
      <c r="AM48" s="147"/>
    </row>
    <row r="49" spans="1:39" s="227" customFormat="1" ht="27" thickTop="1" thickBot="1" x14ac:dyDescent="0.65">
      <c r="A49" s="147"/>
      <c r="B49" s="147"/>
      <c r="C49" s="293"/>
      <c r="D49" s="147"/>
      <c r="E49" s="147"/>
      <c r="F49" s="147"/>
      <c r="G49" s="147"/>
      <c r="H49" s="147"/>
      <c r="I49" s="147"/>
      <c r="J49" s="147"/>
      <c r="K49" s="147"/>
      <c r="L49" s="147"/>
      <c r="M49" s="147"/>
      <c r="N49" s="147"/>
      <c r="O49" s="147"/>
      <c r="P49" s="147"/>
      <c r="Q49" s="147"/>
      <c r="R49" s="147"/>
      <c r="S49" s="147"/>
      <c r="T49" s="147"/>
      <c r="U49" s="147"/>
      <c r="V49" s="147"/>
      <c r="W49" s="147"/>
      <c r="X49" s="147"/>
      <c r="Y49" s="147"/>
      <c r="Z49" s="147"/>
      <c r="AA49" s="206"/>
      <c r="AB49" s="147"/>
      <c r="AC49" s="147"/>
      <c r="AD49" s="147"/>
      <c r="AE49" s="147"/>
      <c r="AF49" s="147"/>
      <c r="AG49" s="147"/>
      <c r="AH49" s="147"/>
      <c r="AI49" s="147"/>
      <c r="AJ49" s="147"/>
      <c r="AK49" s="147"/>
      <c r="AL49" s="147"/>
      <c r="AM49" s="147"/>
    </row>
    <row r="50" spans="1:39" thickTop="1" thickBot="1" x14ac:dyDescent="0.4">
      <c r="A50" s="4"/>
      <c r="B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</row>
    <row r="51" spans="1:39" thickTop="1" thickBot="1" x14ac:dyDescent="0.4">
      <c r="A51" s="4"/>
      <c r="B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</row>
    <row r="52" spans="1:39" thickTop="1" thickBot="1" x14ac:dyDescent="0.4">
      <c r="A52" s="4"/>
      <c r="B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</row>
    <row r="53" spans="1:39" thickTop="1" thickBot="1" x14ac:dyDescent="0.4">
      <c r="A53" s="4"/>
      <c r="B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</row>
    <row r="54" spans="1:39" thickTop="1" thickBot="1" x14ac:dyDescent="0.4">
      <c r="A54" s="4"/>
      <c r="B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</row>
    <row r="55" spans="1:39" thickTop="1" thickBot="1" x14ac:dyDescent="0.4">
      <c r="A55" s="4"/>
      <c r="B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</row>
    <row r="56" spans="1:39" thickTop="1" thickBot="1" x14ac:dyDescent="0.4">
      <c r="A56" s="4"/>
      <c r="B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</row>
    <row r="57" spans="1:39" thickTop="1" thickBot="1" x14ac:dyDescent="0.4">
      <c r="A57" s="4"/>
      <c r="B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</row>
    <row r="58" spans="1:39" thickTop="1" thickBot="1" x14ac:dyDescent="0.4">
      <c r="A58" s="4"/>
      <c r="B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</row>
    <row r="59" spans="1:39" thickTop="1" thickBot="1" x14ac:dyDescent="0.4">
      <c r="A59" s="4"/>
      <c r="B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</row>
    <row r="60" spans="1:39" thickTop="1" thickBot="1" x14ac:dyDescent="0.4">
      <c r="A60" s="4"/>
      <c r="B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</row>
    <row r="61" spans="1:39" thickTop="1" thickBot="1" x14ac:dyDescent="0.4">
      <c r="A61" s="4"/>
      <c r="B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</row>
    <row r="62" spans="1:39" thickTop="1" thickBot="1" x14ac:dyDescent="0.4">
      <c r="A62" s="4"/>
      <c r="B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</row>
    <row r="63" spans="1:39" thickTop="1" thickBot="1" x14ac:dyDescent="0.4">
      <c r="A63" s="4"/>
      <c r="B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</row>
    <row r="64" spans="1:39" thickTop="1" thickBot="1" x14ac:dyDescent="0.4">
      <c r="A64" s="4"/>
      <c r="B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</row>
    <row r="65" spans="1:39" thickTop="1" thickBot="1" x14ac:dyDescent="0.4">
      <c r="A65" s="4"/>
      <c r="B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</row>
    <row r="66" spans="1:39" thickTop="1" thickBot="1" x14ac:dyDescent="0.4">
      <c r="A66" s="4"/>
      <c r="B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</row>
    <row r="67" spans="1:39" thickTop="1" thickBot="1" x14ac:dyDescent="0.4">
      <c r="A67" s="4"/>
      <c r="B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</row>
    <row r="68" spans="1:39" thickTop="1" thickBot="1" x14ac:dyDescent="0.4">
      <c r="A68" s="4"/>
      <c r="B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</row>
    <row r="69" spans="1:39" thickTop="1" thickBot="1" x14ac:dyDescent="0.4">
      <c r="A69" s="4"/>
      <c r="B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</row>
    <row r="70" spans="1:39" thickTop="1" thickBot="1" x14ac:dyDescent="0.4">
      <c r="A70" s="4"/>
      <c r="B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</row>
    <row r="71" spans="1:39" thickTop="1" thickBot="1" x14ac:dyDescent="0.4">
      <c r="A71" s="4"/>
      <c r="B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</row>
    <row r="72" spans="1:39" thickTop="1" thickBot="1" x14ac:dyDescent="0.4">
      <c r="A72" s="4"/>
      <c r="B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</row>
    <row r="73" spans="1:39" thickTop="1" thickBot="1" x14ac:dyDescent="0.4">
      <c r="A73" s="4"/>
      <c r="B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</row>
    <row r="74" spans="1:39" thickTop="1" thickBot="1" x14ac:dyDescent="0.4">
      <c r="A74" s="4"/>
      <c r="B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</row>
    <row r="75" spans="1:39" thickTop="1" thickBot="1" x14ac:dyDescent="0.4">
      <c r="A75" s="4"/>
      <c r="B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</row>
    <row r="76" spans="1:39" thickTop="1" thickBot="1" x14ac:dyDescent="0.4">
      <c r="A76" s="4"/>
      <c r="B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</row>
    <row r="77" spans="1:39" thickTop="1" thickBot="1" x14ac:dyDescent="0.4">
      <c r="A77" s="4"/>
      <c r="B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</row>
    <row r="78" spans="1:39" thickTop="1" thickBot="1" x14ac:dyDescent="0.4">
      <c r="A78" s="4"/>
      <c r="B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</row>
    <row r="79" spans="1:39" thickTop="1" thickBot="1" x14ac:dyDescent="0.4">
      <c r="A79" s="4"/>
      <c r="B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</row>
    <row r="80" spans="1:39" thickTop="1" thickBot="1" x14ac:dyDescent="0.4">
      <c r="A80" s="4"/>
      <c r="B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</row>
    <row r="81" spans="1:39" thickTop="1" thickBot="1" x14ac:dyDescent="0.4">
      <c r="A81" s="4"/>
      <c r="B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</row>
    <row r="82" spans="1:39" thickTop="1" thickBot="1" x14ac:dyDescent="0.4">
      <c r="A82" s="4"/>
      <c r="B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</row>
    <row r="83" spans="1:39" thickTop="1" thickBot="1" x14ac:dyDescent="0.4">
      <c r="A83" s="4"/>
      <c r="B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</row>
    <row r="84" spans="1:39" thickTop="1" thickBot="1" x14ac:dyDescent="0.4">
      <c r="A84" s="4"/>
      <c r="B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</row>
    <row r="85" spans="1:39" thickTop="1" thickBot="1" x14ac:dyDescent="0.4">
      <c r="A85" s="4"/>
      <c r="B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</row>
    <row r="86" spans="1:39" thickTop="1" thickBot="1" x14ac:dyDescent="0.4">
      <c r="A86" s="4"/>
      <c r="B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</row>
    <row r="87" spans="1:39" thickTop="1" thickBot="1" x14ac:dyDescent="0.4">
      <c r="A87" s="4"/>
      <c r="B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</row>
    <row r="88" spans="1:39" thickTop="1" thickBot="1" x14ac:dyDescent="0.4">
      <c r="A88" s="4"/>
      <c r="B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</row>
    <row r="89" spans="1:39" thickTop="1" thickBot="1" x14ac:dyDescent="0.4">
      <c r="A89" s="4"/>
      <c r="B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</row>
    <row r="90" spans="1:39" thickTop="1" thickBot="1" x14ac:dyDescent="0.4">
      <c r="A90" s="4"/>
      <c r="B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</row>
    <row r="91" spans="1:39" thickTop="1" thickBot="1" x14ac:dyDescent="0.4">
      <c r="A91" s="4"/>
      <c r="B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</row>
    <row r="92" spans="1:39" thickTop="1" thickBot="1" x14ac:dyDescent="0.4">
      <c r="A92" s="4"/>
      <c r="B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</row>
    <row r="93" spans="1:39" thickTop="1" thickBot="1" x14ac:dyDescent="0.4">
      <c r="A93" s="4"/>
      <c r="B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</row>
    <row r="94" spans="1:39" thickTop="1" thickBot="1" x14ac:dyDescent="0.4">
      <c r="A94" s="4"/>
      <c r="B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</row>
    <row r="95" spans="1:39" thickTop="1" thickBot="1" x14ac:dyDescent="0.4">
      <c r="A95" s="4"/>
      <c r="B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</row>
    <row r="96" spans="1:39" thickTop="1" thickBot="1" x14ac:dyDescent="0.4">
      <c r="A96" s="4"/>
      <c r="B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</row>
    <row r="97" spans="1:39" thickTop="1" thickBot="1" x14ac:dyDescent="0.4">
      <c r="A97" s="4"/>
      <c r="B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</row>
    <row r="98" spans="1:39" thickTop="1" thickBot="1" x14ac:dyDescent="0.4">
      <c r="A98" s="4"/>
      <c r="B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</row>
    <row r="99" spans="1:39" thickTop="1" thickBot="1" x14ac:dyDescent="0.4">
      <c r="A99" s="4"/>
      <c r="B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</row>
    <row r="100" spans="1:39" thickTop="1" thickBot="1" x14ac:dyDescent="0.4">
      <c r="A100" s="4"/>
      <c r="B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</row>
    <row r="101" spans="1:39" thickTop="1" thickBot="1" x14ac:dyDescent="0.4">
      <c r="A101" s="4"/>
      <c r="B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</row>
    <row r="102" spans="1:39" thickTop="1" thickBot="1" x14ac:dyDescent="0.4">
      <c r="A102" s="4"/>
      <c r="B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</row>
    <row r="103" spans="1:39" thickTop="1" thickBot="1" x14ac:dyDescent="0.4">
      <c r="A103" s="4"/>
      <c r="B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</row>
    <row r="104" spans="1:39" thickTop="1" thickBot="1" x14ac:dyDescent="0.4">
      <c r="A104" s="4"/>
      <c r="B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</row>
    <row r="105" spans="1:39" thickTop="1" thickBot="1" x14ac:dyDescent="0.4">
      <c r="A105" s="4"/>
      <c r="B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</row>
    <row r="106" spans="1:39" thickTop="1" thickBot="1" x14ac:dyDescent="0.4">
      <c r="A106" s="4"/>
      <c r="B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</row>
    <row r="107" spans="1:39" thickTop="1" thickBot="1" x14ac:dyDescent="0.4">
      <c r="A107" s="4"/>
      <c r="B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</row>
    <row r="108" spans="1:39" thickTop="1" thickBot="1" x14ac:dyDescent="0.4">
      <c r="A108" s="4"/>
      <c r="B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</row>
    <row r="109" spans="1:39" thickTop="1" thickBot="1" x14ac:dyDescent="0.4">
      <c r="A109" s="4"/>
      <c r="B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</row>
    <row r="110" spans="1:39" thickTop="1" thickBot="1" x14ac:dyDescent="0.4">
      <c r="A110" s="4"/>
      <c r="B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</row>
    <row r="111" spans="1:39" thickTop="1" thickBot="1" x14ac:dyDescent="0.4">
      <c r="A111" s="4"/>
      <c r="B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</row>
    <row r="112" spans="1:39" thickTop="1" thickBot="1" x14ac:dyDescent="0.4">
      <c r="A112" s="4"/>
      <c r="B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</row>
    <row r="113" spans="1:39" thickTop="1" thickBot="1" x14ac:dyDescent="0.4">
      <c r="A113" s="4"/>
      <c r="B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</row>
    <row r="114" spans="1:39" thickTop="1" thickBot="1" x14ac:dyDescent="0.4">
      <c r="A114" s="4"/>
      <c r="B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</row>
    <row r="115" spans="1:39" thickTop="1" thickBot="1" x14ac:dyDescent="0.4">
      <c r="A115" s="4"/>
      <c r="B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</row>
    <row r="116" spans="1:39" thickTop="1" thickBot="1" x14ac:dyDescent="0.4">
      <c r="A116" s="4"/>
      <c r="B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</row>
    <row r="117" spans="1:39" thickTop="1" thickBot="1" x14ac:dyDescent="0.4">
      <c r="A117" s="4"/>
      <c r="B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</row>
    <row r="118" spans="1:39" thickTop="1" thickBot="1" x14ac:dyDescent="0.4">
      <c r="A118" s="4"/>
      <c r="B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</row>
    <row r="119" spans="1:39" thickTop="1" thickBot="1" x14ac:dyDescent="0.4">
      <c r="A119" s="4"/>
      <c r="B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</row>
    <row r="120" spans="1:39" thickTop="1" thickBot="1" x14ac:dyDescent="0.4">
      <c r="A120" s="4"/>
      <c r="B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</row>
    <row r="121" spans="1:39" thickTop="1" thickBot="1" x14ac:dyDescent="0.4">
      <c r="A121" s="4"/>
      <c r="B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</row>
    <row r="122" spans="1:39" thickTop="1" thickBot="1" x14ac:dyDescent="0.4">
      <c r="A122" s="4"/>
      <c r="B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</row>
    <row r="123" spans="1:39" thickTop="1" thickBot="1" x14ac:dyDescent="0.4">
      <c r="A123" s="4"/>
      <c r="B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</row>
    <row r="124" spans="1:39" thickTop="1" thickBot="1" x14ac:dyDescent="0.4">
      <c r="A124" s="4"/>
      <c r="B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</row>
    <row r="125" spans="1:39" thickTop="1" thickBot="1" x14ac:dyDescent="0.4">
      <c r="A125" s="4"/>
      <c r="B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</row>
    <row r="126" spans="1:39" thickTop="1" thickBot="1" x14ac:dyDescent="0.4">
      <c r="A126" s="4"/>
      <c r="B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</row>
    <row r="127" spans="1:39" thickTop="1" thickBot="1" x14ac:dyDescent="0.4">
      <c r="A127" s="4"/>
      <c r="B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</row>
    <row r="128" spans="1:39" thickTop="1" thickBot="1" x14ac:dyDescent="0.4">
      <c r="A128" s="4"/>
      <c r="B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</row>
    <row r="129" spans="1:39" thickTop="1" thickBot="1" x14ac:dyDescent="0.4">
      <c r="A129" s="4"/>
      <c r="B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</row>
    <row r="130" spans="1:39" thickTop="1" thickBot="1" x14ac:dyDescent="0.4">
      <c r="A130" s="4"/>
      <c r="B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</row>
    <row r="131" spans="1:39" thickTop="1" thickBot="1" x14ac:dyDescent="0.4">
      <c r="A131" s="4"/>
      <c r="B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</row>
    <row r="132" spans="1:39" thickTop="1" thickBot="1" x14ac:dyDescent="0.4">
      <c r="A132" s="4"/>
      <c r="B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</row>
    <row r="133" spans="1:39" thickTop="1" thickBot="1" x14ac:dyDescent="0.4">
      <c r="A133" s="4"/>
      <c r="B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</row>
    <row r="134" spans="1:39" thickTop="1" thickBot="1" x14ac:dyDescent="0.4">
      <c r="A134" s="4"/>
      <c r="B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</row>
    <row r="135" spans="1:39" thickTop="1" thickBot="1" x14ac:dyDescent="0.4">
      <c r="A135" s="4"/>
      <c r="B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</row>
    <row r="136" spans="1:39" thickTop="1" thickBot="1" x14ac:dyDescent="0.4">
      <c r="A136" s="4"/>
      <c r="B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</row>
    <row r="137" spans="1:39" thickTop="1" thickBot="1" x14ac:dyDescent="0.4">
      <c r="A137" s="4"/>
      <c r="B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</row>
    <row r="138" spans="1:39" thickTop="1" thickBot="1" x14ac:dyDescent="0.4">
      <c r="A138" s="4"/>
      <c r="B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</row>
    <row r="139" spans="1:39" thickTop="1" thickBot="1" x14ac:dyDescent="0.4">
      <c r="A139" s="4"/>
      <c r="B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</row>
    <row r="140" spans="1:39" thickTop="1" thickBot="1" x14ac:dyDescent="0.4">
      <c r="A140" s="4"/>
      <c r="B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</row>
    <row r="141" spans="1:39" thickTop="1" thickBot="1" x14ac:dyDescent="0.4">
      <c r="A141" s="4"/>
      <c r="B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</row>
    <row r="142" spans="1:39" thickTop="1" thickBot="1" x14ac:dyDescent="0.4">
      <c r="A142" s="4"/>
      <c r="B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</row>
    <row r="143" spans="1:39" thickTop="1" thickBot="1" x14ac:dyDescent="0.4">
      <c r="A143" s="4"/>
      <c r="B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</row>
    <row r="144" spans="1:39" thickTop="1" thickBot="1" x14ac:dyDescent="0.4">
      <c r="A144" s="4"/>
      <c r="B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</row>
    <row r="145" spans="1:39" thickTop="1" thickBot="1" x14ac:dyDescent="0.4">
      <c r="A145" s="4"/>
      <c r="B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</row>
    <row r="146" spans="1:39" thickTop="1" thickBot="1" x14ac:dyDescent="0.4">
      <c r="A146" s="4"/>
      <c r="B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</row>
    <row r="147" spans="1:39" thickTop="1" thickBot="1" x14ac:dyDescent="0.4">
      <c r="A147" s="4"/>
      <c r="B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</row>
    <row r="148" spans="1:39" thickTop="1" thickBot="1" x14ac:dyDescent="0.4">
      <c r="A148" s="4"/>
      <c r="B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</row>
    <row r="149" spans="1:39" thickTop="1" thickBot="1" x14ac:dyDescent="0.4">
      <c r="A149" s="4"/>
      <c r="B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</row>
    <row r="150" spans="1:39" thickTop="1" thickBot="1" x14ac:dyDescent="0.4">
      <c r="A150" s="4"/>
      <c r="B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</row>
    <row r="151" spans="1:39" thickTop="1" thickBot="1" x14ac:dyDescent="0.4">
      <c r="A151" s="4"/>
      <c r="B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</row>
    <row r="152" spans="1:39" thickTop="1" thickBot="1" x14ac:dyDescent="0.4">
      <c r="A152" s="4"/>
      <c r="B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</row>
    <row r="153" spans="1:39" thickTop="1" thickBot="1" x14ac:dyDescent="0.4">
      <c r="A153" s="4"/>
      <c r="B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</row>
    <row r="154" spans="1:39" thickTop="1" thickBot="1" x14ac:dyDescent="0.4">
      <c r="A154" s="4"/>
      <c r="B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</row>
    <row r="155" spans="1:39" thickTop="1" thickBot="1" x14ac:dyDescent="0.4">
      <c r="A155" s="4"/>
      <c r="B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</row>
    <row r="156" spans="1:39" thickTop="1" thickBot="1" x14ac:dyDescent="0.4">
      <c r="A156" s="4"/>
      <c r="B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</row>
    <row r="157" spans="1:39" thickTop="1" thickBot="1" x14ac:dyDescent="0.4">
      <c r="A157" s="4"/>
      <c r="B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</row>
    <row r="158" spans="1:39" thickTop="1" thickBot="1" x14ac:dyDescent="0.4">
      <c r="A158" s="4"/>
      <c r="B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</row>
    <row r="159" spans="1:39" thickTop="1" thickBot="1" x14ac:dyDescent="0.4">
      <c r="A159" s="4"/>
      <c r="B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</row>
    <row r="160" spans="1:39" thickTop="1" thickBot="1" x14ac:dyDescent="0.4">
      <c r="A160" s="4"/>
      <c r="B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</row>
    <row r="161" spans="1:39" thickTop="1" thickBot="1" x14ac:dyDescent="0.4">
      <c r="A161" s="4"/>
      <c r="B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</row>
    <row r="162" spans="1:39" thickTop="1" thickBot="1" x14ac:dyDescent="0.4">
      <c r="A162" s="4"/>
      <c r="B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</row>
    <row r="163" spans="1:39" thickTop="1" thickBot="1" x14ac:dyDescent="0.4">
      <c r="A163" s="4"/>
      <c r="B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</row>
    <row r="164" spans="1:39" thickTop="1" thickBot="1" x14ac:dyDescent="0.4">
      <c r="A164" s="4"/>
      <c r="B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</row>
    <row r="165" spans="1:39" thickTop="1" thickBot="1" x14ac:dyDescent="0.4">
      <c r="A165" s="4"/>
      <c r="B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</row>
    <row r="166" spans="1:39" thickTop="1" thickBot="1" x14ac:dyDescent="0.4">
      <c r="A166" s="4"/>
      <c r="B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</row>
    <row r="167" spans="1:39" thickTop="1" thickBot="1" x14ac:dyDescent="0.4">
      <c r="A167" s="4"/>
      <c r="B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</row>
    <row r="168" spans="1:39" thickTop="1" thickBot="1" x14ac:dyDescent="0.4">
      <c r="A168" s="4"/>
      <c r="B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</row>
    <row r="169" spans="1:39" thickTop="1" thickBot="1" x14ac:dyDescent="0.4">
      <c r="A169" s="4"/>
      <c r="B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</row>
    <row r="170" spans="1:39" thickTop="1" thickBot="1" x14ac:dyDescent="0.4">
      <c r="A170" s="4"/>
      <c r="B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</row>
    <row r="171" spans="1:39" thickTop="1" thickBot="1" x14ac:dyDescent="0.4">
      <c r="A171" s="4"/>
      <c r="B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</row>
    <row r="172" spans="1:39" thickTop="1" thickBot="1" x14ac:dyDescent="0.4">
      <c r="A172" s="4"/>
      <c r="B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</row>
    <row r="173" spans="1:39" thickTop="1" thickBot="1" x14ac:dyDescent="0.4">
      <c r="A173" s="4"/>
      <c r="B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</row>
    <row r="174" spans="1:39" thickTop="1" thickBot="1" x14ac:dyDescent="0.4">
      <c r="A174" s="4"/>
      <c r="B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</row>
    <row r="175" spans="1:39" thickTop="1" thickBot="1" x14ac:dyDescent="0.4">
      <c r="A175" s="4"/>
      <c r="B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</row>
    <row r="176" spans="1:39" thickTop="1" thickBot="1" x14ac:dyDescent="0.4">
      <c r="A176" s="4"/>
      <c r="B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</row>
    <row r="177" spans="1:39" thickTop="1" thickBot="1" x14ac:dyDescent="0.4">
      <c r="A177" s="4"/>
      <c r="B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</row>
    <row r="178" spans="1:39" thickTop="1" thickBot="1" x14ac:dyDescent="0.4">
      <c r="A178" s="4"/>
      <c r="B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</row>
    <row r="179" spans="1:39" thickTop="1" thickBot="1" x14ac:dyDescent="0.4">
      <c r="A179" s="4"/>
      <c r="B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</row>
    <row r="180" spans="1:39" thickTop="1" thickBot="1" x14ac:dyDescent="0.4">
      <c r="A180" s="4"/>
      <c r="B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</row>
    <row r="181" spans="1:39" thickTop="1" thickBot="1" x14ac:dyDescent="0.4">
      <c r="A181" s="4"/>
      <c r="B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</row>
    <row r="182" spans="1:39" thickTop="1" thickBot="1" x14ac:dyDescent="0.4">
      <c r="A182" s="4"/>
      <c r="B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</row>
    <row r="183" spans="1:39" thickTop="1" thickBot="1" x14ac:dyDescent="0.4">
      <c r="A183" s="4"/>
      <c r="B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</row>
    <row r="184" spans="1:39" thickTop="1" thickBot="1" x14ac:dyDescent="0.4">
      <c r="A184" s="4"/>
      <c r="B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</row>
    <row r="185" spans="1:39" thickTop="1" thickBot="1" x14ac:dyDescent="0.4">
      <c r="A185" s="4"/>
      <c r="B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</row>
    <row r="186" spans="1:39" thickTop="1" thickBot="1" x14ac:dyDescent="0.4">
      <c r="A186" s="4"/>
      <c r="B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</row>
    <row r="187" spans="1:39" thickTop="1" thickBot="1" x14ac:dyDescent="0.4">
      <c r="A187" s="4"/>
      <c r="B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</row>
    <row r="188" spans="1:39" thickTop="1" thickBot="1" x14ac:dyDescent="0.4">
      <c r="A188" s="4"/>
      <c r="B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</row>
    <row r="189" spans="1:39" thickTop="1" thickBot="1" x14ac:dyDescent="0.4">
      <c r="A189" s="4"/>
      <c r="B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</row>
    <row r="190" spans="1:39" thickTop="1" thickBot="1" x14ac:dyDescent="0.4">
      <c r="A190" s="4"/>
      <c r="B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</row>
    <row r="191" spans="1:39" thickTop="1" thickBot="1" x14ac:dyDescent="0.4">
      <c r="A191" s="4"/>
      <c r="B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</row>
    <row r="192" spans="1:39" thickTop="1" thickBot="1" x14ac:dyDescent="0.4">
      <c r="A192" s="4"/>
      <c r="B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</row>
    <row r="193" spans="1:39" thickTop="1" thickBot="1" x14ac:dyDescent="0.4">
      <c r="A193" s="4"/>
      <c r="B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</row>
    <row r="194" spans="1:39" thickTop="1" thickBot="1" x14ac:dyDescent="0.4">
      <c r="A194" s="4"/>
      <c r="B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</row>
    <row r="195" spans="1:39" thickTop="1" thickBot="1" x14ac:dyDescent="0.4">
      <c r="A195" s="4"/>
      <c r="B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</row>
    <row r="196" spans="1:39" thickTop="1" thickBot="1" x14ac:dyDescent="0.4">
      <c r="A196" s="4"/>
      <c r="B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</row>
    <row r="197" spans="1:39" thickTop="1" thickBot="1" x14ac:dyDescent="0.4">
      <c r="A197" s="4"/>
      <c r="B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</row>
    <row r="198" spans="1:39" thickTop="1" thickBot="1" x14ac:dyDescent="0.4">
      <c r="A198" s="4"/>
      <c r="B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</row>
    <row r="199" spans="1:39" thickTop="1" thickBot="1" x14ac:dyDescent="0.4">
      <c r="A199" s="4"/>
      <c r="B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</row>
    <row r="200" spans="1:39" thickTop="1" thickBot="1" x14ac:dyDescent="0.4">
      <c r="A200" s="4"/>
      <c r="B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</row>
    <row r="201" spans="1:39" thickTop="1" thickBot="1" x14ac:dyDescent="0.4">
      <c r="A201" s="4"/>
      <c r="B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</row>
    <row r="202" spans="1:39" thickTop="1" thickBot="1" x14ac:dyDescent="0.4">
      <c r="A202" s="4"/>
      <c r="B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</row>
    <row r="203" spans="1:39" thickTop="1" thickBot="1" x14ac:dyDescent="0.4">
      <c r="A203" s="4"/>
      <c r="B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</row>
    <row r="204" spans="1:39" thickTop="1" thickBot="1" x14ac:dyDescent="0.4">
      <c r="A204" s="4"/>
      <c r="B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</row>
    <row r="205" spans="1:39" thickTop="1" thickBot="1" x14ac:dyDescent="0.4">
      <c r="A205" s="4"/>
      <c r="B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</row>
    <row r="206" spans="1:39" thickTop="1" thickBot="1" x14ac:dyDescent="0.4">
      <c r="A206" s="4"/>
      <c r="B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</row>
    <row r="207" spans="1:39" thickTop="1" thickBot="1" x14ac:dyDescent="0.4">
      <c r="A207" s="4"/>
      <c r="B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</row>
    <row r="208" spans="1:39" thickTop="1" thickBot="1" x14ac:dyDescent="0.4">
      <c r="A208" s="4"/>
      <c r="B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</row>
    <row r="209" spans="1:39" thickTop="1" thickBot="1" x14ac:dyDescent="0.4">
      <c r="A209" s="4"/>
      <c r="B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</row>
    <row r="210" spans="1:39" thickTop="1" thickBot="1" x14ac:dyDescent="0.4">
      <c r="A210" s="4"/>
      <c r="B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</row>
    <row r="211" spans="1:39" thickTop="1" thickBot="1" x14ac:dyDescent="0.4">
      <c r="A211" s="4"/>
      <c r="B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</row>
    <row r="212" spans="1:39" thickTop="1" thickBot="1" x14ac:dyDescent="0.4">
      <c r="A212" s="4"/>
      <c r="B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</row>
    <row r="213" spans="1:39" thickTop="1" thickBot="1" x14ac:dyDescent="0.4">
      <c r="A213" s="4"/>
      <c r="B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</row>
    <row r="214" spans="1:39" thickTop="1" thickBot="1" x14ac:dyDescent="0.4">
      <c r="A214" s="4"/>
      <c r="B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</row>
    <row r="215" spans="1:39" thickTop="1" thickBot="1" x14ac:dyDescent="0.4">
      <c r="A215" s="4"/>
      <c r="B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</row>
    <row r="216" spans="1:39" thickTop="1" thickBot="1" x14ac:dyDescent="0.4">
      <c r="A216" s="4"/>
      <c r="B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</row>
    <row r="217" spans="1:39" thickTop="1" thickBot="1" x14ac:dyDescent="0.4">
      <c r="A217" s="4"/>
      <c r="B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</row>
    <row r="218" spans="1:39" thickTop="1" thickBot="1" x14ac:dyDescent="0.4">
      <c r="A218" s="4"/>
      <c r="B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</row>
    <row r="219" spans="1:39" thickTop="1" thickBot="1" x14ac:dyDescent="0.4">
      <c r="A219" s="4"/>
      <c r="B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</row>
    <row r="220" spans="1:39" thickTop="1" thickBot="1" x14ac:dyDescent="0.4">
      <c r="A220" s="4"/>
      <c r="B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</row>
    <row r="221" spans="1:39" thickTop="1" thickBot="1" x14ac:dyDescent="0.4">
      <c r="A221" s="4"/>
      <c r="B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</row>
    <row r="222" spans="1:39" thickTop="1" thickBot="1" x14ac:dyDescent="0.4">
      <c r="A222" s="4"/>
      <c r="B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</row>
    <row r="223" spans="1:39" thickTop="1" thickBot="1" x14ac:dyDescent="0.4">
      <c r="A223" s="4"/>
      <c r="B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</row>
    <row r="224" spans="1:39" thickTop="1" thickBot="1" x14ac:dyDescent="0.4">
      <c r="A224" s="4"/>
      <c r="B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</row>
    <row r="225" spans="1:39" thickTop="1" thickBot="1" x14ac:dyDescent="0.4">
      <c r="A225" s="4"/>
      <c r="B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</row>
    <row r="226" spans="1:39" thickTop="1" thickBot="1" x14ac:dyDescent="0.4">
      <c r="A226" s="4"/>
      <c r="B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</row>
    <row r="227" spans="1:39" thickTop="1" thickBot="1" x14ac:dyDescent="0.4">
      <c r="A227" s="4"/>
      <c r="B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</row>
    <row r="228" spans="1:39" thickTop="1" thickBot="1" x14ac:dyDescent="0.4">
      <c r="A228" s="4"/>
      <c r="B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</row>
    <row r="229" spans="1:39" thickTop="1" thickBot="1" x14ac:dyDescent="0.4">
      <c r="A229" s="4"/>
      <c r="B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</row>
    <row r="230" spans="1:39" thickTop="1" thickBot="1" x14ac:dyDescent="0.4">
      <c r="A230" s="4"/>
      <c r="B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</row>
    <row r="231" spans="1:39" thickTop="1" thickBot="1" x14ac:dyDescent="0.4">
      <c r="A231" s="4"/>
      <c r="B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</row>
    <row r="232" spans="1:39" thickTop="1" thickBot="1" x14ac:dyDescent="0.4">
      <c r="A232" s="4"/>
      <c r="B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</row>
    <row r="233" spans="1:39" thickTop="1" thickBot="1" x14ac:dyDescent="0.4">
      <c r="A233" s="4"/>
      <c r="B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</row>
    <row r="234" spans="1:39" thickTop="1" thickBot="1" x14ac:dyDescent="0.4">
      <c r="A234" s="4"/>
      <c r="B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</row>
    <row r="235" spans="1:39" thickTop="1" thickBot="1" x14ac:dyDescent="0.4">
      <c r="A235" s="4"/>
      <c r="B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</row>
    <row r="236" spans="1:39" thickTop="1" thickBot="1" x14ac:dyDescent="0.4">
      <c r="A236" s="4"/>
      <c r="B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</row>
    <row r="237" spans="1:39" thickTop="1" thickBot="1" x14ac:dyDescent="0.4">
      <c r="A237" s="4"/>
      <c r="B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</row>
    <row r="238" spans="1:39" thickTop="1" thickBot="1" x14ac:dyDescent="0.4">
      <c r="A238" s="4"/>
      <c r="B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</row>
    <row r="239" spans="1:39" thickTop="1" thickBot="1" x14ac:dyDescent="0.4">
      <c r="A239" s="4"/>
      <c r="B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</row>
    <row r="240" spans="1:39" thickTop="1" thickBot="1" x14ac:dyDescent="0.4">
      <c r="A240" s="4"/>
      <c r="B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</row>
    <row r="241" spans="1:39" thickTop="1" thickBot="1" x14ac:dyDescent="0.4">
      <c r="A241" s="4"/>
      <c r="B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</row>
    <row r="242" spans="1:39" thickTop="1" thickBot="1" x14ac:dyDescent="0.4">
      <c r="A242" s="4"/>
      <c r="B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</row>
    <row r="243" spans="1:39" thickTop="1" thickBot="1" x14ac:dyDescent="0.4">
      <c r="A243" s="4"/>
      <c r="B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</row>
    <row r="244" spans="1:39" thickTop="1" thickBot="1" x14ac:dyDescent="0.4">
      <c r="A244" s="4"/>
      <c r="B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</row>
    <row r="245" spans="1:39" thickTop="1" thickBot="1" x14ac:dyDescent="0.4">
      <c r="A245" s="4"/>
      <c r="B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</row>
    <row r="246" spans="1:39" thickTop="1" thickBot="1" x14ac:dyDescent="0.4">
      <c r="A246" s="4"/>
      <c r="B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</row>
    <row r="247" spans="1:39" thickTop="1" thickBot="1" x14ac:dyDescent="0.4">
      <c r="A247" s="4"/>
      <c r="B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</row>
    <row r="248" spans="1:39" thickTop="1" thickBot="1" x14ac:dyDescent="0.4">
      <c r="A248" s="4"/>
      <c r="B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</row>
    <row r="249" spans="1:39" thickTop="1" thickBot="1" x14ac:dyDescent="0.4">
      <c r="A249" s="4"/>
      <c r="B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</row>
    <row r="250" spans="1:39" thickTop="1" thickBot="1" x14ac:dyDescent="0.4">
      <c r="A250" s="4"/>
      <c r="B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</row>
    <row r="251" spans="1:39" thickTop="1" thickBot="1" x14ac:dyDescent="0.4">
      <c r="A251" s="4"/>
      <c r="B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</row>
    <row r="252" spans="1:39" thickTop="1" thickBot="1" x14ac:dyDescent="0.4">
      <c r="A252" s="4"/>
      <c r="B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</row>
    <row r="253" spans="1:39" thickTop="1" thickBot="1" x14ac:dyDescent="0.4">
      <c r="A253" s="4"/>
      <c r="B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</row>
    <row r="254" spans="1:39" thickTop="1" thickBot="1" x14ac:dyDescent="0.4">
      <c r="A254" s="4"/>
      <c r="B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</row>
    <row r="255" spans="1:39" thickTop="1" thickBot="1" x14ac:dyDescent="0.4">
      <c r="A255" s="4"/>
      <c r="B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</row>
    <row r="256" spans="1:39" thickTop="1" thickBot="1" x14ac:dyDescent="0.4">
      <c r="A256" s="4"/>
      <c r="B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</row>
    <row r="257" spans="1:39" thickTop="1" thickBot="1" x14ac:dyDescent="0.4">
      <c r="A257" s="4"/>
      <c r="B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</row>
    <row r="258" spans="1:39" thickTop="1" thickBot="1" x14ac:dyDescent="0.4">
      <c r="A258" s="4"/>
      <c r="B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</row>
    <row r="259" spans="1:39" thickTop="1" thickBot="1" x14ac:dyDescent="0.4">
      <c r="A259" s="4"/>
      <c r="B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</row>
    <row r="260" spans="1:39" thickTop="1" thickBot="1" x14ac:dyDescent="0.4">
      <c r="A260" s="4"/>
      <c r="B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</row>
    <row r="261" spans="1:39" thickTop="1" thickBot="1" x14ac:dyDescent="0.4">
      <c r="A261" s="4"/>
      <c r="B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</row>
    <row r="262" spans="1:39" thickTop="1" thickBot="1" x14ac:dyDescent="0.4">
      <c r="A262" s="4"/>
      <c r="B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</row>
    <row r="263" spans="1:39" thickTop="1" thickBot="1" x14ac:dyDescent="0.4">
      <c r="A263" s="4"/>
      <c r="B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</row>
    <row r="264" spans="1:39" thickTop="1" thickBot="1" x14ac:dyDescent="0.4">
      <c r="A264" s="4"/>
      <c r="B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</row>
    <row r="265" spans="1:39" thickTop="1" thickBot="1" x14ac:dyDescent="0.4">
      <c r="A265" s="4"/>
      <c r="B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</row>
    <row r="266" spans="1:39" thickTop="1" thickBot="1" x14ac:dyDescent="0.4">
      <c r="A266" s="4"/>
      <c r="B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</row>
    <row r="267" spans="1:39" thickTop="1" thickBot="1" x14ac:dyDescent="0.4">
      <c r="A267" s="4"/>
      <c r="B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</row>
    <row r="268" spans="1:39" thickTop="1" thickBot="1" x14ac:dyDescent="0.4">
      <c r="A268" s="4"/>
      <c r="B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</row>
    <row r="269" spans="1:39" thickTop="1" thickBot="1" x14ac:dyDescent="0.4">
      <c r="A269" s="4"/>
      <c r="B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</row>
    <row r="270" spans="1:39" thickTop="1" thickBot="1" x14ac:dyDescent="0.4">
      <c r="A270" s="4"/>
      <c r="B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</row>
    <row r="271" spans="1:39" thickTop="1" thickBot="1" x14ac:dyDescent="0.4">
      <c r="A271" s="4"/>
      <c r="B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</row>
    <row r="272" spans="1:39" thickTop="1" thickBot="1" x14ac:dyDescent="0.4">
      <c r="A272" s="4"/>
      <c r="B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</row>
    <row r="273" spans="1:39" thickTop="1" thickBot="1" x14ac:dyDescent="0.4">
      <c r="A273" s="4"/>
      <c r="B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</row>
    <row r="274" spans="1:39" thickTop="1" thickBot="1" x14ac:dyDescent="0.4">
      <c r="A274" s="4"/>
      <c r="B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</row>
    <row r="275" spans="1:39" thickTop="1" thickBot="1" x14ac:dyDescent="0.4">
      <c r="A275" s="4"/>
      <c r="B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</row>
    <row r="276" spans="1:39" thickTop="1" thickBot="1" x14ac:dyDescent="0.4">
      <c r="A276" s="4"/>
      <c r="B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</row>
    <row r="277" spans="1:39" thickTop="1" thickBot="1" x14ac:dyDescent="0.4">
      <c r="A277" s="4"/>
      <c r="B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</row>
    <row r="278" spans="1:39" thickTop="1" thickBot="1" x14ac:dyDescent="0.4">
      <c r="A278" s="4"/>
      <c r="B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</row>
    <row r="279" spans="1:39" thickTop="1" thickBot="1" x14ac:dyDescent="0.4">
      <c r="A279" s="4"/>
      <c r="B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</row>
    <row r="280" spans="1:39" thickTop="1" thickBot="1" x14ac:dyDescent="0.4">
      <c r="A280" s="4"/>
      <c r="B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</row>
    <row r="281" spans="1:39" thickTop="1" thickBot="1" x14ac:dyDescent="0.4">
      <c r="A281" s="4"/>
      <c r="B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</row>
    <row r="282" spans="1:39" thickTop="1" thickBot="1" x14ac:dyDescent="0.4">
      <c r="A282" s="4"/>
      <c r="B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</row>
    <row r="283" spans="1:39" thickTop="1" thickBot="1" x14ac:dyDescent="0.4">
      <c r="A283" s="4"/>
      <c r="B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</row>
    <row r="284" spans="1:39" thickTop="1" thickBot="1" x14ac:dyDescent="0.4">
      <c r="A284" s="4"/>
      <c r="B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</row>
    <row r="285" spans="1:39" thickTop="1" thickBot="1" x14ac:dyDescent="0.4">
      <c r="A285" s="4"/>
      <c r="B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</row>
    <row r="286" spans="1:39" thickTop="1" thickBot="1" x14ac:dyDescent="0.4">
      <c r="A286" s="4"/>
      <c r="B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</row>
    <row r="287" spans="1:39" thickTop="1" thickBot="1" x14ac:dyDescent="0.4">
      <c r="A287" s="4"/>
      <c r="B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</row>
    <row r="288" spans="1:39" thickTop="1" thickBot="1" x14ac:dyDescent="0.4">
      <c r="A288" s="4"/>
      <c r="B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</row>
    <row r="289" spans="1:39" thickTop="1" thickBot="1" x14ac:dyDescent="0.4">
      <c r="A289" s="4"/>
      <c r="B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</row>
    <row r="290" spans="1:39" thickTop="1" thickBot="1" x14ac:dyDescent="0.4">
      <c r="A290" s="4"/>
      <c r="B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</row>
    <row r="291" spans="1:39" thickTop="1" thickBot="1" x14ac:dyDescent="0.4">
      <c r="A291" s="4"/>
      <c r="B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</row>
  </sheetData>
  <sheetProtection sort="0" autoFilter="0"/>
  <protectedRanges>
    <protectedRange password="C724" sqref="N38" name="Plage1_1_2"/>
    <protectedRange password="C724" sqref="F34 AD34" name="Plage1_1_3"/>
  </protectedRanges>
  <autoFilter ref="A1:AG45"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</autoFilter>
  <dataConsolidate/>
  <mergeCells count="39">
    <mergeCell ref="BC3:BE3"/>
    <mergeCell ref="BC33:BE33"/>
    <mergeCell ref="BF3:BH3"/>
    <mergeCell ref="BF33:BH33"/>
    <mergeCell ref="AT3:AV3"/>
    <mergeCell ref="AT33:AV33"/>
    <mergeCell ref="AW3:AY3"/>
    <mergeCell ref="AW33:AY33"/>
    <mergeCell ref="AZ3:BB3"/>
    <mergeCell ref="AZ33:BB33"/>
    <mergeCell ref="AK3:AM3"/>
    <mergeCell ref="AN3:AP3"/>
    <mergeCell ref="AK33:AM33"/>
    <mergeCell ref="AN33:AP33"/>
    <mergeCell ref="AQ3:AS3"/>
    <mergeCell ref="AQ33:AS33"/>
    <mergeCell ref="BW1:BZ1"/>
    <mergeCell ref="AH33:AJ33"/>
    <mergeCell ref="G33:I33"/>
    <mergeCell ref="J33:L33"/>
    <mergeCell ref="M33:O33"/>
    <mergeCell ref="P33:R33"/>
    <mergeCell ref="S33:U33"/>
    <mergeCell ref="G3:I3"/>
    <mergeCell ref="J3:L3"/>
    <mergeCell ref="AH3:AJ3"/>
    <mergeCell ref="AE33:AG33"/>
    <mergeCell ref="V33:X33"/>
    <mergeCell ref="Y33:AA33"/>
    <mergeCell ref="AB33:AD33"/>
    <mergeCell ref="BO1:BR1"/>
    <mergeCell ref="BS1:BV1"/>
    <mergeCell ref="AE3:AG3"/>
    <mergeCell ref="AB3:AD3"/>
    <mergeCell ref="M3:O3"/>
    <mergeCell ref="P3:R3"/>
    <mergeCell ref="S3:U3"/>
    <mergeCell ref="V3:X3"/>
    <mergeCell ref="Y3:AA3"/>
  </mergeCells>
  <conditionalFormatting sqref="D4:D32">
    <cfRule type="iconSet" priority="295">
      <iconSet iconSet="5Quarters">
        <cfvo type="percent" val="0"/>
        <cfvo type="num" val="0.5" gte="0"/>
        <cfvo type="num" val="1" gte="0"/>
        <cfvo type="num" val="2" gte="0"/>
        <cfvo type="num" val="4" gte="0"/>
      </iconSet>
    </cfRule>
  </conditionalFormatting>
  <conditionalFormatting sqref="A34:B34 D34:AJ34 BI34:XFD34">
    <cfRule type="cellIs" dxfId="269" priority="167" operator="equal">
      <formula>"OK"</formula>
    </cfRule>
    <cfRule type="cellIs" dxfId="268" priority="168" operator="equal">
      <formula>"ERREUR"</formula>
    </cfRule>
  </conditionalFormatting>
  <conditionalFormatting sqref="A3:B32 G3:I3 BI3:XFD32 D3:F32 G4:AJ32">
    <cfRule type="containsText" dxfId="267" priority="166" operator="containsText" text="N/P">
      <formula>NOT(ISERROR(SEARCH("N/P",A3)))</formula>
    </cfRule>
  </conditionalFormatting>
  <conditionalFormatting sqref="A4:B32 D4:AJ32 BI4:XFD32">
    <cfRule type="iconSet" priority="286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C34">
    <cfRule type="cellIs" dxfId="266" priority="151" operator="equal">
      <formula>"OK"</formula>
    </cfRule>
    <cfRule type="cellIs" dxfId="265" priority="152" operator="equal">
      <formula>"ERREUR"</formula>
    </cfRule>
  </conditionalFormatting>
  <conditionalFormatting sqref="C3:C32">
    <cfRule type="containsText" dxfId="264" priority="150" operator="containsText" text="N/P">
      <formula>NOT(ISERROR(SEARCH("N/P",C3)))</formula>
    </cfRule>
  </conditionalFormatting>
  <conditionalFormatting sqref="C4:C32">
    <cfRule type="iconSet" priority="165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H1:H1048576 K1:K1048576 N1:N1048576 Q1:Q1048576 T1:T1048576 W1:W1048576 Z1:Z1048576 AC1:AC1048576 AF1:AF1048576 AI3:AI45 AL3">
    <cfRule type="beginsWith" dxfId="263" priority="149" operator="beginsWith" text="p">
      <formula>LEFT(H1,LEN("p"))="p"</formula>
    </cfRule>
  </conditionalFormatting>
  <conditionalFormatting sqref="C35:C38">
    <cfRule type="containsText" dxfId="262" priority="133" operator="containsText" text="N/P">
      <formula>NOT(ISERROR(SEARCH("N/P",C35)))</formula>
    </cfRule>
  </conditionalFormatting>
  <conditionalFormatting sqref="C35:C38">
    <cfRule type="iconSet" priority="146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A4:AJ32 BI4:XFD32">
    <cfRule type="containsText" dxfId="261" priority="132" operator="containsText" text="N/E">
      <formula>NOT(ISERROR(SEARCH("N/E",A4)))</formula>
    </cfRule>
  </conditionalFormatting>
  <conditionalFormatting sqref="V28">
    <cfRule type="beginsWith" dxfId="260" priority="131" operator="beginsWith" text="p">
      <formula>LEFT(V28,LEN("p"))="p"</formula>
    </cfRule>
  </conditionalFormatting>
  <conditionalFormatting sqref="B4:B32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  <cfRule type="dataBar" priority="12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{99154C3E-EF78-453B-BC9B-F9C38E932825}</x14:id>
        </ext>
      </extLst>
    </cfRule>
    <cfRule type="colorScale" priority="129">
      <colorScale>
        <cfvo type="min"/>
        <cfvo type="percentile" val="50"/>
        <cfvo type="max"/>
        <color rgb="FF92D050"/>
        <color rgb="FFFFEB84"/>
        <color rgb="FFFF0000"/>
      </colorScale>
    </cfRule>
    <cfRule type="expression" dxfId="259" priority="314">
      <formula>C4&lt;2.65</formula>
    </cfRule>
    <cfRule type="expression" dxfId="258" priority="315">
      <formula>C4&gt;10</formula>
    </cfRule>
  </conditionalFormatting>
  <conditionalFormatting sqref="AK34:AM34">
    <cfRule type="cellIs" dxfId="257" priority="112" operator="equal">
      <formula>"OK"</formula>
    </cfRule>
    <cfRule type="cellIs" dxfId="256" priority="113" operator="equal">
      <formula>"ERREUR"</formula>
    </cfRule>
  </conditionalFormatting>
  <conditionalFormatting sqref="AK4:AM32">
    <cfRule type="containsText" dxfId="255" priority="111" operator="containsText" text="N/P">
      <formula>NOT(ISERROR(SEARCH("N/P",AK4)))</formula>
    </cfRule>
  </conditionalFormatting>
  <conditionalFormatting sqref="AK4:AM32">
    <cfRule type="iconSet" priority="126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AL4:AL45">
    <cfRule type="beginsWith" dxfId="254" priority="110" operator="beginsWith" text="p">
      <formula>LEFT(AL4,LEN("p"))="p"</formula>
    </cfRule>
  </conditionalFormatting>
  <conditionalFormatting sqref="AK4:AM32">
    <cfRule type="containsText" dxfId="253" priority="109" operator="containsText" text="N/E">
      <formula>NOT(ISERROR(SEARCH("N/E",AK4)))</formula>
    </cfRule>
  </conditionalFormatting>
  <conditionalFormatting sqref="AN34:AP34">
    <cfRule type="cellIs" dxfId="252" priority="94" operator="equal">
      <formula>"OK"</formula>
    </cfRule>
    <cfRule type="cellIs" dxfId="251" priority="95" operator="equal">
      <formula>"ERREUR"</formula>
    </cfRule>
  </conditionalFormatting>
  <conditionalFormatting sqref="AN4:AP32">
    <cfRule type="containsText" dxfId="250" priority="93" operator="containsText" text="N/P">
      <formula>NOT(ISERROR(SEARCH("N/P",AN4)))</formula>
    </cfRule>
  </conditionalFormatting>
  <conditionalFormatting sqref="AN4:AP32">
    <cfRule type="iconSet" priority="108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AO3:AO45">
    <cfRule type="beginsWith" dxfId="249" priority="92" operator="beginsWith" text="p">
      <formula>LEFT(AO3,LEN("p"))="p"</formula>
    </cfRule>
  </conditionalFormatting>
  <conditionalFormatting sqref="AN4:AP32">
    <cfRule type="containsText" dxfId="248" priority="91" operator="containsText" text="N/E">
      <formula>NOT(ISERROR(SEARCH("N/E",AN4)))</formula>
    </cfRule>
  </conditionalFormatting>
  <conditionalFormatting sqref="AQ34:AS34">
    <cfRule type="cellIs" dxfId="247" priority="76" operator="equal">
      <formula>"OK"</formula>
    </cfRule>
    <cfRule type="cellIs" dxfId="246" priority="77" operator="equal">
      <formula>"ERREUR"</formula>
    </cfRule>
  </conditionalFormatting>
  <conditionalFormatting sqref="AQ4:AS32">
    <cfRule type="containsText" dxfId="245" priority="75" operator="containsText" text="N/P">
      <formula>NOT(ISERROR(SEARCH("N/P",AQ4)))</formula>
    </cfRule>
  </conditionalFormatting>
  <conditionalFormatting sqref="AQ4:AS32">
    <cfRule type="iconSet" priority="90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AR3:AR45">
    <cfRule type="beginsWith" dxfId="244" priority="74" operator="beginsWith" text="p">
      <formula>LEFT(AR3,LEN("p"))="p"</formula>
    </cfRule>
  </conditionalFormatting>
  <conditionalFormatting sqref="AQ4:AS32">
    <cfRule type="containsText" dxfId="243" priority="73" operator="containsText" text="N/E">
      <formula>NOT(ISERROR(SEARCH("N/E",AQ4)))</formula>
    </cfRule>
  </conditionalFormatting>
  <conditionalFormatting sqref="AT34:AV34">
    <cfRule type="cellIs" dxfId="242" priority="58" operator="equal">
      <formula>"OK"</formula>
    </cfRule>
    <cfRule type="cellIs" dxfId="241" priority="59" operator="equal">
      <formula>"ERREUR"</formula>
    </cfRule>
  </conditionalFormatting>
  <conditionalFormatting sqref="AT4:AV32">
    <cfRule type="containsText" dxfId="240" priority="57" operator="containsText" text="N/P">
      <formula>NOT(ISERROR(SEARCH("N/P",AT4)))</formula>
    </cfRule>
  </conditionalFormatting>
  <conditionalFormatting sqref="AT4:AV32">
    <cfRule type="iconSet" priority="72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AU3:AU45">
    <cfRule type="beginsWith" dxfId="239" priority="56" operator="beginsWith" text="p">
      <formula>LEFT(AU3,LEN("p"))="p"</formula>
    </cfRule>
  </conditionalFormatting>
  <conditionalFormatting sqref="AT4:AV32">
    <cfRule type="containsText" dxfId="238" priority="55" operator="containsText" text="N/E">
      <formula>NOT(ISERROR(SEARCH("N/E",AT4)))</formula>
    </cfRule>
  </conditionalFormatting>
  <conditionalFormatting sqref="AW34:AY34">
    <cfRule type="cellIs" dxfId="237" priority="40" operator="equal">
      <formula>"OK"</formula>
    </cfRule>
    <cfRule type="cellIs" dxfId="236" priority="41" operator="equal">
      <formula>"ERREUR"</formula>
    </cfRule>
  </conditionalFormatting>
  <conditionalFormatting sqref="AW4:AY32">
    <cfRule type="containsText" dxfId="235" priority="39" operator="containsText" text="N/P">
      <formula>NOT(ISERROR(SEARCH("N/P",AW4)))</formula>
    </cfRule>
  </conditionalFormatting>
  <conditionalFormatting sqref="AW4:AY32">
    <cfRule type="iconSet" priority="54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AX3:AX45">
    <cfRule type="beginsWith" dxfId="234" priority="38" operator="beginsWith" text="p">
      <formula>LEFT(AX3,LEN("p"))="p"</formula>
    </cfRule>
  </conditionalFormatting>
  <conditionalFormatting sqref="AW4:AY32">
    <cfRule type="containsText" dxfId="233" priority="37" operator="containsText" text="N/E">
      <formula>NOT(ISERROR(SEARCH("N/E",AW4)))</formula>
    </cfRule>
  </conditionalFormatting>
  <conditionalFormatting sqref="AZ34:BE34">
    <cfRule type="cellIs" dxfId="232" priority="22" operator="equal">
      <formula>"OK"</formula>
    </cfRule>
    <cfRule type="cellIs" dxfId="231" priority="23" operator="equal">
      <formula>"ERREUR"</formula>
    </cfRule>
  </conditionalFormatting>
  <conditionalFormatting sqref="AZ4:BE32">
    <cfRule type="containsText" dxfId="230" priority="21" operator="containsText" text="N/P">
      <formula>NOT(ISERROR(SEARCH("N/P",AZ4)))</formula>
    </cfRule>
  </conditionalFormatting>
  <conditionalFormatting sqref="AZ4:BE32">
    <cfRule type="iconSet" priority="36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BA3:BA45 BD3:BD45">
    <cfRule type="beginsWith" dxfId="229" priority="20" operator="beginsWith" text="p">
      <formula>LEFT(BA3,LEN("p"))="p"</formula>
    </cfRule>
  </conditionalFormatting>
  <conditionalFormatting sqref="AZ4:BE32">
    <cfRule type="containsText" dxfId="228" priority="19" operator="containsText" text="N/E">
      <formula>NOT(ISERROR(SEARCH("N/E",AZ4)))</formula>
    </cfRule>
  </conditionalFormatting>
  <conditionalFormatting sqref="BF34:BH34">
    <cfRule type="cellIs" dxfId="227" priority="4" operator="equal">
      <formula>"OK"</formula>
    </cfRule>
    <cfRule type="cellIs" dxfId="226" priority="5" operator="equal">
      <formula>"ERREUR"</formula>
    </cfRule>
  </conditionalFormatting>
  <conditionalFormatting sqref="BF4:BH32">
    <cfRule type="containsText" dxfId="225" priority="3" operator="containsText" text="N/P">
      <formula>NOT(ISERROR(SEARCH("N/P",BF4)))</formula>
    </cfRule>
  </conditionalFormatting>
  <conditionalFormatting sqref="BF4:BH32">
    <cfRule type="iconSet" priority="18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BG3:BG45">
    <cfRule type="beginsWith" dxfId="224" priority="2" operator="beginsWith" text="p">
      <formula>LEFT(BG3,LEN("p"))="p"</formula>
    </cfRule>
  </conditionalFormatting>
  <conditionalFormatting sqref="BF4:BH32">
    <cfRule type="containsText" dxfId="223" priority="1" operator="containsText" text="N/E">
      <formula>NOT(ISERROR(SEARCH("N/E",BF4)))</formula>
    </cfRule>
  </conditionalFormatting>
  <dataValidations count="3">
    <dataValidation type="list" allowBlank="1" showInputMessage="1" showErrorMessage="1" sqref="O4:O32 I4:I32 R4:R32 L4:L32 X4:X32 AG4:AG32 U4:U32 AD4:AD32 AA4:AA32 AJ4:AJ32 BH4:BH32 AM4:AM32 AP4:AP32 AS4:AS32 AY4:AY32 BB4:BB32 BE4:BE32 AV4:AV32">
      <formula1>PATISSERIE</formula1>
    </dataValidation>
    <dataValidation type="list" allowBlank="1" showInputMessage="1" showErrorMessage="1" sqref="A4:A32">
      <formula1>billet</formula1>
    </dataValidation>
    <dataValidation type="list" allowBlank="1" showInputMessage="1" showErrorMessage="1" sqref="V28 AF4:AF32 K4:K32 H4:H32 N4:N32 AC4:AC32 Q4:Q32 T4:T32 Z4:Z32 W4:W32 AI4:AI32 BG4:BG32 AL4:AL32 AO4:AO32 AR4:AR32 AX4:AX32 BA4:BA32 BD4:BD32 AU4:AU32">
      <formula1>INVENTAIRE</formula1>
    </dataValidation>
  </dataValidations>
  <hyperlinks>
    <hyperlink ref="F5" location="CREDITS!C5" display="CREDITS!C5"/>
    <hyperlink ref="F4:F32" location="CREDITS!A1" display="CREDITS!A1"/>
  </hyperlinks>
  <pageMargins left="0.7" right="0.7" top="0.75" bottom="0.75" header="0.3" footer="0.3"/>
  <pageSetup paperSize="9" orientation="portrait" horizontalDpi="4294967293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154C3E-EF78-453B-BC9B-F9C38E93282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B4:B32</xm:sqref>
        </x14:conditionalFormatting>
        <x14:conditionalFormatting xmlns:xm="http://schemas.microsoft.com/office/excel/2006/main">
          <x14:cfRule type="cellIs" priority="174" operator="equal" id="{57E36673-CD3A-4A42-9F24-F985C12184DA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176" operator="equal" id="{A747E0D6-5CE2-40AE-9174-FCA2AA9F2331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179" operator="equal" id="{D2E54250-B128-4691-AC97-F0A6BF737648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180" operator="equal" id="{A91BB1AC-C30C-4BCC-A85D-5FE9350B3045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181" operator="equal" id="{0FCF7DAA-E4F7-455D-B599-D6C7784D4721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182" operator="equal" id="{C1C30B06-B80E-4A92-B49B-1AEDCFD13C3C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184" operator="equal" id="{347AFA5D-3FAE-4523-BCB2-BCE37D23F99B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186" operator="equal" id="{0064D6E6-AD3A-472D-95F1-2C8A32D95A31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187" operator="equal" id="{1E3518AD-6F91-44C7-894C-D014718272EC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188" operator="equal" id="{B2D16528-789D-4E26-87C1-4B0DE3E146F0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190" operator="equal" id="{499545C8-9083-4B93-86D2-2C0480F4F7DE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191" operator="equal" id="{DCC324D0-0683-4691-9CC0-D89BF5F160F9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A3:B32 G3:I3 BI3:XFD32 D3:F32 G4:AJ32</xm:sqref>
        </x14:conditionalFormatting>
        <x14:conditionalFormatting xmlns:xm="http://schemas.microsoft.com/office/excel/2006/main">
          <x14:cfRule type="cellIs" priority="153" operator="equal" id="{150C1C3D-C122-4815-A154-6B646DF12A82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154" operator="equal" id="{09072784-B50A-47A5-BFEA-E6DCBD734D6F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155" operator="equal" id="{BCBDD6C9-6A60-4B37-A3E4-703B59D063A2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156" operator="equal" id="{2BA46ADD-109E-4A95-95DA-2E12D7AD1210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157" operator="equal" id="{7CDF3DA8-56A4-4ED4-A1FD-2C5F891B0925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158" operator="equal" id="{EBF15915-EC0E-40D6-BDC3-EF0CDB39BF82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159" operator="equal" id="{971CBA0C-9B03-4C07-A094-9D9B3914F261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160" operator="equal" id="{91C62E7D-B1CC-4B86-849E-9A187A95A28D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161" operator="equal" id="{93E54881-1E6F-4FC7-935C-883E95D488FB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162" operator="equal" id="{44B423E0-56DB-4D1B-AFCF-F332FC430D0D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163" operator="equal" id="{170C1DFA-9168-4B8E-BCEA-407B4EC0A8D9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164" operator="equal" id="{9D5DF4FE-EB51-423B-9058-2100D0F6D15A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C3:C32</xm:sqref>
        </x14:conditionalFormatting>
        <x14:conditionalFormatting xmlns:xm="http://schemas.microsoft.com/office/excel/2006/main">
          <x14:cfRule type="cellIs" priority="134" operator="equal" id="{38148F82-E7E9-4403-9254-E68725B7D6FF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135" operator="equal" id="{E5588FDA-48AF-4346-919B-FE975CEF7032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136" operator="equal" id="{E2C16D56-3925-4DAB-867C-47B0E69DC0FF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137" operator="equal" id="{29818BEE-0189-4B85-94B1-9B71E86E045D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138" operator="equal" id="{A2B37138-E99D-44A5-A35F-F819E68F939E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139" operator="equal" id="{8B567C5A-19B8-4DCB-846A-60873BB21753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140" operator="equal" id="{6E639F0B-1D82-4989-986F-AD3F62D62426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141" operator="equal" id="{002C4771-96F0-45F4-BE57-6547A4E16389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142" operator="equal" id="{7DF62CE3-C875-41B5-99F1-2DCDDB439A8A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143" operator="equal" id="{91E4E697-D66D-4292-93EB-5D5A23D259A7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144" operator="equal" id="{CD6EB205-DCA0-43B0-82B5-1100E75A0066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145" operator="equal" id="{79275FBB-0B7E-4C5C-9778-A8E7CAA2E22E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C35:C38</xm:sqref>
        </x14:conditionalFormatting>
        <x14:conditionalFormatting xmlns:xm="http://schemas.microsoft.com/office/excel/2006/main">
          <x14:cfRule type="cellIs" priority="114" operator="equal" id="{D0A5C9E1-ED3C-411F-99A6-39F483682D8F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115" operator="equal" id="{7B0C11C1-290F-46C8-B5AC-6AFA27580138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116" operator="equal" id="{4FECE8FA-F99B-46D6-A594-9EAB1FC17CEE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117" operator="equal" id="{5C325E4A-0D56-4543-ACC2-9A14839F9C65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118" operator="equal" id="{896E94C9-7DBE-4A00-9298-356279FC70E9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119" operator="equal" id="{308CF760-17FD-40B5-8C00-D67AC3F0879E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120" operator="equal" id="{B3336CCE-582E-4DD4-AB6A-4BB2325314B4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121" operator="equal" id="{AAB14F0B-9985-4D7B-B813-1DD0783EB29B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122" operator="equal" id="{49222D2D-B656-4862-B82C-54A949C4595E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123" operator="equal" id="{9CC6BAF0-0C2B-4C8B-9AF7-D59763EF1324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124" operator="equal" id="{5A625543-01AA-4ECF-AF42-5FF642CBDE62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125" operator="equal" id="{F245AE56-AA06-4F3E-8F13-E9DD6B7FC55D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AK4:AM32</xm:sqref>
        </x14:conditionalFormatting>
        <x14:conditionalFormatting xmlns:xm="http://schemas.microsoft.com/office/excel/2006/main">
          <x14:cfRule type="cellIs" priority="96" operator="equal" id="{284F3DAC-8517-4241-A68B-F4227EA577B8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97" operator="equal" id="{AC300EC0-AE19-42BF-808E-45C9E5890E44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98" operator="equal" id="{3AF1CA8F-8019-4684-90CD-B2596BA30DED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99" operator="equal" id="{AA4B51ED-8425-423B-A78A-AC091F3405CC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100" operator="equal" id="{AC90121A-4BB2-4340-82DA-885146148DBA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101" operator="equal" id="{071B5AA8-4ECC-4E1C-B8AC-0C862EEC9B3A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102" operator="equal" id="{B81C0253-3EFE-4D8D-BC83-31A846113612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103" operator="equal" id="{5C012FA8-93CC-4D1F-A24A-C2CE6367BDB7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104" operator="equal" id="{C95EA1AF-FF0A-4512-B8D4-F73B608B6F2F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105" operator="equal" id="{BC2FADD0-1AC6-4E43-89CC-911160B1FCCA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106" operator="equal" id="{72BE73DA-DCE9-46C4-9843-70A5573CA588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107" operator="equal" id="{F8BD3656-2DF9-4A1E-9D24-93F5939B082E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AN4:AP32</xm:sqref>
        </x14:conditionalFormatting>
        <x14:conditionalFormatting xmlns:xm="http://schemas.microsoft.com/office/excel/2006/main">
          <x14:cfRule type="cellIs" priority="78" operator="equal" id="{57061CA8-1EC4-4A0D-889A-CE7F80FA6411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79" operator="equal" id="{7EB11108-1C41-443D-8359-B63B47041F1F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80" operator="equal" id="{C7A9A4EF-C1AD-4469-A589-930EF7218CB5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81" operator="equal" id="{00A74DA1-C608-4F3F-843D-D5889A9637BC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82" operator="equal" id="{E83A3E8D-00D6-428A-AA3D-A5D192C9FA08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83" operator="equal" id="{7A09237E-216A-49B6-BCD3-6A0E757B3B15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84" operator="equal" id="{CE36F5C8-B634-4462-8445-514FE454E7D5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85" operator="equal" id="{2A1A3A68-47BC-4238-9041-21A707CE8C8E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86" operator="equal" id="{17208AB7-5365-48DD-980C-527E060564A6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87" operator="equal" id="{E85DB0C1-F436-49AB-9369-E5B73CF3697F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88" operator="equal" id="{3E6D0FF3-1607-4756-85A3-BAC5117FFF45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89" operator="equal" id="{CBADCBED-1DF0-4233-B553-D5B26D989D11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AQ4:AS32</xm:sqref>
        </x14:conditionalFormatting>
        <x14:conditionalFormatting xmlns:xm="http://schemas.microsoft.com/office/excel/2006/main">
          <x14:cfRule type="cellIs" priority="60" operator="equal" id="{0B2A4F5F-5475-4441-8DC0-900F26CC59FC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61" operator="equal" id="{A64B13D1-C728-4BF0-ADBD-DD653C570856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62" operator="equal" id="{91997F38-E593-4419-B55A-F6689707096F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63" operator="equal" id="{84480D23-F839-44B5-B5C8-203BA036FE94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64" operator="equal" id="{AD96E241-654E-485E-940C-4D0BFE12813E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65" operator="equal" id="{F60E08D4-0F4A-4119-B514-B6243EC6AF55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66" operator="equal" id="{EDEEAA4F-D84D-4E6E-8D2F-05FD1931A5C2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67" operator="equal" id="{9E8E0F8A-31CA-431D-85CF-30C2FBDCE896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68" operator="equal" id="{70685061-A3F7-4134-8633-92C20396C3F4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69" operator="equal" id="{A0FC59E0-1C4F-4922-9E55-6CDD75EC0EA8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70" operator="equal" id="{3341B384-D054-4A7A-B1B1-D836C91A6FC5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71" operator="equal" id="{0C3DB88D-060D-44D5-8A63-8427ADFEE53E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AT4:AV32</xm:sqref>
        </x14:conditionalFormatting>
        <x14:conditionalFormatting xmlns:xm="http://schemas.microsoft.com/office/excel/2006/main">
          <x14:cfRule type="cellIs" priority="42" operator="equal" id="{F6F960A7-19A5-4A5C-9FA6-F2C5569D31E8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43" operator="equal" id="{83DBEE2D-601E-4F5A-B117-EE85175BA536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44" operator="equal" id="{B7C5BCC2-8F1F-48E9-8C28-DEE468BF4649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45" operator="equal" id="{F81672EE-7687-42AA-B290-A9381B5A195F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46" operator="equal" id="{A4C9E9C8-455B-4269-8AB2-E1E437BFA3DD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47" operator="equal" id="{98A3B8EE-9C27-494D-B692-D8FFB4D330D3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48" operator="equal" id="{92E9C439-DF8A-4EEC-9977-D5CBC18D451E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49" operator="equal" id="{4B802C3B-F5A5-4153-8CAE-E26E4A669B44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50" operator="equal" id="{31E5FE13-9177-4A92-A001-82B7C4DFDED0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51" operator="equal" id="{C19D6484-08E4-4CA2-A5D2-311C77E551EE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52" operator="equal" id="{95E3C4F0-22AD-4261-996D-77391C23844E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53" operator="equal" id="{2A5E5381-5028-40DF-91D4-D62E3E79D70E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AW4:AY32</xm:sqref>
        </x14:conditionalFormatting>
        <x14:conditionalFormatting xmlns:xm="http://schemas.microsoft.com/office/excel/2006/main">
          <x14:cfRule type="cellIs" priority="24" operator="equal" id="{435D06FE-7353-4874-831A-E9244A8FA1C9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25" operator="equal" id="{FEBA4D6B-7FF1-4359-9008-A76DBFFCDB90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26" operator="equal" id="{299178F3-430F-495C-B174-47AE5DF49528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27" operator="equal" id="{569BAA93-D3BC-4BCC-A489-99AB755B6362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28" operator="equal" id="{5D8C97D3-3643-45B7-87C0-3E89D28F5B54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29" operator="equal" id="{B27C82EC-18AA-41B4-9E4D-EA56CCE23EC7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30" operator="equal" id="{DB6182C4-FF88-40F7-BD12-FD974FF8C03C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31" operator="equal" id="{020C357B-0B35-4574-A6AA-9EC4E00F403C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32" operator="equal" id="{7CD1C1CA-69DB-4786-8B2D-FF5974E5A1D3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33" operator="equal" id="{45C52CA4-EAA5-470C-873B-5C398514F7BB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34" operator="equal" id="{F1D94BDE-450A-45E4-9E35-A8994AAFCA1A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35" operator="equal" id="{E32FEC9D-54C6-4B09-89DA-B4CC0F90E3E9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AZ4:BE32</xm:sqref>
        </x14:conditionalFormatting>
        <x14:conditionalFormatting xmlns:xm="http://schemas.microsoft.com/office/excel/2006/main">
          <x14:cfRule type="cellIs" priority="6" operator="equal" id="{C192442F-ADE8-4F06-ABEA-8050545653E6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7" operator="equal" id="{A58B9EED-8DC6-44A2-9489-224172D5BA2C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8" operator="equal" id="{4EA46797-BB50-4FE7-9661-7783BCE5329E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9" operator="equal" id="{C34F3173-9AA6-476A-9515-6CE6C9F5C6B6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10" operator="equal" id="{235BA21D-CFAA-480D-AFF5-B7B7B92DBE1F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11" operator="equal" id="{0DC98031-697D-48F8-8DD2-B2B2D82FFD7A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12" operator="equal" id="{43BF1029-DB8C-4933-A636-5915986F3DC3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13" operator="equal" id="{EF819A28-E804-46CE-B6E4-6F1022C279E9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14" operator="equal" id="{3CC6AB75-3BFE-4903-BC43-7CB7F4607C08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15" operator="equal" id="{5C1AA435-A196-4B41-A64B-AF9BFC3203BF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16" operator="equal" id="{801510BC-B13E-42DE-9FF1-00B18056179F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17" operator="equal" id="{CD46346E-1B99-46CF-B641-E2F63FE900B8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BF4:BH32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29"/>
  <sheetViews>
    <sheetView tabSelected="1" workbookViewId="0"/>
  </sheetViews>
  <sheetFormatPr baseColWidth="10" defaultRowHeight="14.5" x14ac:dyDescent="0.35"/>
  <cols>
    <col min="1" max="1" width="26.36328125" customWidth="1"/>
    <col min="2" max="4" width="15.7265625" customWidth="1"/>
  </cols>
  <sheetData>
    <row r="1" spans="1:4" x14ac:dyDescent="0.35">
      <c r="A1" s="313">
        <v>43378</v>
      </c>
      <c r="B1" s="170">
        <v>15.8</v>
      </c>
      <c r="C1" s="160" t="s">
        <v>16</v>
      </c>
      <c r="D1" s="171" t="s">
        <v>60</v>
      </c>
    </row>
    <row r="2" spans="1:4" x14ac:dyDescent="0.35">
      <c r="A2" s="358">
        <f ca="1">MATCH(A1,GEN!3:3,0)</f>
        <v>7</v>
      </c>
      <c r="B2" s="170">
        <v>6.75</v>
      </c>
      <c r="C2" s="160" t="s">
        <v>16</v>
      </c>
      <c r="D2" s="171" t="s">
        <v>65</v>
      </c>
    </row>
    <row r="3" spans="1:4" x14ac:dyDescent="0.35">
      <c r="B3" s="170">
        <v>10</v>
      </c>
      <c r="C3" s="160" t="s">
        <v>3</v>
      </c>
      <c r="D3" s="216" t="s">
        <v>3</v>
      </c>
    </row>
    <row r="4" spans="1:4" x14ac:dyDescent="0.35">
      <c r="B4" s="170">
        <v>5</v>
      </c>
      <c r="C4" s="160" t="s">
        <v>16</v>
      </c>
      <c r="D4" s="171" t="s">
        <v>65</v>
      </c>
    </row>
    <row r="5" spans="1:4" x14ac:dyDescent="0.35">
      <c r="B5" s="170">
        <v>32.700000000000003</v>
      </c>
      <c r="C5" s="160" t="s">
        <v>3</v>
      </c>
      <c r="D5" s="216" t="s">
        <v>3</v>
      </c>
    </row>
    <row r="6" spans="1:4" x14ac:dyDescent="0.35">
      <c r="B6" s="170">
        <v>11.55</v>
      </c>
      <c r="C6" s="160" t="s">
        <v>16</v>
      </c>
      <c r="D6" s="171" t="s">
        <v>65</v>
      </c>
    </row>
    <row r="7" spans="1:4" x14ac:dyDescent="0.35">
      <c r="B7" s="170">
        <v>10.4</v>
      </c>
      <c r="C7" s="160" t="s">
        <v>16</v>
      </c>
      <c r="D7" s="171" t="s">
        <v>65</v>
      </c>
    </row>
    <row r="8" spans="1:4" x14ac:dyDescent="0.35">
      <c r="B8" s="170">
        <v>8.5500000000000007</v>
      </c>
      <c r="C8" s="160" t="s">
        <v>3</v>
      </c>
      <c r="D8" s="216" t="s">
        <v>3</v>
      </c>
    </row>
    <row r="9" spans="1:4" x14ac:dyDescent="0.35">
      <c r="B9" s="170">
        <v>11.55</v>
      </c>
      <c r="C9" s="160" t="s">
        <v>16</v>
      </c>
      <c r="D9" s="171" t="s">
        <v>65</v>
      </c>
    </row>
    <row r="10" spans="1:4" x14ac:dyDescent="0.35">
      <c r="B10" s="170">
        <v>10.4</v>
      </c>
      <c r="C10" s="160" t="s">
        <v>16</v>
      </c>
      <c r="D10" s="171" t="s">
        <v>65</v>
      </c>
    </row>
    <row r="11" spans="1:4" x14ac:dyDescent="0.35">
      <c r="B11" s="170">
        <v>21.55</v>
      </c>
      <c r="C11" s="160" t="s">
        <v>3</v>
      </c>
      <c r="D11" s="216" t="s">
        <v>3</v>
      </c>
    </row>
    <row r="12" spans="1:4" x14ac:dyDescent="0.35">
      <c r="B12" s="170">
        <v>5</v>
      </c>
      <c r="C12" s="160" t="s">
        <v>16</v>
      </c>
      <c r="D12" s="171" t="s">
        <v>60</v>
      </c>
    </row>
    <row r="13" spans="1:4" x14ac:dyDescent="0.35">
      <c r="B13" s="170">
        <v>8.75</v>
      </c>
      <c r="C13" s="160" t="s">
        <v>16</v>
      </c>
      <c r="D13" s="171" t="s">
        <v>60</v>
      </c>
    </row>
    <row r="14" spans="1:4" x14ac:dyDescent="0.35">
      <c r="B14" s="170">
        <v>11.85</v>
      </c>
      <c r="C14" s="160" t="s">
        <v>16</v>
      </c>
      <c r="D14" s="171" t="s">
        <v>60</v>
      </c>
    </row>
    <row r="15" spans="1:4" x14ac:dyDescent="0.35">
      <c r="B15" s="170">
        <v>10</v>
      </c>
      <c r="C15" s="160" t="s">
        <v>3</v>
      </c>
      <c r="D15" s="216" t="s">
        <v>3</v>
      </c>
    </row>
    <row r="16" spans="1:4" x14ac:dyDescent="0.35">
      <c r="B16" s="170">
        <v>5.5</v>
      </c>
      <c r="C16" s="160" t="s">
        <v>16</v>
      </c>
      <c r="D16" s="171" t="s">
        <v>60</v>
      </c>
    </row>
    <row r="17" spans="2:4" x14ac:dyDescent="0.35">
      <c r="B17" s="170"/>
      <c r="C17" s="160" t="s">
        <v>16</v>
      </c>
      <c r="D17" s="171" t="s">
        <v>65</v>
      </c>
    </row>
    <row r="18" spans="2:4" x14ac:dyDescent="0.35">
      <c r="B18" s="170">
        <v>3.85</v>
      </c>
      <c r="C18" s="160" t="s">
        <v>3</v>
      </c>
      <c r="D18" s="216" t="s">
        <v>3</v>
      </c>
    </row>
    <row r="19" spans="2:4" x14ac:dyDescent="0.35">
      <c r="B19" s="170">
        <v>8.85</v>
      </c>
      <c r="C19" s="160" t="s">
        <v>16</v>
      </c>
      <c r="D19" s="171" t="s">
        <v>65</v>
      </c>
    </row>
    <row r="20" spans="2:4" x14ac:dyDescent="0.35">
      <c r="B20" s="170">
        <v>10.4</v>
      </c>
      <c r="C20" s="160" t="s">
        <v>16</v>
      </c>
      <c r="D20" s="171" t="s">
        <v>65</v>
      </c>
    </row>
    <row r="21" spans="2:4" x14ac:dyDescent="0.35">
      <c r="B21" s="170">
        <v>20.7</v>
      </c>
      <c r="C21" s="160" t="s">
        <v>16</v>
      </c>
      <c r="D21" s="171" t="s">
        <v>65</v>
      </c>
    </row>
    <row r="22" spans="2:4" x14ac:dyDescent="0.35">
      <c r="B22" s="170">
        <v>18.95</v>
      </c>
      <c r="C22" s="160" t="s">
        <v>16</v>
      </c>
      <c r="D22" s="171" t="s">
        <v>60</v>
      </c>
    </row>
    <row r="23" spans="2:4" x14ac:dyDescent="0.35">
      <c r="B23" s="170">
        <v>10</v>
      </c>
      <c r="C23" s="160" t="s">
        <v>3</v>
      </c>
      <c r="D23" s="216" t="s">
        <v>3</v>
      </c>
    </row>
    <row r="24" spans="2:4" x14ac:dyDescent="0.35">
      <c r="B24" s="170">
        <v>20</v>
      </c>
      <c r="C24" s="160" t="s">
        <v>3</v>
      </c>
      <c r="D24" s="216" t="s">
        <v>3</v>
      </c>
    </row>
    <row r="25" spans="2:4" x14ac:dyDescent="0.35">
      <c r="B25" s="170"/>
      <c r="C25" s="222" t="s">
        <v>93</v>
      </c>
      <c r="D25" s="216" t="s">
        <v>93</v>
      </c>
    </row>
    <row r="26" spans="2:4" x14ac:dyDescent="0.35">
      <c r="B26" s="170"/>
      <c r="C26" s="222" t="s">
        <v>93</v>
      </c>
      <c r="D26" s="216" t="s">
        <v>93</v>
      </c>
    </row>
    <row r="27" spans="2:4" x14ac:dyDescent="0.35">
      <c r="B27" s="170"/>
      <c r="C27" s="222" t="s">
        <v>93</v>
      </c>
      <c r="D27" s="216" t="s">
        <v>93</v>
      </c>
    </row>
    <row r="28" spans="2:4" x14ac:dyDescent="0.35">
      <c r="B28" s="170"/>
      <c r="C28" s="222" t="s">
        <v>93</v>
      </c>
      <c r="D28" s="216" t="s">
        <v>93</v>
      </c>
    </row>
    <row r="29" spans="2:4" x14ac:dyDescent="0.35">
      <c r="B29" s="170"/>
      <c r="C29" s="222" t="s">
        <v>93</v>
      </c>
      <c r="D29" s="216" t="s">
        <v>93</v>
      </c>
    </row>
  </sheetData>
  <conditionalFormatting sqref="B1:D29">
    <cfRule type="containsText" dxfId="102" priority="3" operator="containsText" text="N/P">
      <formula>NOT(ISERROR(SEARCH("N/P",B1)))</formula>
    </cfRule>
  </conditionalFormatting>
  <conditionalFormatting sqref="C1:C29">
    <cfRule type="beginsWith" dxfId="101" priority="2" operator="beginsWith" text="p">
      <formula>LEFT(C1,LEN("p"))="p"</formula>
    </cfRule>
  </conditionalFormatting>
  <conditionalFormatting sqref="B1:D29">
    <cfRule type="containsText" dxfId="100" priority="1" operator="containsText" text="N/E">
      <formula>NOT(ISERROR(SEARCH("N/E",B1)))</formula>
    </cfRule>
  </conditionalFormatting>
  <conditionalFormatting sqref="B1:D29">
    <cfRule type="iconSet" priority="316">
      <iconSet iconSet="4TrafficLights">
        <cfvo type="percent" val="0"/>
        <cfvo type="num" val="0" gte="0"/>
        <cfvo type="num" val="2.65"/>
        <cfvo type="num" val="6.25"/>
      </iconSe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4" operator="equal" id="{D3B83B5B-DC90-43D3-BBD6-04C2E7860380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5" operator="equal" id="{497C4E23-0F2E-45E9-A343-0F59908BF32B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6" operator="equal" id="{711CF5BE-C5D6-49D0-B6C0-38B6A6BD5C1B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7" operator="equal" id="{F0A3EE2B-1D4A-4A4A-8505-C42FC4920874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8" operator="equal" id="{B2AA58E9-2DC1-4A17-93F6-5CBD15A4F79D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9" operator="equal" id="{A51EA1DF-7C28-40BA-8B3E-7371F2E5507C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10" operator="equal" id="{CF36EBDB-3479-49C3-8745-C20EDB638F51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11" operator="equal" id="{E5EA019E-49DF-4270-9B19-2EE065B39863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12" operator="equal" id="{EE2D4ECA-EDCF-45D1-B234-F77BD789574B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13" operator="equal" id="{D42376F0-937C-47B6-951B-02D06A513ED9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14" operator="equal" id="{8786264E-E767-4724-82D8-1C0B64E6DCF3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15" operator="equal" id="{BC127373-D05B-446C-8845-08974CC3AD3A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B1:D29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P45"/>
  <sheetViews>
    <sheetView topLeftCell="A10" zoomScale="70" zoomScaleNormal="70" workbookViewId="0">
      <pane xSplit="1" topLeftCell="B1" activePane="topRight" state="frozen"/>
      <selection pane="topRight" activeCell="A9" sqref="A9"/>
    </sheetView>
  </sheetViews>
  <sheetFormatPr baseColWidth="10" defaultColWidth="11.453125" defaultRowHeight="14.5" x14ac:dyDescent="0.35"/>
  <cols>
    <col min="1" max="1" width="23.81640625" style="7" bestFit="1" customWidth="1"/>
    <col min="2" max="2" width="6.1796875" style="7" bestFit="1" customWidth="1"/>
    <col min="3" max="4" width="13.453125" style="7" customWidth="1"/>
    <col min="5" max="5" width="13.1796875" style="7" customWidth="1"/>
    <col min="6" max="6" width="14.1796875" style="7" customWidth="1"/>
    <col min="7" max="12" width="13.1796875" style="7" customWidth="1"/>
    <col min="13" max="16384" width="11.453125" style="7"/>
  </cols>
  <sheetData>
    <row r="1" spans="1:16" ht="15" thickBot="1" x14ac:dyDescent="0.4">
      <c r="B1" s="8"/>
      <c r="C1" s="8"/>
      <c r="D1" s="8"/>
      <c r="E1" s="8"/>
    </row>
    <row r="2" spans="1:16" s="186" customFormat="1" ht="16.5" customHeight="1" thickTop="1" x14ac:dyDescent="0.35">
      <c r="A2" s="184" t="s">
        <v>0</v>
      </c>
      <c r="B2" s="185"/>
      <c r="C2" s="185">
        <v>43378</v>
      </c>
      <c r="D2" s="185">
        <f t="shared" ref="D2:P2" si="0">C2+7</f>
        <v>43385</v>
      </c>
      <c r="E2" s="185">
        <f t="shared" si="0"/>
        <v>43392</v>
      </c>
      <c r="F2" s="185">
        <f>E2+7</f>
        <v>43399</v>
      </c>
      <c r="G2" s="185">
        <f t="shared" si="0"/>
        <v>43406</v>
      </c>
      <c r="H2" s="185">
        <f t="shared" si="0"/>
        <v>43413</v>
      </c>
      <c r="I2" s="185">
        <f t="shared" si="0"/>
        <v>43420</v>
      </c>
      <c r="J2" s="185">
        <f t="shared" si="0"/>
        <v>43427</v>
      </c>
      <c r="K2" s="185">
        <f t="shared" si="0"/>
        <v>43434</v>
      </c>
      <c r="L2" s="185">
        <f t="shared" si="0"/>
        <v>43441</v>
      </c>
      <c r="M2" s="185">
        <f t="shared" si="0"/>
        <v>43448</v>
      </c>
      <c r="N2" s="185">
        <f t="shared" si="0"/>
        <v>43455</v>
      </c>
      <c r="O2" s="185">
        <f t="shared" si="0"/>
        <v>43462</v>
      </c>
      <c r="P2" s="185">
        <f t="shared" si="0"/>
        <v>43469</v>
      </c>
    </row>
    <row r="3" spans="1:16" s="185" customFormat="1" ht="16.5" customHeight="1" thickBot="1" x14ac:dyDescent="0.4">
      <c r="B3" s="243"/>
    </row>
    <row r="4" spans="1:16" ht="17.25" customHeight="1" thickTop="1" thickBot="1" x14ac:dyDescent="0.4">
      <c r="A4" s="75">
        <f>GEN!B4</f>
        <v>0</v>
      </c>
      <c r="B4" s="329">
        <f>B2</f>
        <v>0</v>
      </c>
      <c r="C4" s="269">
        <f>VLOOKUP(GEN!I4,PATISS!$A$2:$B$14,2,FALSE)</f>
        <v>1.05</v>
      </c>
      <c r="D4" s="142">
        <f>VLOOKUP(GEN!L4,PATISS!$A$2:$B$14,2,FALSE)</f>
        <v>0</v>
      </c>
      <c r="E4" s="142">
        <f>VLOOKUP(GEN!O4,PATISS!$A$2:$B$14,2,FALSE)</f>
        <v>1.05</v>
      </c>
      <c r="F4" s="142">
        <f>VLOOKUP(GEN!R4,PATISS!$A$2:$B$14,2,FALSE)</f>
        <v>1.05</v>
      </c>
      <c r="G4" s="142">
        <f>VLOOKUP(GEN!U4,PATISS!$A$2:$B$14,2,FALSE)</f>
        <v>1.05</v>
      </c>
      <c r="H4" s="142">
        <f>VLOOKUP(GEN!X4,PATISS!$A$2:$B$14,2,FALSE)</f>
        <v>0</v>
      </c>
      <c r="I4" s="142">
        <f>VLOOKUP(GEN!AA4,PATISS!$A$2:$B$14,2,FALSE)</f>
        <v>1.05</v>
      </c>
      <c r="J4" s="142">
        <f>VLOOKUP(GEN!AD4,PATISS!$A$2:$B$14,2,FALSE)</f>
        <v>1.05</v>
      </c>
      <c r="K4" s="142">
        <f>VLOOKUP(GEN!AG4,PATISS!$A$2:$B$14,2,FALSE)</f>
        <v>0</v>
      </c>
      <c r="L4" s="142">
        <f>VLOOKUP(GEN!AJ4,PATISS!$A$2:$B$14,2,FALSE)</f>
        <v>0</v>
      </c>
      <c r="M4" s="142">
        <f>VLOOKUP(GEN!AM4,PATISS!$A$2:$B$14,2,FALSE)</f>
        <v>0</v>
      </c>
      <c r="N4" s="142">
        <f>VLOOKUP(GEN!AP4,PATISS!$A$2:$B$14,2,FALSE)</f>
        <v>0</v>
      </c>
      <c r="O4" s="142">
        <f>VLOOKUP(GEN!AS4,PATISS!$A$2:$B$14,2,FALSE)</f>
        <v>0</v>
      </c>
      <c r="P4" s="142">
        <f>VLOOKUP(GEN!AV4,PATISS!$A$2:$B$14,2,FALSE)</f>
        <v>0</v>
      </c>
    </row>
    <row r="5" spans="1:16" ht="15.5" thickTop="1" thickBot="1" x14ac:dyDescent="0.4">
      <c r="A5" s="75">
        <f>GEN!B5</f>
        <v>0</v>
      </c>
      <c r="B5" s="329"/>
      <c r="C5" s="269">
        <f>VLOOKUP(GEN!I5,PATISS!$A$2:$B$14,2,FALSE)</f>
        <v>1.1499999999999999</v>
      </c>
      <c r="D5" s="142">
        <f>VLOOKUP(GEN!L5,PATISS!$A$2:$B$14,2,FALSE)</f>
        <v>0</v>
      </c>
      <c r="E5" s="142">
        <f>VLOOKUP(GEN!O5,PATISS!$A$2:$B$14,2,FALSE)</f>
        <v>1.05</v>
      </c>
      <c r="F5" s="142">
        <f>VLOOKUP(GEN!R5,PATISS!$A$2:$B$14,2,FALSE)</f>
        <v>1.05</v>
      </c>
      <c r="G5" s="142">
        <f>VLOOKUP(GEN!U5,PATISS!$A$2:$B$14,2,FALSE)</f>
        <v>1.1499999999999999</v>
      </c>
      <c r="H5" s="142">
        <f>VLOOKUP(GEN!X5,PATISS!$A$2:$B$14,2,FALSE)</f>
        <v>0</v>
      </c>
      <c r="I5" s="142">
        <f>VLOOKUP(GEN!AA5,PATISS!$A$2:$B$14,2,FALSE)</f>
        <v>0</v>
      </c>
      <c r="J5" s="142">
        <f>VLOOKUP(GEN!AD5,PATISS!$A$2:$B$14,2,FALSE)</f>
        <v>0</v>
      </c>
      <c r="K5" s="142">
        <f>VLOOKUP(GEN!AG5,PATISS!$A$2:$B$14,2,FALSE)</f>
        <v>0</v>
      </c>
      <c r="L5" s="142">
        <f>VLOOKUP(GEN!AJ5,PATISS!$A$2:$B$14,2,FALSE)</f>
        <v>0</v>
      </c>
      <c r="M5" s="142">
        <f>VLOOKUP(GEN!AM5,PATISS!$A$2:$B$14,2,FALSE)</f>
        <v>0</v>
      </c>
      <c r="N5" s="142">
        <f>VLOOKUP(GEN!AP5,PATISS!$A$2:$B$14,2,FALSE)</f>
        <v>0</v>
      </c>
      <c r="O5" s="142">
        <f>VLOOKUP(GEN!AS5,PATISS!$A$2:$B$14,2,FALSE)</f>
        <v>0</v>
      </c>
      <c r="P5" s="142">
        <f>VLOOKUP(GEN!AV5,PATISS!$A$2:$B$14,2,FALSE)</f>
        <v>0</v>
      </c>
    </row>
    <row r="6" spans="1:16" ht="15.5" thickTop="1" thickBot="1" x14ac:dyDescent="0.4">
      <c r="A6" s="75">
        <f>GEN!B6</f>
        <v>0</v>
      </c>
      <c r="B6" s="329"/>
      <c r="C6" s="269">
        <f>VLOOKUP(GEN!I6,PATISS!$A$2:$B$14,2,FALSE)</f>
        <v>0</v>
      </c>
      <c r="D6" s="142">
        <f>VLOOKUP(GEN!L6,PATISS!$A$2:$B$14,2,FALSE)</f>
        <v>0</v>
      </c>
      <c r="E6" s="142">
        <f>VLOOKUP(GEN!O6,PATISS!$A$2:$B$14,2,FALSE)</f>
        <v>0</v>
      </c>
      <c r="F6" s="142">
        <f>VLOOKUP(GEN!R6,PATISS!$A$2:$B$14,2,FALSE)</f>
        <v>0</v>
      </c>
      <c r="G6" s="142">
        <f>VLOOKUP(GEN!U6,PATISS!$A$2:$B$14,2,FALSE)</f>
        <v>1.05</v>
      </c>
      <c r="H6" s="142">
        <f>VLOOKUP(GEN!X6,PATISS!$A$2:$B$14,2,FALSE)</f>
        <v>1.05</v>
      </c>
      <c r="I6" s="142">
        <f>VLOOKUP(GEN!AA6,PATISS!$A$2:$B$14,2,FALSE)</f>
        <v>1.05</v>
      </c>
      <c r="J6" s="142">
        <f>VLOOKUP(GEN!AD6,PATISS!$A$2:$B$14,2,FALSE)</f>
        <v>1.05</v>
      </c>
      <c r="K6" s="142">
        <f>VLOOKUP(GEN!AG6,PATISS!$A$2:$B$14,2,FALSE)</f>
        <v>0</v>
      </c>
      <c r="L6" s="142">
        <f>VLOOKUP(GEN!AJ6,PATISS!$A$2:$B$14,2,FALSE)</f>
        <v>1.05</v>
      </c>
      <c r="M6" s="142">
        <f>VLOOKUP(GEN!AM6,PATISS!$A$2:$B$14,2,FALSE)</f>
        <v>0</v>
      </c>
      <c r="N6" s="142">
        <f>VLOOKUP(GEN!AP6,PATISS!$A$2:$B$14,2,FALSE)</f>
        <v>0</v>
      </c>
      <c r="O6" s="142">
        <f>VLOOKUP(GEN!AS6,PATISS!$A$2:$B$14,2,FALSE)</f>
        <v>0</v>
      </c>
      <c r="P6" s="142">
        <f>VLOOKUP(GEN!AV6,PATISS!$A$2:$B$14,2,FALSE)</f>
        <v>0</v>
      </c>
    </row>
    <row r="7" spans="1:16" ht="16.5" customHeight="1" thickTop="1" thickBot="1" x14ac:dyDescent="0.4">
      <c r="A7" s="75">
        <f>GEN!B7</f>
        <v>0</v>
      </c>
      <c r="B7" s="329"/>
      <c r="C7" s="269">
        <f>VLOOKUP(GEN!I7,PATISS!$A$2:$B$14,2,FALSE)</f>
        <v>1.1499999999999999</v>
      </c>
      <c r="D7" s="142">
        <f>VLOOKUP(GEN!L7,PATISS!$A$2:$B$14,2,FALSE)</f>
        <v>0</v>
      </c>
      <c r="E7" s="142">
        <f>VLOOKUP(GEN!O7,PATISS!$A$2:$B$14,2,FALSE)</f>
        <v>1.1499999999999999</v>
      </c>
      <c r="F7" s="142">
        <f>VLOOKUP(GEN!R7,PATISS!$A$2:$B$14,2,FALSE)</f>
        <v>1.1499999999999999</v>
      </c>
      <c r="G7" s="142">
        <f>VLOOKUP(GEN!U7,PATISS!$A$2:$B$14,2,FALSE)</f>
        <v>0</v>
      </c>
      <c r="H7" s="142">
        <f>VLOOKUP(GEN!X7,PATISS!$A$2:$B$14,2,FALSE)</f>
        <v>1.1499999999999999</v>
      </c>
      <c r="I7" s="142">
        <f>VLOOKUP(GEN!AA7,PATISS!$A$2:$B$14,2,FALSE)</f>
        <v>1.3</v>
      </c>
      <c r="J7" s="142">
        <f>VLOOKUP(GEN!AD7,PATISS!$A$2:$B$14,2,FALSE)</f>
        <v>0</v>
      </c>
      <c r="K7" s="142">
        <f>VLOOKUP(GEN!AG7,PATISS!$A$2:$B$14,2,FALSE)</f>
        <v>0</v>
      </c>
      <c r="L7" s="142">
        <f>VLOOKUP(GEN!AJ7,PATISS!$A$2:$B$14,2,FALSE)</f>
        <v>0</v>
      </c>
      <c r="M7" s="142">
        <f>VLOOKUP(GEN!AM7,PATISS!$A$2:$B$14,2,FALSE)</f>
        <v>0</v>
      </c>
      <c r="N7" s="142">
        <f>VLOOKUP(GEN!AP7,PATISS!$A$2:$B$14,2,FALSE)</f>
        <v>0</v>
      </c>
      <c r="O7" s="142">
        <f>VLOOKUP(GEN!AS7,PATISS!$A$2:$B$14,2,FALSE)</f>
        <v>0</v>
      </c>
      <c r="P7" s="142">
        <f>VLOOKUP(GEN!AV7,PATISS!$A$2:$B$14,2,FALSE)</f>
        <v>0</v>
      </c>
    </row>
    <row r="8" spans="1:16" ht="15.5" thickTop="1" thickBot="1" x14ac:dyDescent="0.4">
      <c r="A8" s="75">
        <f>GEN!B8</f>
        <v>0</v>
      </c>
      <c r="B8" s="329"/>
      <c r="C8" s="269">
        <f>VLOOKUP(GEN!I8,PATISS!$A$2:$B$14,2,FALSE)</f>
        <v>0</v>
      </c>
      <c r="D8" s="142">
        <f>VLOOKUP(GEN!L8,PATISS!$A$2:$B$14,2,FALSE)</f>
        <v>0</v>
      </c>
      <c r="E8" s="142">
        <f>VLOOKUP(GEN!O8,PATISS!$A$2:$B$14,2,FALSE)</f>
        <v>0</v>
      </c>
      <c r="F8" s="142">
        <f>VLOOKUP(GEN!R8,PATISS!$A$2:$B$14,2,FALSE)</f>
        <v>1.1499999999999999</v>
      </c>
      <c r="G8" s="142">
        <f>VLOOKUP(GEN!U8,PATISS!$A$2:$B$14,2,FALSE)</f>
        <v>2.65</v>
      </c>
      <c r="H8" s="142">
        <f>VLOOKUP(GEN!X8,PATISS!$A$2:$B$14,2,FALSE)</f>
        <v>2.65</v>
      </c>
      <c r="I8" s="142">
        <f>VLOOKUP(GEN!AA8,PATISS!$A$2:$B$14,2,FALSE)</f>
        <v>2.65</v>
      </c>
      <c r="J8" s="142">
        <f>VLOOKUP(GEN!AD8,PATISS!$A$2:$B$14,2,FALSE)</f>
        <v>2.65</v>
      </c>
      <c r="K8" s="142">
        <f>VLOOKUP(GEN!AG8,PATISS!$A$2:$B$14,2,FALSE)</f>
        <v>0</v>
      </c>
      <c r="L8" s="142">
        <f>VLOOKUP(GEN!AJ8,PATISS!$A$2:$B$14,2,FALSE)</f>
        <v>2.65</v>
      </c>
      <c r="M8" s="142">
        <f>VLOOKUP(GEN!AM8,PATISS!$A$2:$B$14,2,FALSE)</f>
        <v>0</v>
      </c>
      <c r="N8" s="142">
        <f>VLOOKUP(GEN!AP8,PATISS!$A$2:$B$14,2,FALSE)</f>
        <v>0</v>
      </c>
      <c r="O8" s="142">
        <f>VLOOKUP(GEN!AS8,PATISS!$A$2:$B$14,2,FALSE)</f>
        <v>0</v>
      </c>
      <c r="P8" s="142">
        <f>VLOOKUP(GEN!AV8,PATISS!$A$2:$B$14,2,FALSE)</f>
        <v>0</v>
      </c>
    </row>
    <row r="9" spans="1:16" ht="15.5" thickTop="1" thickBot="1" x14ac:dyDescent="0.4">
      <c r="A9" s="75">
        <f>GEN!B9</f>
        <v>0</v>
      </c>
      <c r="B9" s="329"/>
      <c r="C9" s="269">
        <f>VLOOKUP(GEN!I9,PATISS!$A$2:$B$14,2,FALSE)</f>
        <v>1.1499999999999999</v>
      </c>
      <c r="D9" s="142">
        <f>VLOOKUP(GEN!L9,PATISS!$A$2:$B$14,2,FALSE)</f>
        <v>0</v>
      </c>
      <c r="E9" s="142">
        <f>VLOOKUP(GEN!O9,PATISS!$A$2:$B$14,2,FALSE)</f>
        <v>1.1499999999999999</v>
      </c>
      <c r="F9" s="142">
        <f>VLOOKUP(GEN!R9,PATISS!$A$2:$B$14,2,FALSE)</f>
        <v>1.1499999999999999</v>
      </c>
      <c r="G9" s="142">
        <f>VLOOKUP(GEN!U9,PATISS!$A$2:$B$14,2,FALSE)</f>
        <v>1.1499999999999999</v>
      </c>
      <c r="H9" s="142">
        <f>VLOOKUP(GEN!X9,PATISS!$A$2:$B$14,2,FALSE)</f>
        <v>1.3</v>
      </c>
      <c r="I9" s="142">
        <f>VLOOKUP(GEN!AA9,PATISS!$A$2:$B$14,2,FALSE)</f>
        <v>0</v>
      </c>
      <c r="J9" s="142">
        <f>VLOOKUP(GEN!AD9,PATISS!$A$2:$B$14,2,FALSE)</f>
        <v>1.3</v>
      </c>
      <c r="K9" s="142">
        <f>VLOOKUP(GEN!AG9,PATISS!$A$2:$B$14,2,FALSE)</f>
        <v>0</v>
      </c>
      <c r="L9" s="142">
        <f>VLOOKUP(GEN!AJ9,PATISS!$A$2:$B$14,2,FALSE)</f>
        <v>1.3</v>
      </c>
      <c r="M9" s="142">
        <f>VLOOKUP(GEN!AM9,PATISS!$A$2:$B$14,2,FALSE)</f>
        <v>0</v>
      </c>
      <c r="N9" s="142">
        <f>VLOOKUP(GEN!AP9,PATISS!$A$2:$B$14,2,FALSE)</f>
        <v>0</v>
      </c>
      <c r="O9" s="142">
        <f>VLOOKUP(GEN!AS9,PATISS!$A$2:$B$14,2,FALSE)</f>
        <v>0</v>
      </c>
      <c r="P9" s="142">
        <f>VLOOKUP(GEN!AV9,PATISS!$A$2:$B$14,2,FALSE)</f>
        <v>0</v>
      </c>
    </row>
    <row r="10" spans="1:16" ht="15.5" thickTop="1" thickBot="1" x14ac:dyDescent="0.4">
      <c r="A10" s="75">
        <f>GEN!B10</f>
        <v>0</v>
      </c>
      <c r="B10" s="329"/>
      <c r="C10" s="269">
        <f>VLOOKUP(GEN!I10,PATISS!$A$2:$B$14,2,FALSE)</f>
        <v>1.1499999999999999</v>
      </c>
      <c r="D10" s="142">
        <f>VLOOKUP(GEN!L10,PATISS!$A$2:$B$14,2,FALSE)</f>
        <v>0</v>
      </c>
      <c r="E10" s="142">
        <f>VLOOKUP(GEN!O10,PATISS!$A$2:$B$14,2,FALSE)</f>
        <v>1.1499999999999999</v>
      </c>
      <c r="F10" s="142">
        <f>VLOOKUP(GEN!R10,PATISS!$A$2:$B$14,2,FALSE)</f>
        <v>1.1499999999999999</v>
      </c>
      <c r="G10" s="142">
        <f>VLOOKUP(GEN!U10,PATISS!$A$2:$B$14,2,FALSE)</f>
        <v>0</v>
      </c>
      <c r="H10" s="142">
        <f>VLOOKUP(GEN!X10,PATISS!$A$2:$B$14,2,FALSE)</f>
        <v>2.65</v>
      </c>
      <c r="I10" s="142">
        <f>VLOOKUP(GEN!AA10,PATISS!$A$2:$B$14,2,FALSE)</f>
        <v>1.3</v>
      </c>
      <c r="J10" s="142">
        <f>VLOOKUP(GEN!AD10,PATISS!$A$2:$B$14,2,FALSE)</f>
        <v>1.3</v>
      </c>
      <c r="K10" s="142">
        <f>VLOOKUP(GEN!AG10,PATISS!$A$2:$B$14,2,FALSE)</f>
        <v>0</v>
      </c>
      <c r="L10" s="142">
        <f>VLOOKUP(GEN!AJ10,PATISS!$A$2:$B$14,2,FALSE)</f>
        <v>1.3</v>
      </c>
      <c r="M10" s="142">
        <f>VLOOKUP(GEN!AM10,PATISS!$A$2:$B$14,2,FALSE)</f>
        <v>0</v>
      </c>
      <c r="N10" s="142">
        <f>VLOOKUP(GEN!AP10,PATISS!$A$2:$B$14,2,FALSE)</f>
        <v>0</v>
      </c>
      <c r="O10" s="142">
        <f>VLOOKUP(GEN!AS10,PATISS!$A$2:$B$14,2,FALSE)</f>
        <v>0</v>
      </c>
      <c r="P10" s="142">
        <f>VLOOKUP(GEN!AV10,PATISS!$A$2:$B$14,2,FALSE)</f>
        <v>0</v>
      </c>
    </row>
    <row r="11" spans="1:16" ht="15.5" thickTop="1" thickBot="1" x14ac:dyDescent="0.4">
      <c r="A11" s="75">
        <f>GEN!B11</f>
        <v>0</v>
      </c>
      <c r="B11" s="329"/>
      <c r="C11" s="269">
        <f>VLOOKUP(GEN!I11,PATISS!$A$2:$B$14,2,FALSE)</f>
        <v>0</v>
      </c>
      <c r="D11" s="142">
        <f>VLOOKUP(GEN!L11,PATISS!$A$2:$B$14,2,FALSE)</f>
        <v>0</v>
      </c>
      <c r="E11" s="142">
        <f>VLOOKUP(GEN!O11,PATISS!$A$2:$B$14,2,FALSE)</f>
        <v>0</v>
      </c>
      <c r="F11" s="142">
        <f>VLOOKUP(GEN!R11,PATISS!$A$2:$B$14,2,FALSE)</f>
        <v>0</v>
      </c>
      <c r="G11" s="142">
        <f>VLOOKUP(GEN!U11,PATISS!$A$2:$B$14,2,FALSE)</f>
        <v>0</v>
      </c>
      <c r="H11" s="142">
        <f>VLOOKUP(GEN!X11,PATISS!$A$2:$B$14,2,FALSE)</f>
        <v>1.25</v>
      </c>
      <c r="I11" s="142">
        <f>VLOOKUP(GEN!AA11,PATISS!$A$2:$B$14,2,FALSE)</f>
        <v>0</v>
      </c>
      <c r="J11" s="142">
        <f>VLOOKUP(GEN!AD11,PATISS!$A$2:$B$14,2,FALSE)</f>
        <v>1.3</v>
      </c>
      <c r="K11" s="142">
        <f>VLOOKUP(GEN!AG11,PATISS!$A$2:$B$14,2,FALSE)</f>
        <v>0</v>
      </c>
      <c r="L11" s="142">
        <f>VLOOKUP(GEN!AJ11,PATISS!$A$2:$B$14,2,FALSE)</f>
        <v>1.3</v>
      </c>
      <c r="M11" s="142">
        <f>VLOOKUP(GEN!AM11,PATISS!$A$2:$B$14,2,FALSE)</f>
        <v>0</v>
      </c>
      <c r="N11" s="142">
        <f>VLOOKUP(GEN!AP11,PATISS!$A$2:$B$14,2,FALSE)</f>
        <v>0</v>
      </c>
      <c r="O11" s="142">
        <f>VLOOKUP(GEN!AS11,PATISS!$A$2:$B$14,2,FALSE)</f>
        <v>0</v>
      </c>
      <c r="P11" s="142">
        <f>VLOOKUP(GEN!AV11,PATISS!$A$2:$B$14,2,FALSE)</f>
        <v>0</v>
      </c>
    </row>
    <row r="12" spans="1:16" ht="15.5" thickTop="1" thickBot="1" x14ac:dyDescent="0.4">
      <c r="A12" s="75">
        <f>GEN!B12</f>
        <v>0</v>
      </c>
      <c r="B12" s="329"/>
      <c r="C12" s="269">
        <f>VLOOKUP(GEN!I12,PATISS!$A$2:$B$14,2,FALSE)</f>
        <v>1.1499999999999999</v>
      </c>
      <c r="D12" s="142">
        <f>VLOOKUP(GEN!L12,PATISS!$A$2:$B$14,2,FALSE)</f>
        <v>0</v>
      </c>
      <c r="E12" s="142">
        <f>VLOOKUP(GEN!O12,PATISS!$A$2:$B$14,2,FALSE)</f>
        <v>1.1499999999999999</v>
      </c>
      <c r="F12" s="142">
        <f>VLOOKUP(GEN!R12,PATISS!$A$2:$B$14,2,FALSE)</f>
        <v>1.1499999999999999</v>
      </c>
      <c r="G12" s="142">
        <f>VLOOKUP(GEN!U12,PATISS!$A$2:$B$14,2,FALSE)</f>
        <v>1.1499999999999999</v>
      </c>
      <c r="H12" s="142">
        <f>VLOOKUP(GEN!X12,PATISS!$A$2:$B$14,2,FALSE)</f>
        <v>1.3</v>
      </c>
      <c r="I12" s="142">
        <f>VLOOKUP(GEN!AA12,PATISS!$A$2:$B$14,2,FALSE)</f>
        <v>1.3</v>
      </c>
      <c r="J12" s="142">
        <f>VLOOKUP(GEN!AD12,PATISS!$A$2:$B$14,2,FALSE)</f>
        <v>1.3</v>
      </c>
      <c r="K12" s="142">
        <f>VLOOKUP(GEN!AG12,PATISS!$A$2:$B$14,2,FALSE)</f>
        <v>0</v>
      </c>
      <c r="L12" s="142">
        <f>VLOOKUP(GEN!AJ12,PATISS!$A$2:$B$14,2,FALSE)</f>
        <v>0</v>
      </c>
      <c r="M12" s="142">
        <f>VLOOKUP(GEN!AM12,PATISS!$A$2:$B$14,2,FALSE)</f>
        <v>0</v>
      </c>
      <c r="N12" s="142">
        <f>VLOOKUP(GEN!AP12,PATISS!$A$2:$B$14,2,FALSE)</f>
        <v>0</v>
      </c>
      <c r="O12" s="142">
        <f>VLOOKUP(GEN!AS12,PATISS!$A$2:$B$14,2,FALSE)</f>
        <v>0</v>
      </c>
      <c r="P12" s="142">
        <f>VLOOKUP(GEN!AV12,PATISS!$A$2:$B$14,2,FALSE)</f>
        <v>0</v>
      </c>
    </row>
    <row r="13" spans="1:16" ht="15.5" thickTop="1" thickBot="1" x14ac:dyDescent="0.4">
      <c r="A13" s="75">
        <f>GEN!B13</f>
        <v>0</v>
      </c>
      <c r="B13" s="329"/>
      <c r="C13" s="269">
        <f>VLOOKUP(GEN!I13,PATISS!$A$2:$B$14,2,FALSE)</f>
        <v>1.1499999999999999</v>
      </c>
      <c r="D13" s="142">
        <f>VLOOKUP(GEN!L13,PATISS!$A$2:$B$14,2,FALSE)</f>
        <v>0</v>
      </c>
      <c r="E13" s="142">
        <f>VLOOKUP(GEN!O13,PATISS!$A$2:$B$14,2,FALSE)</f>
        <v>1.1499999999999999</v>
      </c>
      <c r="F13" s="142">
        <f>VLOOKUP(GEN!R13,PATISS!$A$2:$B$14,2,FALSE)</f>
        <v>1.1499999999999999</v>
      </c>
      <c r="G13" s="142">
        <f>VLOOKUP(GEN!U13,PATISS!$A$2:$B$14,2,FALSE)</f>
        <v>0</v>
      </c>
      <c r="H13" s="142">
        <f>VLOOKUP(GEN!X13,PATISS!$A$2:$B$14,2,FALSE)</f>
        <v>1.25</v>
      </c>
      <c r="I13" s="142">
        <f>VLOOKUP(GEN!AA13,PATISS!$A$2:$B$14,2,FALSE)</f>
        <v>0</v>
      </c>
      <c r="J13" s="142">
        <f>VLOOKUP(GEN!AD13,PATISS!$A$2:$B$14,2,FALSE)</f>
        <v>0</v>
      </c>
      <c r="K13" s="142">
        <f>VLOOKUP(GEN!AG13,PATISS!$A$2:$B$14,2,FALSE)</f>
        <v>0</v>
      </c>
      <c r="L13" s="142">
        <f>VLOOKUP(GEN!AJ13,PATISS!$A$2:$B$14,2,FALSE)</f>
        <v>1.25</v>
      </c>
      <c r="M13" s="142">
        <f>VLOOKUP(GEN!AM13,PATISS!$A$2:$B$14,2,FALSE)</f>
        <v>0</v>
      </c>
      <c r="N13" s="142">
        <f>VLOOKUP(GEN!AP13,PATISS!$A$2:$B$14,2,FALSE)</f>
        <v>0</v>
      </c>
      <c r="O13" s="142">
        <f>VLOOKUP(GEN!AS13,PATISS!$A$2:$B$14,2,FALSE)</f>
        <v>0</v>
      </c>
      <c r="P13" s="142">
        <f>VLOOKUP(GEN!AV13,PATISS!$A$2:$B$14,2,FALSE)</f>
        <v>0</v>
      </c>
    </row>
    <row r="14" spans="1:16" ht="15.5" thickTop="1" thickBot="1" x14ac:dyDescent="0.4">
      <c r="A14" s="75">
        <f>GEN!B14</f>
        <v>0</v>
      </c>
      <c r="B14" s="329"/>
      <c r="C14" s="269">
        <f>VLOOKUP(GEN!I14,PATISS!$A$2:$B$14,2,FALSE)</f>
        <v>0</v>
      </c>
      <c r="D14" s="142">
        <f>VLOOKUP(GEN!L14,PATISS!$A$2:$B$14,2,FALSE)</f>
        <v>0</v>
      </c>
      <c r="E14" s="142">
        <f>VLOOKUP(GEN!O14,PATISS!$A$2:$B$14,2,FALSE)</f>
        <v>1.1499999999999999</v>
      </c>
      <c r="F14" s="142">
        <f>VLOOKUP(GEN!R14,PATISS!$A$2:$B$14,2,FALSE)</f>
        <v>1.1499999999999999</v>
      </c>
      <c r="G14" s="142">
        <f>VLOOKUP(GEN!U14,PATISS!$A$2:$B$14,2,FALSE)</f>
        <v>0</v>
      </c>
      <c r="H14" s="142">
        <f>VLOOKUP(GEN!X14,PATISS!$A$2:$B$14,2,FALSE)</f>
        <v>1.1499999999999999</v>
      </c>
      <c r="I14" s="142">
        <f>VLOOKUP(GEN!AA14,PATISS!$A$2:$B$14,2,FALSE)</f>
        <v>1.1499999999999999</v>
      </c>
      <c r="J14" s="142">
        <f>VLOOKUP(GEN!AD14,PATISS!$A$2:$B$14,2,FALSE)</f>
        <v>0</v>
      </c>
      <c r="K14" s="142">
        <f>VLOOKUP(GEN!AG14,PATISS!$A$2:$B$14,2,FALSE)</f>
        <v>0</v>
      </c>
      <c r="L14" s="142">
        <f>VLOOKUP(GEN!AJ14,PATISS!$A$2:$B$14,2,FALSE)</f>
        <v>1.1499999999999999</v>
      </c>
      <c r="M14" s="142">
        <f>VLOOKUP(GEN!AM14,PATISS!$A$2:$B$14,2,FALSE)</f>
        <v>0</v>
      </c>
      <c r="N14" s="142">
        <f>VLOOKUP(GEN!AP14,PATISS!$A$2:$B$14,2,FALSE)</f>
        <v>0</v>
      </c>
      <c r="O14" s="142">
        <f>VLOOKUP(GEN!AS14,PATISS!$A$2:$B$14,2,FALSE)</f>
        <v>0</v>
      </c>
      <c r="P14" s="142">
        <f>VLOOKUP(GEN!AV14,PATISS!$A$2:$B$14,2,FALSE)</f>
        <v>0</v>
      </c>
    </row>
    <row r="15" spans="1:16" ht="15.5" thickTop="1" thickBot="1" x14ac:dyDescent="0.4">
      <c r="A15" s="75">
        <f>GEN!B15</f>
        <v>0</v>
      </c>
      <c r="B15" s="329"/>
      <c r="C15" s="269">
        <f>VLOOKUP(GEN!I15,PATISS!$A$2:$B$14,2,FALSE)</f>
        <v>1.05</v>
      </c>
      <c r="D15" s="142">
        <f>VLOOKUP(GEN!L15,PATISS!$A$2:$B$14,2,FALSE)</f>
        <v>0</v>
      </c>
      <c r="E15" s="142">
        <f>VLOOKUP(GEN!O15,PATISS!$A$2:$B$14,2,FALSE)</f>
        <v>1.05</v>
      </c>
      <c r="F15" s="142">
        <f>VLOOKUP(GEN!R15,PATISS!$A$2:$B$14,2,FALSE)</f>
        <v>1.05</v>
      </c>
      <c r="G15" s="142">
        <f>VLOOKUP(GEN!U15,PATISS!$A$2:$B$14,2,FALSE)</f>
        <v>0</v>
      </c>
      <c r="H15" s="142">
        <f>VLOOKUP(GEN!X15,PATISS!$A$2:$B$14,2,FALSE)</f>
        <v>1.1499999999999999</v>
      </c>
      <c r="I15" s="142">
        <f>VLOOKUP(GEN!AA15,PATISS!$A$2:$B$14,2,FALSE)</f>
        <v>0</v>
      </c>
      <c r="J15" s="142">
        <f>VLOOKUP(GEN!AD15,PATISS!$A$2:$B$14,2,FALSE)</f>
        <v>0</v>
      </c>
      <c r="K15" s="142">
        <f>VLOOKUP(GEN!AG15,PATISS!$A$2:$B$14,2,FALSE)</f>
        <v>0</v>
      </c>
      <c r="L15" s="142">
        <f>VLOOKUP(GEN!AJ15,PATISS!$A$2:$B$14,2,FALSE)</f>
        <v>0</v>
      </c>
      <c r="M15" s="142">
        <f>VLOOKUP(GEN!AM15,PATISS!$A$2:$B$14,2,FALSE)</f>
        <v>0</v>
      </c>
      <c r="N15" s="142">
        <f>VLOOKUP(GEN!AP15,PATISS!$A$2:$B$14,2,FALSE)</f>
        <v>0</v>
      </c>
      <c r="O15" s="142">
        <f>VLOOKUP(GEN!AS15,PATISS!$A$2:$B$14,2,FALSE)</f>
        <v>0</v>
      </c>
      <c r="P15" s="142">
        <f>VLOOKUP(GEN!AV15,PATISS!$A$2:$B$14,2,FALSE)</f>
        <v>0</v>
      </c>
    </row>
    <row r="16" spans="1:16" ht="15.5" thickTop="1" thickBot="1" x14ac:dyDescent="0.4">
      <c r="A16" s="75">
        <f>GEN!B16</f>
        <v>0</v>
      </c>
      <c r="B16" s="329"/>
      <c r="C16" s="269">
        <f>VLOOKUP(GEN!I16,PATISS!$A$2:$B$14,2,FALSE)</f>
        <v>1.05</v>
      </c>
      <c r="D16" s="142">
        <f>VLOOKUP(GEN!L16,PATISS!$A$2:$B$14,2,FALSE)</f>
        <v>0</v>
      </c>
      <c r="E16" s="142">
        <f>VLOOKUP(GEN!O16,PATISS!$A$2:$B$14,2,FALSE)</f>
        <v>1.05</v>
      </c>
      <c r="F16" s="142">
        <f>VLOOKUP(GEN!R16,PATISS!$A$2:$B$14,2,FALSE)</f>
        <v>1.05</v>
      </c>
      <c r="G16" s="142">
        <f>VLOOKUP(GEN!U16,PATISS!$A$2:$B$14,2,FALSE)</f>
        <v>1.05</v>
      </c>
      <c r="H16" s="142">
        <f>VLOOKUP(GEN!X16,PATISS!$A$2:$B$14,2,FALSE)</f>
        <v>0</v>
      </c>
      <c r="I16" s="142">
        <f>VLOOKUP(GEN!AA16,PATISS!$A$2:$B$14,2,FALSE)</f>
        <v>0</v>
      </c>
      <c r="J16" s="142">
        <f>VLOOKUP(GEN!AD16,PATISS!$A$2:$B$14,2,FALSE)</f>
        <v>0</v>
      </c>
      <c r="K16" s="142">
        <f>VLOOKUP(GEN!AG16,PATISS!$A$2:$B$14,2,FALSE)</f>
        <v>0</v>
      </c>
      <c r="L16" s="142">
        <f>VLOOKUP(GEN!AJ16,PATISS!$A$2:$B$14,2,FALSE)</f>
        <v>0</v>
      </c>
      <c r="M16" s="142">
        <f>VLOOKUP(GEN!AM16,PATISS!$A$2:$B$14,2,FALSE)</f>
        <v>0</v>
      </c>
      <c r="N16" s="142">
        <f>VLOOKUP(GEN!AP16,PATISS!$A$2:$B$14,2,FALSE)</f>
        <v>0</v>
      </c>
      <c r="O16" s="142">
        <f>VLOOKUP(GEN!AS16,PATISS!$A$2:$B$14,2,FALSE)</f>
        <v>0</v>
      </c>
      <c r="P16" s="142">
        <f>VLOOKUP(GEN!AV16,PATISS!$A$2:$B$14,2,FALSE)</f>
        <v>0</v>
      </c>
    </row>
    <row r="17" spans="1:16" ht="15.5" thickTop="1" thickBot="1" x14ac:dyDescent="0.4">
      <c r="A17" s="75">
        <f>GEN!B17</f>
        <v>0</v>
      </c>
      <c r="B17" s="329"/>
      <c r="C17" s="269">
        <f>VLOOKUP(GEN!I17,PATISS!$A$2:$B$14,2,FALSE)</f>
        <v>1.05</v>
      </c>
      <c r="D17" s="142">
        <f>VLOOKUP(GEN!L17,PATISS!$A$2:$B$14,2,FALSE)</f>
        <v>0</v>
      </c>
      <c r="E17" s="142">
        <f>VLOOKUP(GEN!O17,PATISS!$A$2:$B$14,2,FALSE)</f>
        <v>1.05</v>
      </c>
      <c r="F17" s="142">
        <f>VLOOKUP(GEN!R17,PATISS!$A$2:$B$14,2,FALSE)</f>
        <v>1.05</v>
      </c>
      <c r="G17" s="142">
        <f>VLOOKUP(GEN!U17,PATISS!$A$2:$B$14,2,FALSE)</f>
        <v>0</v>
      </c>
      <c r="H17" s="142">
        <f>VLOOKUP(GEN!X17,PATISS!$A$2:$B$14,2,FALSE)</f>
        <v>0</v>
      </c>
      <c r="I17" s="142">
        <f>VLOOKUP(GEN!AA17,PATISS!$A$2:$B$14,2,FALSE)</f>
        <v>1.05</v>
      </c>
      <c r="J17" s="142">
        <f>VLOOKUP(GEN!AD17,PATISS!$A$2:$B$14,2,FALSE)</f>
        <v>1.1499999999999999</v>
      </c>
      <c r="K17" s="142">
        <f>VLOOKUP(GEN!AG17,PATISS!$A$2:$B$14,2,FALSE)</f>
        <v>0</v>
      </c>
      <c r="L17" s="142">
        <f>VLOOKUP(GEN!AJ17,PATISS!$A$2:$B$14,2,FALSE)</f>
        <v>1.1499999999999999</v>
      </c>
      <c r="M17" s="142">
        <f>VLOOKUP(GEN!AM17,PATISS!$A$2:$B$14,2,FALSE)</f>
        <v>0</v>
      </c>
      <c r="N17" s="142">
        <f>VLOOKUP(GEN!AP17,PATISS!$A$2:$B$14,2,FALSE)</f>
        <v>0</v>
      </c>
      <c r="O17" s="142">
        <f>VLOOKUP(GEN!AS17,PATISS!$A$2:$B$14,2,FALSE)</f>
        <v>0</v>
      </c>
      <c r="P17" s="142">
        <f>VLOOKUP(GEN!AV17,PATISS!$A$2:$B$14,2,FALSE)</f>
        <v>0</v>
      </c>
    </row>
    <row r="18" spans="1:16" ht="15.5" thickTop="1" thickBot="1" x14ac:dyDescent="0.4">
      <c r="A18" s="75">
        <f>GEN!B18</f>
        <v>0</v>
      </c>
      <c r="B18" s="329"/>
      <c r="C18" s="269">
        <f>VLOOKUP(GEN!I18,PATISS!$A$2:$B$14,2,FALSE)</f>
        <v>0</v>
      </c>
      <c r="D18" s="142">
        <f>VLOOKUP(GEN!L18,PATISS!$A$2:$B$14,2,FALSE)</f>
        <v>0</v>
      </c>
      <c r="E18" s="142">
        <f>VLOOKUP(GEN!O18,PATISS!$A$2:$B$14,2,FALSE)</f>
        <v>0</v>
      </c>
      <c r="F18" s="142">
        <f>VLOOKUP(GEN!R18,PATISS!$A$2:$B$14,2,FALSE)</f>
        <v>1.05</v>
      </c>
      <c r="G18" s="142">
        <f>VLOOKUP(GEN!U18,PATISS!$A$2:$B$14,2,FALSE)</f>
        <v>0</v>
      </c>
      <c r="H18" s="142">
        <f>VLOOKUP(GEN!X18,PATISS!$A$2:$B$14,2,FALSE)</f>
        <v>1.25</v>
      </c>
      <c r="I18" s="142">
        <f>VLOOKUP(GEN!AA18,PATISS!$A$2:$B$14,2,FALSE)</f>
        <v>0</v>
      </c>
      <c r="J18" s="142">
        <f>VLOOKUP(GEN!AD18,PATISS!$A$2:$B$14,2,FALSE)</f>
        <v>0</v>
      </c>
      <c r="K18" s="142">
        <f>VLOOKUP(GEN!AG18,PATISS!$A$2:$B$14,2,FALSE)</f>
        <v>0</v>
      </c>
      <c r="L18" s="142">
        <f>VLOOKUP(GEN!AJ18,PATISS!$A$2:$B$14,2,FALSE)</f>
        <v>0</v>
      </c>
      <c r="M18" s="142">
        <f>VLOOKUP(GEN!AM18,PATISS!$A$2:$B$14,2,FALSE)</f>
        <v>0</v>
      </c>
      <c r="N18" s="142">
        <f>VLOOKUP(GEN!AP18,PATISS!$A$2:$B$14,2,FALSE)</f>
        <v>0</v>
      </c>
      <c r="O18" s="142">
        <f>VLOOKUP(GEN!AS18,PATISS!$A$2:$B$14,2,FALSE)</f>
        <v>0</v>
      </c>
      <c r="P18" s="142">
        <f>VLOOKUP(GEN!AV18,PATISS!$A$2:$B$14,2,FALSE)</f>
        <v>0</v>
      </c>
    </row>
    <row r="19" spans="1:16" ht="15.5" thickTop="1" thickBot="1" x14ac:dyDescent="0.4">
      <c r="A19" s="75">
        <f>GEN!B19</f>
        <v>0</v>
      </c>
      <c r="B19" s="329"/>
      <c r="C19" s="269">
        <f>VLOOKUP(GEN!I19,PATISS!$A$2:$B$14,2,FALSE)</f>
        <v>1.05</v>
      </c>
      <c r="D19" s="142">
        <f>VLOOKUP(GEN!L19,PATISS!$A$2:$B$14,2,FALSE)</f>
        <v>0</v>
      </c>
      <c r="E19" s="142">
        <f>VLOOKUP(GEN!O19,PATISS!$A$2:$B$14,2,FALSE)</f>
        <v>1.1499999999999999</v>
      </c>
      <c r="F19" s="142">
        <f>VLOOKUP(GEN!R19,PATISS!$A$2:$B$14,2,FALSE)</f>
        <v>0</v>
      </c>
      <c r="G19" s="142">
        <f>VLOOKUP(GEN!U19,PATISS!$A$2:$B$14,2,FALSE)</f>
        <v>0</v>
      </c>
      <c r="H19" s="142">
        <f>VLOOKUP(GEN!X19,PATISS!$A$2:$B$14,2,FALSE)</f>
        <v>0</v>
      </c>
      <c r="I19" s="142">
        <f>VLOOKUP(GEN!AA19,PATISS!$A$2:$B$14,2,FALSE)</f>
        <v>0</v>
      </c>
      <c r="J19" s="142">
        <f>VLOOKUP(GEN!AD19,PATISS!$A$2:$B$14,2,FALSE)</f>
        <v>0</v>
      </c>
      <c r="K19" s="142">
        <f>VLOOKUP(GEN!AG19,PATISS!$A$2:$B$14,2,FALSE)</f>
        <v>0</v>
      </c>
      <c r="L19" s="142">
        <f>VLOOKUP(GEN!AJ19,PATISS!$A$2:$B$14,2,FALSE)</f>
        <v>0</v>
      </c>
      <c r="M19" s="142">
        <f>VLOOKUP(GEN!AM19,PATISS!$A$2:$B$14,2,FALSE)</f>
        <v>0</v>
      </c>
      <c r="N19" s="142">
        <f>VLOOKUP(GEN!AP19,PATISS!$A$2:$B$14,2,FALSE)</f>
        <v>0</v>
      </c>
      <c r="O19" s="142">
        <f>VLOOKUP(GEN!AS19,PATISS!$A$2:$B$14,2,FALSE)</f>
        <v>0</v>
      </c>
      <c r="P19" s="142">
        <f>VLOOKUP(GEN!AV19,PATISS!$A$2:$B$14,2,FALSE)</f>
        <v>0</v>
      </c>
    </row>
    <row r="20" spans="1:16" ht="15.5" thickTop="1" thickBot="1" x14ac:dyDescent="0.4">
      <c r="A20" s="75">
        <f>GEN!B20</f>
        <v>0</v>
      </c>
      <c r="B20" s="329"/>
      <c r="C20" s="269">
        <f>VLOOKUP(GEN!I20,PATISS!$A$2:$B$14,2,FALSE)</f>
        <v>1.1499999999999999</v>
      </c>
      <c r="D20" s="142">
        <f>VLOOKUP(GEN!L20,PATISS!$A$2:$B$14,2,FALSE)</f>
        <v>0</v>
      </c>
      <c r="E20" s="142">
        <f>VLOOKUP(GEN!O20,PATISS!$A$2:$B$14,2,FALSE)</f>
        <v>0</v>
      </c>
      <c r="F20" s="142">
        <f>VLOOKUP(GEN!R20,PATISS!$A$2:$B$14,2,FALSE)</f>
        <v>0</v>
      </c>
      <c r="G20" s="142">
        <f>VLOOKUP(GEN!U20,PATISS!$A$2:$B$14,2,FALSE)</f>
        <v>0</v>
      </c>
      <c r="H20" s="142">
        <f>VLOOKUP(GEN!X20,PATISS!$A$2:$B$14,2,FALSE)</f>
        <v>0</v>
      </c>
      <c r="I20" s="142">
        <f>VLOOKUP(GEN!AA20,PATISS!$A$2:$B$14,2,FALSE)</f>
        <v>0</v>
      </c>
      <c r="J20" s="142">
        <f>VLOOKUP(GEN!AD20,PATISS!$A$2:$B$14,2,FALSE)</f>
        <v>0</v>
      </c>
      <c r="K20" s="142">
        <f>VLOOKUP(GEN!AG20,PATISS!$A$2:$B$14,2,FALSE)</f>
        <v>0</v>
      </c>
      <c r="L20" s="142">
        <f>VLOOKUP(GEN!AJ20,PATISS!$A$2:$B$14,2,FALSE)</f>
        <v>0</v>
      </c>
      <c r="M20" s="142">
        <f>VLOOKUP(GEN!AM20,PATISS!$A$2:$B$14,2,FALSE)</f>
        <v>0</v>
      </c>
      <c r="N20" s="142">
        <f>VLOOKUP(GEN!AP20,PATISS!$A$2:$B$14,2,FALSE)</f>
        <v>0</v>
      </c>
      <c r="O20" s="142">
        <f>VLOOKUP(GEN!AS20,PATISS!$A$2:$B$14,2,FALSE)</f>
        <v>0</v>
      </c>
      <c r="P20" s="142">
        <f>VLOOKUP(GEN!AV20,PATISS!$A$2:$B$14,2,FALSE)</f>
        <v>0</v>
      </c>
    </row>
    <row r="21" spans="1:16" ht="15.5" thickTop="1" thickBot="1" x14ac:dyDescent="0.4">
      <c r="A21" s="75">
        <f>GEN!B21</f>
        <v>0</v>
      </c>
      <c r="B21" s="329"/>
      <c r="C21" s="269">
        <f>VLOOKUP(GEN!I21,PATISS!$A$2:$B$14,2,FALSE)</f>
        <v>0</v>
      </c>
      <c r="D21" s="142">
        <f>VLOOKUP(GEN!L21,PATISS!$A$2:$B$14,2,FALSE)</f>
        <v>0</v>
      </c>
      <c r="E21" s="142">
        <f>VLOOKUP(GEN!O21,PATISS!$A$2:$B$14,2,FALSE)</f>
        <v>0</v>
      </c>
      <c r="F21" s="142">
        <f>VLOOKUP(GEN!R21,PATISS!$A$2:$B$14,2,FALSE)</f>
        <v>0</v>
      </c>
      <c r="G21" s="142">
        <f>VLOOKUP(GEN!U21,PATISS!$A$2:$B$14,2,FALSE)</f>
        <v>0</v>
      </c>
      <c r="H21" s="142">
        <f>VLOOKUP(GEN!X21,PATISS!$A$2:$B$14,2,FALSE)</f>
        <v>0</v>
      </c>
      <c r="I21" s="142">
        <f>VLOOKUP(GEN!AA21,PATISS!$A$2:$B$14,2,FALSE)</f>
        <v>0</v>
      </c>
      <c r="J21" s="142">
        <f>VLOOKUP(GEN!AD21,PATISS!$A$2:$B$14,2,FALSE)</f>
        <v>0</v>
      </c>
      <c r="K21" s="142">
        <f>VLOOKUP(GEN!AG21,PATISS!$A$2:$B$14,2,FALSE)</f>
        <v>0</v>
      </c>
      <c r="L21" s="142">
        <f>VLOOKUP(GEN!AJ21,PATISS!$A$2:$B$14,2,FALSE)</f>
        <v>1.1499999999999999</v>
      </c>
      <c r="M21" s="142">
        <f>VLOOKUP(GEN!AM21,PATISS!$A$2:$B$14,2,FALSE)</f>
        <v>0</v>
      </c>
      <c r="N21" s="142">
        <f>VLOOKUP(GEN!AP21,PATISS!$A$2:$B$14,2,FALSE)</f>
        <v>0</v>
      </c>
      <c r="O21" s="142">
        <f>VLOOKUP(GEN!AS21,PATISS!$A$2:$B$14,2,FALSE)</f>
        <v>0</v>
      </c>
      <c r="P21" s="142">
        <f>VLOOKUP(GEN!AV21,PATISS!$A$2:$B$14,2,FALSE)</f>
        <v>0</v>
      </c>
    </row>
    <row r="22" spans="1:16" ht="15.5" thickTop="1" thickBot="1" x14ac:dyDescent="0.4">
      <c r="A22" s="75">
        <f>GEN!B22</f>
        <v>0</v>
      </c>
      <c r="B22" s="329"/>
      <c r="C22" s="269">
        <f>VLOOKUP(GEN!I22,PATISS!$A$2:$B$14,2,FALSE)</f>
        <v>1.1499999999999999</v>
      </c>
      <c r="D22" s="142">
        <f>VLOOKUP(GEN!L22,PATISS!$A$2:$B$14,2,FALSE)</f>
        <v>0</v>
      </c>
      <c r="E22" s="142">
        <f>VLOOKUP(GEN!O22,PATISS!$A$2:$B$14,2,FALSE)</f>
        <v>1.1499999999999999</v>
      </c>
      <c r="F22" s="142">
        <f>VLOOKUP(GEN!R22,PATISS!$A$2:$B$14,2,FALSE)</f>
        <v>1.1499999999999999</v>
      </c>
      <c r="G22" s="142">
        <f>VLOOKUP(GEN!U22,PATISS!$A$2:$B$14,2,FALSE)</f>
        <v>0</v>
      </c>
      <c r="H22" s="142">
        <f>VLOOKUP(GEN!X22,PATISS!$A$2:$B$14,2,FALSE)</f>
        <v>1.25</v>
      </c>
      <c r="I22" s="142">
        <f>VLOOKUP(GEN!AA22,PATISS!$A$2:$B$14,2,FALSE)</f>
        <v>1.3</v>
      </c>
      <c r="J22" s="142">
        <f>VLOOKUP(GEN!AD22,PATISS!$A$2:$B$14,2,FALSE)</f>
        <v>1.3</v>
      </c>
      <c r="K22" s="142">
        <f>VLOOKUP(GEN!AG22,PATISS!$A$2:$B$14,2,FALSE)</f>
        <v>0</v>
      </c>
      <c r="L22" s="142">
        <f>VLOOKUP(GEN!AJ22,PATISS!$A$2:$B$14,2,FALSE)</f>
        <v>1.3</v>
      </c>
      <c r="M22" s="142">
        <f>VLOOKUP(GEN!AM22,PATISS!$A$2:$B$14,2,FALSE)</f>
        <v>0</v>
      </c>
      <c r="N22" s="142">
        <f>VLOOKUP(GEN!AP22,PATISS!$A$2:$B$14,2,FALSE)</f>
        <v>0</v>
      </c>
      <c r="O22" s="142">
        <f>VLOOKUP(GEN!AS22,PATISS!$A$2:$B$14,2,FALSE)</f>
        <v>0</v>
      </c>
      <c r="P22" s="142">
        <f>VLOOKUP(GEN!AV22,PATISS!$A$2:$B$14,2,FALSE)</f>
        <v>0</v>
      </c>
    </row>
    <row r="23" spans="1:16" ht="15.5" thickTop="1" thickBot="1" x14ac:dyDescent="0.4">
      <c r="A23" s="75">
        <f>GEN!B23</f>
        <v>0</v>
      </c>
      <c r="B23" s="329"/>
      <c r="C23" s="269">
        <f>VLOOKUP(GEN!I23,PATISS!$A$2:$B$14,2,FALSE)</f>
        <v>1.1499999999999999</v>
      </c>
      <c r="D23" s="142">
        <f>VLOOKUP(GEN!L23,PATISS!$A$2:$B$14,2,FALSE)</f>
        <v>0</v>
      </c>
      <c r="E23" s="142">
        <f>VLOOKUP(GEN!O23,PATISS!$A$2:$B$14,2,FALSE)</f>
        <v>1.1499999999999999</v>
      </c>
      <c r="F23" s="142">
        <f>VLOOKUP(GEN!R23,PATISS!$A$2:$B$14,2,FALSE)</f>
        <v>0</v>
      </c>
      <c r="G23" s="142">
        <f>VLOOKUP(GEN!U23,PATISS!$A$2:$B$14,2,FALSE)</f>
        <v>0</v>
      </c>
      <c r="H23" s="142">
        <f>VLOOKUP(GEN!X23,PATISS!$A$2:$B$14,2,FALSE)</f>
        <v>1.1499999999999999</v>
      </c>
      <c r="I23" s="142">
        <f>VLOOKUP(GEN!AA23,PATISS!$A$2:$B$14,2,FALSE)</f>
        <v>1.1499999999999999</v>
      </c>
      <c r="J23" s="142">
        <f>VLOOKUP(GEN!AD23,PATISS!$A$2:$B$14,2,FALSE)</f>
        <v>1.1499999999999999</v>
      </c>
      <c r="K23" s="142">
        <f>VLOOKUP(GEN!AG23,PATISS!$A$2:$B$14,2,FALSE)</f>
        <v>0</v>
      </c>
      <c r="L23" s="142">
        <f>VLOOKUP(GEN!AJ23,PATISS!$A$2:$B$14,2,FALSE)</f>
        <v>1.1499999999999999</v>
      </c>
      <c r="M23" s="142">
        <f>VLOOKUP(GEN!AM23,PATISS!$A$2:$B$14,2,FALSE)</f>
        <v>0</v>
      </c>
      <c r="N23" s="142">
        <f>VLOOKUP(GEN!AP23,PATISS!$A$2:$B$14,2,FALSE)</f>
        <v>0</v>
      </c>
      <c r="O23" s="142">
        <f>VLOOKUP(GEN!AS23,PATISS!$A$2:$B$14,2,FALSE)</f>
        <v>0</v>
      </c>
      <c r="P23" s="142">
        <f>VLOOKUP(GEN!AV23,PATISS!$A$2:$B$14,2,FALSE)</f>
        <v>0</v>
      </c>
    </row>
    <row r="24" spans="1:16" ht="15.5" thickTop="1" thickBot="1" x14ac:dyDescent="0.4">
      <c r="A24" s="75">
        <f>GEN!B24</f>
        <v>0</v>
      </c>
      <c r="B24" s="329"/>
      <c r="C24" s="269">
        <f>VLOOKUP(GEN!I24,PATISS!$A$2:$B$14,2,FALSE)</f>
        <v>1.1499999999999999</v>
      </c>
      <c r="D24" s="142">
        <f>VLOOKUP(GEN!L24,PATISS!$A$2:$B$14,2,FALSE)</f>
        <v>0</v>
      </c>
      <c r="E24" s="142">
        <f>VLOOKUP(GEN!O24,PATISS!$A$2:$B$14,2,FALSE)</f>
        <v>1.1499999999999999</v>
      </c>
      <c r="F24" s="142">
        <f>VLOOKUP(GEN!R24,PATISS!$A$2:$B$14,2,FALSE)</f>
        <v>1.1499999999999999</v>
      </c>
      <c r="G24" s="142">
        <f>VLOOKUP(GEN!U24,PATISS!$A$2:$B$14,2,FALSE)</f>
        <v>2.65</v>
      </c>
      <c r="H24" s="142">
        <f>VLOOKUP(GEN!X24,PATISS!$A$2:$B$14,2,FALSE)</f>
        <v>1.3</v>
      </c>
      <c r="I24" s="142">
        <f>VLOOKUP(GEN!AA24,PATISS!$A$2:$B$14,2,FALSE)</f>
        <v>1.3</v>
      </c>
      <c r="J24" s="142">
        <f>VLOOKUP(GEN!AD24,PATISS!$A$2:$B$14,2,FALSE)</f>
        <v>2.65</v>
      </c>
      <c r="K24" s="142">
        <f>VLOOKUP(GEN!AG24,PATISS!$A$2:$B$14,2,FALSE)</f>
        <v>0</v>
      </c>
      <c r="L24" s="142">
        <f>VLOOKUP(GEN!AJ24,PATISS!$A$2:$B$14,2,FALSE)</f>
        <v>1.25</v>
      </c>
      <c r="M24" s="142">
        <f>VLOOKUP(GEN!AM24,PATISS!$A$2:$B$14,2,FALSE)</f>
        <v>0</v>
      </c>
      <c r="N24" s="142">
        <f>VLOOKUP(GEN!AP24,PATISS!$A$2:$B$14,2,FALSE)</f>
        <v>0</v>
      </c>
      <c r="O24" s="142">
        <f>VLOOKUP(GEN!AS24,PATISS!$A$2:$B$14,2,FALSE)</f>
        <v>0</v>
      </c>
      <c r="P24" s="142">
        <f>VLOOKUP(GEN!AV24,PATISS!$A$2:$B$14,2,FALSE)</f>
        <v>0</v>
      </c>
    </row>
    <row r="25" spans="1:16" ht="15.5" thickTop="1" thickBot="1" x14ac:dyDescent="0.4">
      <c r="A25" s="75">
        <f>GEN!B25</f>
        <v>0</v>
      </c>
      <c r="B25" s="329"/>
      <c r="C25" s="269">
        <f>VLOOKUP(GEN!I25,PATISS!$A$2:$B$14,2,FALSE)</f>
        <v>1.05</v>
      </c>
      <c r="D25" s="142">
        <f>VLOOKUP(GEN!L25,PATISS!$A$2:$B$14,2,FALSE)</f>
        <v>0</v>
      </c>
      <c r="E25" s="142">
        <f>VLOOKUP(GEN!O25,PATISS!$A$2:$B$14,2,FALSE)</f>
        <v>1.1499999999999999</v>
      </c>
      <c r="F25" s="142">
        <f>VLOOKUP(GEN!R25,PATISS!$A$2:$B$14,2,FALSE)</f>
        <v>1.1499999999999999</v>
      </c>
      <c r="G25" s="142">
        <f>VLOOKUP(GEN!U25,PATISS!$A$2:$B$14,2,FALSE)</f>
        <v>0</v>
      </c>
      <c r="H25" s="142">
        <f>VLOOKUP(GEN!X25,PATISS!$A$2:$B$14,2,FALSE)</f>
        <v>1.05</v>
      </c>
      <c r="I25" s="142">
        <f>VLOOKUP(GEN!AA25,PATISS!$A$2:$B$14,2,FALSE)</f>
        <v>1.1499999999999999</v>
      </c>
      <c r="J25" s="142">
        <f>VLOOKUP(GEN!AD25,PATISS!$A$2:$B$14,2,FALSE)</f>
        <v>1.05</v>
      </c>
      <c r="K25" s="142">
        <f>VLOOKUP(GEN!AG25,PATISS!$A$2:$B$14,2,FALSE)</f>
        <v>0</v>
      </c>
      <c r="L25" s="142">
        <f>VLOOKUP(GEN!AJ25,PATISS!$A$2:$B$14,2,FALSE)</f>
        <v>1.1499999999999999</v>
      </c>
      <c r="M25" s="142">
        <f>VLOOKUP(GEN!AM25,PATISS!$A$2:$B$14,2,FALSE)</f>
        <v>0</v>
      </c>
      <c r="N25" s="142">
        <f>VLOOKUP(GEN!AP25,PATISS!$A$2:$B$14,2,FALSE)</f>
        <v>0</v>
      </c>
      <c r="O25" s="142">
        <f>VLOOKUP(GEN!AS25,PATISS!$A$2:$B$14,2,FALSE)</f>
        <v>0</v>
      </c>
      <c r="P25" s="142">
        <f>VLOOKUP(GEN!AV25,PATISS!$A$2:$B$14,2,FALSE)</f>
        <v>0</v>
      </c>
    </row>
    <row r="26" spans="1:16" ht="15.5" thickTop="1" thickBot="1" x14ac:dyDescent="0.4">
      <c r="A26" s="75">
        <f>GEN!B26</f>
        <v>0</v>
      </c>
      <c r="B26" s="329"/>
      <c r="C26" s="269">
        <f>VLOOKUP(GEN!I26,PATISS!$A$2:$B$14,2,FALSE)</f>
        <v>0</v>
      </c>
      <c r="D26" s="142">
        <f>VLOOKUP(GEN!L26,PATISS!$A$2:$B$14,2,FALSE)</f>
        <v>0</v>
      </c>
      <c r="E26" s="142">
        <f>VLOOKUP(GEN!O26,PATISS!$A$2:$B$14,2,FALSE)</f>
        <v>0</v>
      </c>
      <c r="F26" s="142">
        <f>VLOOKUP(GEN!R26,PATISS!$A$2:$B$14,2,FALSE)</f>
        <v>1.05</v>
      </c>
      <c r="G26" s="142">
        <f>VLOOKUP(GEN!U26,PATISS!$A$2:$B$14,2,FALSE)</f>
        <v>0</v>
      </c>
      <c r="H26" s="142">
        <f>VLOOKUP(GEN!X26,PATISS!$A$2:$B$14,2,FALSE)</f>
        <v>1.05</v>
      </c>
      <c r="I26" s="142">
        <f>VLOOKUP(GEN!AA26,PATISS!$A$2:$B$14,2,FALSE)</f>
        <v>1.05</v>
      </c>
      <c r="J26" s="142">
        <f>VLOOKUP(GEN!AD26,PATISS!$A$2:$B$14,2,FALSE)</f>
        <v>1.05</v>
      </c>
      <c r="K26" s="142">
        <f>VLOOKUP(GEN!AG26,PATISS!$A$2:$B$14,2,FALSE)</f>
        <v>0</v>
      </c>
      <c r="L26" s="142">
        <f>VLOOKUP(GEN!AJ26,PATISS!$A$2:$B$14,2,FALSE)</f>
        <v>1.05</v>
      </c>
      <c r="M26" s="142">
        <f>VLOOKUP(GEN!AM26,PATISS!$A$2:$B$14,2,FALSE)</f>
        <v>0</v>
      </c>
      <c r="N26" s="142">
        <f>VLOOKUP(GEN!AP26,PATISS!$A$2:$B$14,2,FALSE)</f>
        <v>0</v>
      </c>
      <c r="O26" s="142">
        <f>VLOOKUP(GEN!AS26,PATISS!$A$2:$B$14,2,FALSE)</f>
        <v>0</v>
      </c>
      <c r="P26" s="142">
        <f>VLOOKUP(GEN!AV26,PATISS!$A$2:$B$14,2,FALSE)</f>
        <v>0</v>
      </c>
    </row>
    <row r="27" spans="1:16" ht="15.5" thickTop="1" thickBot="1" x14ac:dyDescent="0.4">
      <c r="A27" s="75">
        <f>GEN!B27</f>
        <v>0</v>
      </c>
      <c r="B27" s="329"/>
      <c r="C27" s="269">
        <f>VLOOKUP(GEN!I27,PATISS!$A$2:$B$14,2,FALSE)</f>
        <v>0</v>
      </c>
      <c r="D27" s="142">
        <f>VLOOKUP(GEN!L27,PATISS!$A$2:$B$14,2,FALSE)</f>
        <v>0</v>
      </c>
      <c r="E27" s="142">
        <f>VLOOKUP(GEN!O27,PATISS!$A$2:$B$14,2,FALSE)</f>
        <v>0</v>
      </c>
      <c r="F27" s="142">
        <f>VLOOKUP(GEN!R27,PATISS!$A$2:$B$14,2,FALSE)</f>
        <v>1.1499999999999999</v>
      </c>
      <c r="G27" s="142">
        <f>VLOOKUP(GEN!U27,PATISS!$A$2:$B$14,2,FALSE)</f>
        <v>0</v>
      </c>
      <c r="H27" s="142">
        <f>VLOOKUP(GEN!X27,PATISS!$A$2:$B$14,2,FALSE)</f>
        <v>1.3</v>
      </c>
      <c r="I27" s="142">
        <f>VLOOKUP(GEN!AA27,PATISS!$A$2:$B$14,2,FALSE)</f>
        <v>1.3</v>
      </c>
      <c r="J27" s="142">
        <f>VLOOKUP(GEN!AD27,PATISS!$A$2:$B$14,2,FALSE)</f>
        <v>1.3</v>
      </c>
      <c r="K27" s="142">
        <f>VLOOKUP(GEN!AG27,PATISS!$A$2:$B$14,2,FALSE)</f>
        <v>0</v>
      </c>
      <c r="L27" s="142">
        <f>VLOOKUP(GEN!AJ27,PATISS!$A$2:$B$14,2,FALSE)</f>
        <v>1.3</v>
      </c>
      <c r="M27" s="142">
        <f>VLOOKUP(GEN!AM27,PATISS!$A$2:$B$14,2,FALSE)</f>
        <v>0</v>
      </c>
      <c r="N27" s="142">
        <f>VLOOKUP(GEN!AP27,PATISS!$A$2:$B$14,2,FALSE)</f>
        <v>0</v>
      </c>
      <c r="O27" s="142">
        <f>VLOOKUP(GEN!AS27,PATISS!$A$2:$B$14,2,FALSE)</f>
        <v>0</v>
      </c>
      <c r="P27" s="142">
        <f>VLOOKUP(GEN!AV27,PATISS!$A$2:$B$14,2,FALSE)</f>
        <v>0</v>
      </c>
    </row>
    <row r="28" spans="1:16" ht="15.5" thickTop="1" thickBot="1" x14ac:dyDescent="0.4">
      <c r="A28" s="75">
        <f>GEN!B28</f>
        <v>0</v>
      </c>
      <c r="B28" s="329"/>
      <c r="C28" s="269">
        <f>VLOOKUP(GEN!I28,PATISS!$A$2:$B$14,2,FALSE)</f>
        <v>0</v>
      </c>
      <c r="D28" s="142">
        <f>VLOOKUP(GEN!L28,PATISS!$A$2:$B$14,2,FALSE)</f>
        <v>0</v>
      </c>
      <c r="E28" s="142">
        <f>VLOOKUP(GEN!O28,PATISS!$A$2:$B$14,2,FALSE)</f>
        <v>0</v>
      </c>
      <c r="F28" s="142">
        <f>VLOOKUP(GEN!R28,PATISS!$A$2:$B$14,2,FALSE)</f>
        <v>0</v>
      </c>
      <c r="G28" s="142">
        <f>VLOOKUP(GEN!U28,PATISS!$A$2:$B$14,2,FALSE)</f>
        <v>0</v>
      </c>
      <c r="H28" s="142">
        <f>VLOOKUP(GEN!X28,PATISS!$A$2:$B$14,2,FALSE)</f>
        <v>0</v>
      </c>
      <c r="I28" s="142">
        <f>VLOOKUP(GEN!AA28,PATISS!$A$2:$B$14,2,FALSE)</f>
        <v>0</v>
      </c>
      <c r="J28" s="142">
        <f>VLOOKUP(GEN!AD28,PATISS!$A$2:$B$14,2,FALSE)</f>
        <v>0</v>
      </c>
      <c r="K28" s="142">
        <f>VLOOKUP(GEN!AG28,PATISS!$A$2:$B$14,2,FALSE)</f>
        <v>0</v>
      </c>
      <c r="L28" s="142">
        <f>VLOOKUP(GEN!AJ28,PATISS!$A$2:$B$14,2,FALSE)</f>
        <v>0</v>
      </c>
      <c r="M28" s="142">
        <f>VLOOKUP(GEN!AM28,PATISS!$A$2:$B$14,2,FALSE)</f>
        <v>0</v>
      </c>
      <c r="N28" s="142">
        <f>VLOOKUP(GEN!AP28,PATISS!$A$2:$B$14,2,FALSE)</f>
        <v>0</v>
      </c>
      <c r="O28" s="142">
        <f>VLOOKUP(GEN!AS28,PATISS!$A$2:$B$14,2,FALSE)</f>
        <v>0</v>
      </c>
      <c r="P28" s="142">
        <f>VLOOKUP(GEN!AV28,PATISS!$A$2:$B$14,2,FALSE)</f>
        <v>0</v>
      </c>
    </row>
    <row r="29" spans="1:16" ht="15.5" thickTop="1" thickBot="1" x14ac:dyDescent="0.4">
      <c r="A29" s="75">
        <f>GEN!B29</f>
        <v>0</v>
      </c>
      <c r="B29" s="329"/>
      <c r="C29" s="269">
        <f>VLOOKUP(GEN!I29,PATISS!$A$2:$B$14,2,FALSE)</f>
        <v>0</v>
      </c>
      <c r="D29" s="142">
        <f>VLOOKUP(GEN!L29,PATISS!$A$2:$B$14,2,FALSE)</f>
        <v>0</v>
      </c>
      <c r="E29" s="142">
        <f>VLOOKUP(GEN!O29,PATISS!$A$2:$B$14,2,FALSE)</f>
        <v>0</v>
      </c>
      <c r="F29" s="142">
        <f>VLOOKUP(GEN!R29,PATISS!$A$2:$B$14,2,FALSE)</f>
        <v>0</v>
      </c>
      <c r="G29" s="142">
        <f>VLOOKUP(GEN!U29,PATISS!$A$2:$B$14,2,FALSE)</f>
        <v>0</v>
      </c>
      <c r="H29" s="142">
        <f>VLOOKUP(GEN!X29,PATISS!$A$2:$B$14,2,FALSE)</f>
        <v>0</v>
      </c>
      <c r="I29" s="142">
        <f>VLOOKUP(GEN!AA29,PATISS!$A$2:$B$14,2,FALSE)</f>
        <v>0</v>
      </c>
      <c r="J29" s="142">
        <f>VLOOKUP(GEN!AD29,PATISS!$A$2:$B$14,2,FALSE)</f>
        <v>0</v>
      </c>
      <c r="K29" s="142">
        <f>VLOOKUP(GEN!AG29,PATISS!$A$2:$B$14,2,FALSE)</f>
        <v>0</v>
      </c>
      <c r="L29" s="142">
        <f>VLOOKUP(GEN!AJ29,PATISS!$A$2:$B$14,2,FALSE)</f>
        <v>0</v>
      </c>
      <c r="M29" s="142">
        <f>VLOOKUP(GEN!AM29,PATISS!$A$2:$B$14,2,FALSE)</f>
        <v>0</v>
      </c>
      <c r="N29" s="142">
        <f>VLOOKUP(GEN!AP29,PATISS!$A$2:$B$14,2,FALSE)</f>
        <v>0</v>
      </c>
      <c r="O29" s="142">
        <f>VLOOKUP(GEN!AS29,PATISS!$A$2:$B$14,2,FALSE)</f>
        <v>0</v>
      </c>
      <c r="P29" s="142">
        <f>VLOOKUP(GEN!AV29,PATISS!$A$2:$B$14,2,FALSE)</f>
        <v>0</v>
      </c>
    </row>
    <row r="30" spans="1:16" ht="15.5" thickTop="1" thickBot="1" x14ac:dyDescent="0.4">
      <c r="A30" s="75">
        <f>GEN!B30</f>
        <v>0</v>
      </c>
      <c r="B30" s="329"/>
      <c r="C30" s="269">
        <f>VLOOKUP(GEN!I30,PATISS!$A$2:$B$14,2,FALSE)</f>
        <v>0</v>
      </c>
      <c r="D30" s="142">
        <f>VLOOKUP(GEN!L30,PATISS!$A$2:$B$14,2,FALSE)</f>
        <v>0</v>
      </c>
      <c r="E30" s="142">
        <f>VLOOKUP(GEN!O30,PATISS!$A$2:$B$14,2,FALSE)</f>
        <v>0</v>
      </c>
      <c r="F30" s="142">
        <f>VLOOKUP(GEN!R30,PATISS!$A$2:$B$14,2,FALSE)</f>
        <v>0</v>
      </c>
      <c r="G30" s="142">
        <f>VLOOKUP(GEN!U30,PATISS!$A$2:$B$14,2,FALSE)</f>
        <v>0</v>
      </c>
      <c r="H30" s="142">
        <f>VLOOKUP(GEN!X30,PATISS!$A$2:$B$14,2,FALSE)</f>
        <v>0</v>
      </c>
      <c r="I30" s="142">
        <f>VLOOKUP(GEN!AA30,PATISS!$A$2:$B$14,2,FALSE)</f>
        <v>0</v>
      </c>
      <c r="J30" s="142">
        <f>VLOOKUP(GEN!AD30,PATISS!$A$2:$B$14,2,FALSE)</f>
        <v>0</v>
      </c>
      <c r="K30" s="142">
        <f>VLOOKUP(GEN!AG30,PATISS!$A$2:$B$14,2,FALSE)</f>
        <v>0</v>
      </c>
      <c r="L30" s="142">
        <f>VLOOKUP(GEN!AJ30,PATISS!$A$2:$B$14,2,FALSE)</f>
        <v>0</v>
      </c>
      <c r="M30" s="142">
        <f>VLOOKUP(GEN!AM30,PATISS!$A$2:$B$14,2,FALSE)</f>
        <v>0</v>
      </c>
      <c r="N30" s="142">
        <f>VLOOKUP(GEN!AP30,PATISS!$A$2:$B$14,2,FALSE)</f>
        <v>0</v>
      </c>
      <c r="O30" s="142">
        <f>VLOOKUP(GEN!AS30,PATISS!$A$2:$B$14,2,FALSE)</f>
        <v>0</v>
      </c>
      <c r="P30" s="142">
        <f>VLOOKUP(GEN!AV30,PATISS!$A$2:$B$14,2,FALSE)</f>
        <v>0</v>
      </c>
    </row>
    <row r="31" spans="1:16" ht="15.5" thickTop="1" thickBot="1" x14ac:dyDescent="0.4">
      <c r="A31" s="75">
        <f>GEN!B31</f>
        <v>0</v>
      </c>
      <c r="B31" s="329"/>
      <c r="C31" s="269">
        <f>VLOOKUP(GEN!I31,PATISS!$A$2:$B$14,2,FALSE)</f>
        <v>0</v>
      </c>
      <c r="D31" s="142">
        <f>VLOOKUP(GEN!L31,PATISS!$A$2:$B$14,2,FALSE)</f>
        <v>0</v>
      </c>
      <c r="E31" s="142">
        <f>VLOOKUP(GEN!O31,PATISS!$A$2:$B$14,2,FALSE)</f>
        <v>0</v>
      </c>
      <c r="F31" s="142">
        <f>VLOOKUP(GEN!R31,PATISS!$A$2:$B$14,2,FALSE)</f>
        <v>0</v>
      </c>
      <c r="G31" s="142">
        <f>VLOOKUP(GEN!U31,PATISS!$A$2:$B$14,2,FALSE)</f>
        <v>0</v>
      </c>
      <c r="H31" s="142">
        <f>VLOOKUP(GEN!X31,PATISS!$A$2:$B$14,2,FALSE)</f>
        <v>0</v>
      </c>
      <c r="I31" s="142">
        <f>VLOOKUP(GEN!AA31,PATISS!$A$2:$B$14,2,FALSE)</f>
        <v>0</v>
      </c>
      <c r="J31" s="142">
        <f>VLOOKUP(GEN!AD31,PATISS!$A$2:$B$14,2,FALSE)</f>
        <v>0</v>
      </c>
      <c r="K31" s="142">
        <f>VLOOKUP(GEN!AG31,PATISS!$A$2:$B$14,2,FALSE)</f>
        <v>0</v>
      </c>
      <c r="L31" s="142">
        <f>VLOOKUP(GEN!AJ31,PATISS!$A$2:$B$14,2,FALSE)</f>
        <v>0</v>
      </c>
      <c r="M31" s="142">
        <f>VLOOKUP(GEN!AM31,PATISS!$A$2:$B$14,2,FALSE)</f>
        <v>0</v>
      </c>
      <c r="N31" s="142">
        <f>VLOOKUP(GEN!AP31,PATISS!$A$2:$B$14,2,FALSE)</f>
        <v>0</v>
      </c>
      <c r="O31" s="142">
        <f>VLOOKUP(GEN!AS31,PATISS!$A$2:$B$14,2,FALSE)</f>
        <v>0</v>
      </c>
      <c r="P31" s="142">
        <f>VLOOKUP(GEN!AV31,PATISS!$A$2:$B$14,2,FALSE)</f>
        <v>0</v>
      </c>
    </row>
    <row r="32" spans="1:16" ht="15.5" thickTop="1" thickBot="1" x14ac:dyDescent="0.4">
      <c r="A32" s="75" t="str">
        <f>GEN!B32</f>
        <v>ZZ</v>
      </c>
      <c r="B32" s="330"/>
      <c r="C32" s="269">
        <f>VLOOKUP(GEN!I32,PATISS!$A$2:$B$14,2,FALSE)</f>
        <v>0</v>
      </c>
      <c r="D32" s="142">
        <f>VLOOKUP(GEN!L32,PATISS!$A$2:$B$14,2,FALSE)</f>
        <v>0</v>
      </c>
      <c r="E32" s="142">
        <f>VLOOKUP(GEN!O32,PATISS!$A$2:$B$14,2,FALSE)</f>
        <v>0</v>
      </c>
      <c r="F32" s="142">
        <f>VLOOKUP(GEN!R32,PATISS!$A$2:$B$14,2,FALSE)</f>
        <v>0</v>
      </c>
      <c r="G32" s="142">
        <f>VLOOKUP(GEN!U32,PATISS!$A$2:$B$14,2,FALSE)</f>
        <v>0</v>
      </c>
      <c r="H32" s="142">
        <f>VLOOKUP(GEN!X32,PATISS!$A$2:$B$14,2,FALSE)</f>
        <v>0</v>
      </c>
      <c r="I32" s="142">
        <f>VLOOKUP(GEN!AA32,PATISS!$A$2:$B$14,2,FALSE)</f>
        <v>0</v>
      </c>
      <c r="J32" s="142">
        <f>VLOOKUP(GEN!AD32,PATISS!$A$2:$B$14,2,FALSE)</f>
        <v>0</v>
      </c>
      <c r="K32" s="142">
        <f>VLOOKUP(GEN!AG32,PATISS!$A$2:$B$14,2,FALSE)</f>
        <v>0</v>
      </c>
      <c r="L32" s="142">
        <f>VLOOKUP(GEN!AJ32,PATISS!$A$2:$B$14,2,FALSE)</f>
        <v>0</v>
      </c>
      <c r="M32" s="142">
        <f>VLOOKUP(GEN!AM32,PATISS!$A$2:$B$14,2,FALSE)</f>
        <v>0</v>
      </c>
      <c r="N32" s="142">
        <f>VLOOKUP(GEN!AP32,PATISS!$A$2:$B$14,2,FALSE)</f>
        <v>0</v>
      </c>
      <c r="O32" s="142">
        <f>VLOOKUP(GEN!AS32,PATISS!$A$2:$B$14,2,FALSE)</f>
        <v>0</v>
      </c>
      <c r="P32" s="142">
        <f>VLOOKUP(GEN!AV32,PATISS!$A$2:$B$14,2,FALSE)</f>
        <v>0</v>
      </c>
    </row>
    <row r="33" spans="1:16" s="68" customFormat="1" ht="16.5" thickTop="1" thickBot="1" x14ac:dyDescent="0.4">
      <c r="A33" s="66"/>
      <c r="B33" s="137"/>
      <c r="C33" s="172">
        <f t="shared" ref="C33:I33" si="1">SUM(C4:C32)</f>
        <v>17.800000000000004</v>
      </c>
      <c r="D33" s="172">
        <f t="shared" si="1"/>
        <v>0</v>
      </c>
      <c r="E33" s="172">
        <f t="shared" si="1"/>
        <v>17.900000000000002</v>
      </c>
      <c r="F33" s="172">
        <f t="shared" si="1"/>
        <v>20.000000000000004</v>
      </c>
      <c r="G33" s="172">
        <f t="shared" si="1"/>
        <v>11.900000000000002</v>
      </c>
      <c r="H33" s="172">
        <f t="shared" si="1"/>
        <v>23.25</v>
      </c>
      <c r="I33" s="172">
        <f t="shared" si="1"/>
        <v>18.100000000000005</v>
      </c>
      <c r="J33" s="172">
        <f t="shared" ref="J33:P33" si="2">SUM(J4:J32)</f>
        <v>19.600000000000005</v>
      </c>
      <c r="K33" s="172">
        <f t="shared" si="2"/>
        <v>0</v>
      </c>
      <c r="L33" s="172">
        <f t="shared" si="2"/>
        <v>19.5</v>
      </c>
      <c r="M33" s="172">
        <f t="shared" si="2"/>
        <v>0</v>
      </c>
      <c r="N33" s="172">
        <f t="shared" si="2"/>
        <v>0</v>
      </c>
      <c r="O33" s="172">
        <f t="shared" si="2"/>
        <v>0</v>
      </c>
      <c r="P33" s="172">
        <f t="shared" si="2"/>
        <v>0</v>
      </c>
    </row>
    <row r="34" spans="1:16" ht="15.75" customHeight="1" x14ac:dyDescent="0.35">
      <c r="A34" s="112"/>
      <c r="C34" s="105">
        <f t="shared" ref="C34:H34" si="3">C33-C35</f>
        <v>1.7800000000000011</v>
      </c>
      <c r="D34" s="105">
        <f t="shared" si="3"/>
        <v>0</v>
      </c>
      <c r="E34" s="105">
        <f t="shared" si="3"/>
        <v>1.7899999999999991</v>
      </c>
      <c r="F34" s="105">
        <f t="shared" si="3"/>
        <v>2</v>
      </c>
      <c r="G34" s="105">
        <f t="shared" si="3"/>
        <v>1.1900000000000013</v>
      </c>
      <c r="H34" s="105">
        <f t="shared" si="3"/>
        <v>2.3249999999999993</v>
      </c>
      <c r="I34" s="105">
        <f t="shared" ref="I34:P34" si="4">I33-I35</f>
        <v>1.8099999999999987</v>
      </c>
      <c r="J34" s="105">
        <f t="shared" si="4"/>
        <v>1.9600000000000009</v>
      </c>
      <c r="K34" s="105">
        <f t="shared" si="4"/>
        <v>0</v>
      </c>
      <c r="L34" s="105">
        <f t="shared" si="4"/>
        <v>1.9499999999999993</v>
      </c>
      <c r="M34" s="105">
        <f t="shared" si="4"/>
        <v>0</v>
      </c>
      <c r="N34" s="105">
        <f t="shared" si="4"/>
        <v>0</v>
      </c>
      <c r="O34" s="105">
        <f t="shared" si="4"/>
        <v>0</v>
      </c>
      <c r="P34" s="105">
        <f t="shared" si="4"/>
        <v>0</v>
      </c>
    </row>
    <row r="35" spans="1:16" ht="15.75" customHeight="1" x14ac:dyDescent="0.35">
      <c r="A35" s="112"/>
      <c r="C35" s="106">
        <f t="shared" ref="C35:H35" si="5">C33-C33*10/100</f>
        <v>16.020000000000003</v>
      </c>
      <c r="D35" s="106">
        <f t="shared" si="5"/>
        <v>0</v>
      </c>
      <c r="E35" s="106">
        <f t="shared" si="5"/>
        <v>16.110000000000003</v>
      </c>
      <c r="F35" s="106">
        <f t="shared" si="5"/>
        <v>18.000000000000004</v>
      </c>
      <c r="G35" s="106">
        <f t="shared" si="5"/>
        <v>10.71</v>
      </c>
      <c r="H35" s="106">
        <f t="shared" si="5"/>
        <v>20.925000000000001</v>
      </c>
      <c r="I35" s="106">
        <f t="shared" ref="I35:P35" si="6">I33-I33*10/100</f>
        <v>16.290000000000006</v>
      </c>
      <c r="J35" s="106">
        <f t="shared" si="6"/>
        <v>17.640000000000004</v>
      </c>
      <c r="K35" s="106">
        <f t="shared" si="6"/>
        <v>0</v>
      </c>
      <c r="L35" s="106">
        <f t="shared" si="6"/>
        <v>17.55</v>
      </c>
      <c r="M35" s="106">
        <f t="shared" si="6"/>
        <v>0</v>
      </c>
      <c r="N35" s="106">
        <f t="shared" si="6"/>
        <v>0</v>
      </c>
      <c r="O35" s="106">
        <f t="shared" si="6"/>
        <v>0</v>
      </c>
      <c r="P35" s="106">
        <f t="shared" si="6"/>
        <v>0</v>
      </c>
    </row>
    <row r="36" spans="1:16" ht="18.5" x14ac:dyDescent="0.45">
      <c r="A36" s="68"/>
      <c r="C36" s="210">
        <f>+C37-C35</f>
        <v>272.38</v>
      </c>
      <c r="D36" s="210">
        <f t="shared" ref="D36:P36" si="7">+C36-D35</f>
        <v>272.38</v>
      </c>
      <c r="E36" s="210">
        <f t="shared" si="7"/>
        <v>256.27</v>
      </c>
      <c r="F36" s="210">
        <f t="shared" si="7"/>
        <v>238.26999999999998</v>
      </c>
      <c r="G36" s="210">
        <f t="shared" si="7"/>
        <v>227.55999999999997</v>
      </c>
      <c r="H36" s="210">
        <f t="shared" si="7"/>
        <v>206.63499999999996</v>
      </c>
      <c r="I36" s="210">
        <f t="shared" si="7"/>
        <v>190.34499999999997</v>
      </c>
      <c r="J36" s="210">
        <f t="shared" si="7"/>
        <v>172.70499999999996</v>
      </c>
      <c r="K36" s="210">
        <f t="shared" si="7"/>
        <v>172.70499999999996</v>
      </c>
      <c r="L36" s="210">
        <f t="shared" si="7"/>
        <v>155.15499999999994</v>
      </c>
      <c r="M36" s="210">
        <f t="shared" si="7"/>
        <v>155.15499999999994</v>
      </c>
      <c r="N36" s="210">
        <f t="shared" si="7"/>
        <v>155.15499999999994</v>
      </c>
      <c r="O36" s="210">
        <f t="shared" si="7"/>
        <v>155.15499999999994</v>
      </c>
      <c r="P36" s="210">
        <f t="shared" si="7"/>
        <v>155.15499999999994</v>
      </c>
    </row>
    <row r="37" spans="1:16" ht="23.5" x14ac:dyDescent="0.55000000000000004">
      <c r="A37" s="68"/>
      <c r="C37" s="209">
        <f>GEN!F35+33.4</f>
        <v>288.39999999999998</v>
      </c>
      <c r="D37" s="8"/>
      <c r="E37" s="8"/>
    </row>
    <row r="38" spans="1:16" x14ac:dyDescent="0.35">
      <c r="A38" s="68"/>
    </row>
    <row r="39" spans="1:16" x14ac:dyDescent="0.35">
      <c r="A39" s="68"/>
    </row>
    <row r="40" spans="1:16" ht="15" customHeight="1" x14ac:dyDescent="0.35">
      <c r="A40" s="68"/>
    </row>
    <row r="41" spans="1:16" x14ac:dyDescent="0.35">
      <c r="A41" s="68"/>
    </row>
    <row r="42" spans="1:16" ht="15" customHeight="1" x14ac:dyDescent="0.35">
      <c r="A42" s="68"/>
    </row>
    <row r="43" spans="1:16" x14ac:dyDescent="0.35">
      <c r="A43" s="68"/>
    </row>
    <row r="44" spans="1:16" x14ac:dyDescent="0.35">
      <c r="A44" s="68"/>
    </row>
    <row r="45" spans="1:16" x14ac:dyDescent="0.35">
      <c r="A45" s="68"/>
    </row>
  </sheetData>
  <protectedRanges>
    <protectedRange password="C724" sqref="C37 C34:P36" name="Plage1_1"/>
  </protectedRanges>
  <mergeCells count="1">
    <mergeCell ref="B4:B32"/>
  </mergeCells>
  <conditionalFormatting sqref="A4:A32">
    <cfRule type="expression" dxfId="87" priority="179">
      <formula>#REF!="n/p"</formula>
    </cfRule>
  </conditionalFormatting>
  <conditionalFormatting sqref="A4:A32">
    <cfRule type="expression" dxfId="86" priority="181">
      <formula>#REF!="n/c"</formula>
    </cfRule>
  </conditionalFormatting>
  <pageMargins left="0.7" right="0.7" top="0.75" bottom="0.75" header="0.3" footer="0.3"/>
  <pageSetup paperSize="9" scale="10" fitToHeight="0" orientation="portrait" r:id="rId1"/>
  <ignoredErrors>
    <ignoredError sqref="A4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50"/>
  <sheetViews>
    <sheetView workbookViewId="0">
      <selection activeCell="A3" sqref="A3"/>
    </sheetView>
  </sheetViews>
  <sheetFormatPr baseColWidth="10" defaultColWidth="9.1796875" defaultRowHeight="14.5" x14ac:dyDescent="0.35"/>
  <cols>
    <col min="1" max="1" width="27.26953125" bestFit="1" customWidth="1"/>
    <col min="2" max="2" width="13.453125" bestFit="1" customWidth="1"/>
    <col min="3" max="3" width="14.54296875" bestFit="1" customWidth="1"/>
    <col min="4" max="6" width="11.453125" customWidth="1"/>
    <col min="7" max="7" width="11.453125" style="7" customWidth="1"/>
    <col min="8" max="256" width="11.453125" customWidth="1"/>
  </cols>
  <sheetData>
    <row r="1" spans="1:7" s="136" customFormat="1" x14ac:dyDescent="0.35">
      <c r="A1" s="136" t="s">
        <v>59</v>
      </c>
      <c r="G1" s="7"/>
    </row>
    <row r="2" spans="1:7" x14ac:dyDescent="0.35">
      <c r="A2" s="145" t="s">
        <v>2</v>
      </c>
      <c r="B2" s="143">
        <v>2.65</v>
      </c>
      <c r="C2" s="144" t="s">
        <v>7</v>
      </c>
      <c r="D2" s="144">
        <v>2.65</v>
      </c>
      <c r="F2" t="s">
        <v>47</v>
      </c>
      <c r="G2" s="7">
        <v>0</v>
      </c>
    </row>
    <row r="3" spans="1:7" x14ac:dyDescent="0.35">
      <c r="A3" s="145" t="s">
        <v>66</v>
      </c>
      <c r="B3" s="143">
        <v>2.65</v>
      </c>
      <c r="C3" s="136"/>
      <c r="D3" s="136"/>
      <c r="G3" s="7">
        <f>G2+0.25</f>
        <v>0.25</v>
      </c>
    </row>
    <row r="4" spans="1:7" x14ac:dyDescent="0.35">
      <c r="A4" s="145" t="s">
        <v>65</v>
      </c>
      <c r="B4" s="143">
        <v>1.1499999999999999</v>
      </c>
      <c r="C4" s="144" t="s">
        <v>1</v>
      </c>
      <c r="D4" s="144">
        <v>1.1499999999999999</v>
      </c>
      <c r="G4" s="7">
        <f t="shared" ref="G4:G42" si="0">G3+0.25</f>
        <v>0.5</v>
      </c>
    </row>
    <row r="5" spans="1:7" s="136" customFormat="1" x14ac:dyDescent="0.35">
      <c r="A5" s="145" t="s">
        <v>64</v>
      </c>
      <c r="B5" s="143">
        <v>1.25</v>
      </c>
      <c r="G5" s="7">
        <f t="shared" si="0"/>
        <v>0.75</v>
      </c>
    </row>
    <row r="6" spans="1:7" s="136" customFormat="1" x14ac:dyDescent="0.35">
      <c r="A6" s="145" t="s">
        <v>60</v>
      </c>
      <c r="B6" s="143">
        <v>1.05</v>
      </c>
      <c r="C6" s="144" t="s">
        <v>4</v>
      </c>
      <c r="D6" s="144">
        <v>1.05</v>
      </c>
      <c r="G6" s="7">
        <f t="shared" si="0"/>
        <v>1</v>
      </c>
    </row>
    <row r="7" spans="1:7" s="136" customFormat="1" x14ac:dyDescent="0.35">
      <c r="A7" s="145" t="s">
        <v>61</v>
      </c>
      <c r="B7" s="143">
        <v>1.3</v>
      </c>
      <c r="G7" s="7">
        <f t="shared" si="0"/>
        <v>1.25</v>
      </c>
    </row>
    <row r="8" spans="1:7" s="136" customFormat="1" x14ac:dyDescent="0.35">
      <c r="A8" s="145" t="s">
        <v>62</v>
      </c>
      <c r="B8" s="143">
        <v>1.3</v>
      </c>
      <c r="G8" s="7">
        <f t="shared" si="0"/>
        <v>1.5</v>
      </c>
    </row>
    <row r="9" spans="1:7" s="136" customFormat="1" x14ac:dyDescent="0.35">
      <c r="A9" s="145" t="s">
        <v>67</v>
      </c>
      <c r="B9" s="143">
        <v>1.25</v>
      </c>
      <c r="G9" s="7">
        <f t="shared" si="0"/>
        <v>1.75</v>
      </c>
    </row>
    <row r="10" spans="1:7" s="136" customFormat="1" x14ac:dyDescent="0.35">
      <c r="A10" s="145" t="s">
        <v>63</v>
      </c>
      <c r="B10" s="143">
        <v>1.1499999999999999</v>
      </c>
      <c r="G10" s="7">
        <f t="shared" si="0"/>
        <v>2</v>
      </c>
    </row>
    <row r="11" spans="1:7" s="136" customFormat="1" x14ac:dyDescent="0.35">
      <c r="A11" s="145" t="s">
        <v>39</v>
      </c>
      <c r="B11" s="143">
        <v>0</v>
      </c>
      <c r="G11" s="7">
        <f t="shared" si="0"/>
        <v>2.25</v>
      </c>
    </row>
    <row r="12" spans="1:7" s="136" customFormat="1" x14ac:dyDescent="0.35">
      <c r="A12" s="145" t="s">
        <v>3</v>
      </c>
      <c r="B12" s="143">
        <v>0</v>
      </c>
      <c r="G12" s="7">
        <f t="shared" si="0"/>
        <v>2.5</v>
      </c>
    </row>
    <row r="13" spans="1:7" s="136" customFormat="1" x14ac:dyDescent="0.35">
      <c r="A13" s="145" t="s">
        <v>93</v>
      </c>
      <c r="B13" s="143">
        <v>0</v>
      </c>
      <c r="G13" s="7">
        <f t="shared" si="0"/>
        <v>2.75</v>
      </c>
    </row>
    <row r="14" spans="1:7" s="136" customFormat="1" x14ac:dyDescent="0.35">
      <c r="A14" s="145"/>
      <c r="B14" s="143"/>
      <c r="G14" s="7">
        <f t="shared" si="0"/>
        <v>3</v>
      </c>
    </row>
    <row r="15" spans="1:7" x14ac:dyDescent="0.35">
      <c r="G15" s="7">
        <f t="shared" si="0"/>
        <v>3.25</v>
      </c>
    </row>
    <row r="16" spans="1:7" x14ac:dyDescent="0.35">
      <c r="A16" t="s">
        <v>2</v>
      </c>
      <c r="B16">
        <v>10</v>
      </c>
      <c r="G16" s="7">
        <f t="shared" si="0"/>
        <v>3.5</v>
      </c>
    </row>
    <row r="17" spans="1:7" x14ac:dyDescent="0.35">
      <c r="A17" t="s">
        <v>1</v>
      </c>
      <c r="B17">
        <v>5</v>
      </c>
      <c r="G17" s="7">
        <f t="shared" si="0"/>
        <v>3.75</v>
      </c>
    </row>
    <row r="18" spans="1:7" x14ac:dyDescent="0.35">
      <c r="A18" t="s">
        <v>4</v>
      </c>
      <c r="B18">
        <v>5</v>
      </c>
      <c r="G18" s="7">
        <f t="shared" si="0"/>
        <v>4</v>
      </c>
    </row>
    <row r="19" spans="1:7" x14ac:dyDescent="0.35">
      <c r="G19" s="7">
        <f t="shared" si="0"/>
        <v>4.25</v>
      </c>
    </row>
    <row r="20" spans="1:7" x14ac:dyDescent="0.35">
      <c r="A20" t="s">
        <v>15</v>
      </c>
      <c r="B20" s="16" t="s">
        <v>16</v>
      </c>
      <c r="C20" s="16" t="s">
        <v>16</v>
      </c>
      <c r="G20" s="7">
        <f t="shared" si="0"/>
        <v>4.5</v>
      </c>
    </row>
    <row r="21" spans="1:7" x14ac:dyDescent="0.35">
      <c r="B21" s="16" t="s">
        <v>3</v>
      </c>
      <c r="C21" s="16" t="s">
        <v>3</v>
      </c>
      <c r="G21" s="7">
        <f t="shared" si="0"/>
        <v>4.75</v>
      </c>
    </row>
    <row r="22" spans="1:7" x14ac:dyDescent="0.35">
      <c r="B22" s="16" t="s">
        <v>93</v>
      </c>
      <c r="C22" s="16"/>
      <c r="G22" s="7">
        <f t="shared" si="0"/>
        <v>5</v>
      </c>
    </row>
    <row r="23" spans="1:7" x14ac:dyDescent="0.35">
      <c r="G23" s="7">
        <f t="shared" si="0"/>
        <v>5.25</v>
      </c>
    </row>
    <row r="24" spans="1:7" x14ac:dyDescent="0.35">
      <c r="A24" t="s">
        <v>19</v>
      </c>
      <c r="B24" t="s">
        <v>16</v>
      </c>
      <c r="G24" s="7">
        <f t="shared" si="0"/>
        <v>5.5</v>
      </c>
    </row>
    <row r="25" spans="1:7" x14ac:dyDescent="0.35">
      <c r="A25" t="s">
        <v>20</v>
      </c>
      <c r="B25" t="s">
        <v>3</v>
      </c>
      <c r="G25" s="7">
        <f>G24+0.25</f>
        <v>5.75</v>
      </c>
    </row>
    <row r="26" spans="1:7" x14ac:dyDescent="0.35">
      <c r="G26" s="7">
        <f t="shared" si="0"/>
        <v>6</v>
      </c>
    </row>
    <row r="27" spans="1:7" x14ac:dyDescent="0.35">
      <c r="A27" t="s">
        <v>22</v>
      </c>
      <c r="B27">
        <v>0</v>
      </c>
      <c r="G27" s="7">
        <f t="shared" si="0"/>
        <v>6.25</v>
      </c>
    </row>
    <row r="28" spans="1:7" x14ac:dyDescent="0.35">
      <c r="B28">
        <f>1+B27</f>
        <v>1</v>
      </c>
      <c r="G28" s="7">
        <f t="shared" si="0"/>
        <v>6.5</v>
      </c>
    </row>
    <row r="29" spans="1:7" x14ac:dyDescent="0.35">
      <c r="B29">
        <f t="shared" ref="B29:B49" si="1">1+B28</f>
        <v>2</v>
      </c>
      <c r="G29" s="7">
        <f t="shared" si="0"/>
        <v>6.75</v>
      </c>
    </row>
    <row r="30" spans="1:7" x14ac:dyDescent="0.35">
      <c r="B30">
        <f t="shared" si="1"/>
        <v>3</v>
      </c>
      <c r="G30" s="7">
        <f t="shared" si="0"/>
        <v>7</v>
      </c>
    </row>
    <row r="31" spans="1:7" x14ac:dyDescent="0.35">
      <c r="B31">
        <f t="shared" si="1"/>
        <v>4</v>
      </c>
      <c r="G31" s="7">
        <f t="shared" si="0"/>
        <v>7.25</v>
      </c>
    </row>
    <row r="32" spans="1:7" x14ac:dyDescent="0.35">
      <c r="B32">
        <f t="shared" si="1"/>
        <v>5</v>
      </c>
      <c r="G32" s="7">
        <f t="shared" si="0"/>
        <v>7.5</v>
      </c>
    </row>
    <row r="33" spans="2:7" x14ac:dyDescent="0.35">
      <c r="B33">
        <f t="shared" si="1"/>
        <v>6</v>
      </c>
      <c r="G33" s="7">
        <f>G32+0.25</f>
        <v>7.75</v>
      </c>
    </row>
    <row r="34" spans="2:7" x14ac:dyDescent="0.35">
      <c r="B34">
        <f t="shared" si="1"/>
        <v>7</v>
      </c>
      <c r="G34" s="7">
        <f t="shared" si="0"/>
        <v>8</v>
      </c>
    </row>
    <row r="35" spans="2:7" x14ac:dyDescent="0.35">
      <c r="B35">
        <f t="shared" si="1"/>
        <v>8</v>
      </c>
      <c r="G35" s="7">
        <f t="shared" si="0"/>
        <v>8.25</v>
      </c>
    </row>
    <row r="36" spans="2:7" x14ac:dyDescent="0.35">
      <c r="B36">
        <f t="shared" si="1"/>
        <v>9</v>
      </c>
      <c r="G36" s="7">
        <f t="shared" si="0"/>
        <v>8.5</v>
      </c>
    </row>
    <row r="37" spans="2:7" x14ac:dyDescent="0.35">
      <c r="B37">
        <f t="shared" si="1"/>
        <v>10</v>
      </c>
      <c r="G37" s="7">
        <f t="shared" si="0"/>
        <v>8.75</v>
      </c>
    </row>
    <row r="38" spans="2:7" x14ac:dyDescent="0.35">
      <c r="B38">
        <f t="shared" si="1"/>
        <v>11</v>
      </c>
      <c r="G38" s="7">
        <f t="shared" si="0"/>
        <v>9</v>
      </c>
    </row>
    <row r="39" spans="2:7" x14ac:dyDescent="0.35">
      <c r="B39">
        <f t="shared" si="1"/>
        <v>12</v>
      </c>
      <c r="G39" s="7">
        <f t="shared" si="0"/>
        <v>9.25</v>
      </c>
    </row>
    <row r="40" spans="2:7" x14ac:dyDescent="0.35">
      <c r="B40">
        <f t="shared" si="1"/>
        <v>13</v>
      </c>
      <c r="G40" s="7">
        <f t="shared" si="0"/>
        <v>9.5</v>
      </c>
    </row>
    <row r="41" spans="2:7" x14ac:dyDescent="0.35">
      <c r="B41">
        <f t="shared" si="1"/>
        <v>14</v>
      </c>
      <c r="G41" s="7">
        <f t="shared" si="0"/>
        <v>9.75</v>
      </c>
    </row>
    <row r="42" spans="2:7" x14ac:dyDescent="0.35">
      <c r="B42">
        <f t="shared" si="1"/>
        <v>15</v>
      </c>
      <c r="G42" s="7">
        <f t="shared" si="0"/>
        <v>10</v>
      </c>
    </row>
    <row r="43" spans="2:7" x14ac:dyDescent="0.35">
      <c r="B43">
        <f t="shared" si="1"/>
        <v>16</v>
      </c>
      <c r="G43" s="7">
        <f>5+G42</f>
        <v>15</v>
      </c>
    </row>
    <row r="44" spans="2:7" x14ac:dyDescent="0.35">
      <c r="B44">
        <f t="shared" si="1"/>
        <v>17</v>
      </c>
      <c r="G44" s="7">
        <f>5+G43</f>
        <v>20</v>
      </c>
    </row>
    <row r="45" spans="2:7" x14ac:dyDescent="0.35">
      <c r="B45">
        <f t="shared" si="1"/>
        <v>18</v>
      </c>
      <c r="G45" s="7">
        <f>5+G44</f>
        <v>25</v>
      </c>
    </row>
    <row r="46" spans="2:7" x14ac:dyDescent="0.35">
      <c r="B46">
        <f t="shared" si="1"/>
        <v>19</v>
      </c>
      <c r="G46" s="7">
        <f>5+G45</f>
        <v>30</v>
      </c>
    </row>
    <row r="47" spans="2:7" x14ac:dyDescent="0.35">
      <c r="B47">
        <f t="shared" si="1"/>
        <v>20</v>
      </c>
      <c r="G47" s="7">
        <f>5+G46</f>
        <v>35</v>
      </c>
    </row>
    <row r="48" spans="2:7" x14ac:dyDescent="0.35">
      <c r="B48">
        <f t="shared" si="1"/>
        <v>21</v>
      </c>
      <c r="G48" s="7">
        <f t="shared" ref="G48:G50" si="2">5+G47</f>
        <v>40</v>
      </c>
    </row>
    <row r="49" spans="2:7" x14ac:dyDescent="0.35">
      <c r="B49">
        <f t="shared" si="1"/>
        <v>22</v>
      </c>
      <c r="G49" s="7">
        <f t="shared" si="2"/>
        <v>45</v>
      </c>
    </row>
    <row r="50" spans="2:7" x14ac:dyDescent="0.35">
      <c r="G50" s="7">
        <f t="shared" si="2"/>
        <v>50</v>
      </c>
    </row>
  </sheetData>
  <autoFilter ref="A1:D10">
    <sortState ref="A2:D10">
      <sortCondition descending="1" ref="A1:A10"/>
    </sortState>
  </autoFilter>
  <conditionalFormatting sqref="A2">
    <cfRule type="cellIs" dxfId="85" priority="1" operator="equal">
      <formula>$A$2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291"/>
  <sheetViews>
    <sheetView zoomScale="70" zoomScaleNormal="70" workbookViewId="0">
      <pane xSplit="2" topLeftCell="C1" activePane="topRight" state="frozen"/>
      <selection activeCell="A2" sqref="A2"/>
      <selection pane="topRight" activeCell="D7" sqref="D7"/>
    </sheetView>
  </sheetViews>
  <sheetFormatPr baseColWidth="10" defaultColWidth="10.7265625" defaultRowHeight="14.5" x14ac:dyDescent="0.35"/>
  <cols>
    <col min="1" max="1" width="20" bestFit="1" customWidth="1"/>
    <col min="2" max="2" width="11.54296875" style="248" bestFit="1" customWidth="1"/>
    <col min="3" max="3" width="13.453125" style="136" customWidth="1"/>
    <col min="4" max="4" width="11.453125" style="136"/>
  </cols>
  <sheetData>
    <row r="1" spans="1:12" x14ac:dyDescent="0.35">
      <c r="B1" s="270"/>
    </row>
    <row r="2" spans="1:12" ht="15" thickBot="1" x14ac:dyDescent="0.4">
      <c r="A2" s="159" t="s">
        <v>0</v>
      </c>
      <c r="B2" s="294"/>
      <c r="C2" s="159" t="s">
        <v>58</v>
      </c>
      <c r="D2" s="159" t="s">
        <v>57</v>
      </c>
      <c r="E2" s="331" t="s">
        <v>49</v>
      </c>
      <c r="F2" s="331"/>
      <c r="G2" s="331" t="s">
        <v>55</v>
      </c>
      <c r="H2" s="331"/>
      <c r="I2" s="332" t="s">
        <v>56</v>
      </c>
      <c r="J2" s="332"/>
      <c r="K2" s="332" t="s">
        <v>94</v>
      </c>
      <c r="L2" s="332"/>
    </row>
    <row r="3" spans="1:12" ht="16" thickBot="1" x14ac:dyDescent="0.4">
      <c r="A3" s="165">
        <f>GEN!B4</f>
        <v>0</v>
      </c>
      <c r="B3" s="292">
        <f>GEN!C4</f>
        <v>10.549999999999997</v>
      </c>
      <c r="C3" s="162">
        <f>MAX(E3,G3,I3,K3)</f>
        <v>43412</v>
      </c>
      <c r="D3" s="166">
        <f>F3+H3</f>
        <v>10</v>
      </c>
      <c r="E3" s="312" t="s">
        <v>54</v>
      </c>
      <c r="F3" s="309">
        <v>0</v>
      </c>
      <c r="G3" s="167">
        <v>43412</v>
      </c>
      <c r="H3" s="168">
        <v>10</v>
      </c>
      <c r="I3" s="308" t="s">
        <v>54</v>
      </c>
      <c r="J3" s="309">
        <v>0</v>
      </c>
      <c r="K3" s="308" t="s">
        <v>54</v>
      </c>
      <c r="L3" s="168">
        <v>0</v>
      </c>
    </row>
    <row r="4" spans="1:12" ht="16.5" thickTop="1" thickBot="1" x14ac:dyDescent="0.4">
      <c r="A4" s="165">
        <f>GEN!B5</f>
        <v>0</v>
      </c>
      <c r="B4" s="292">
        <f ca="1">GEN!C5</f>
        <v>3.5000000000000004</v>
      </c>
      <c r="C4" s="162">
        <f t="shared" ref="C4:C31" ca="1" si="0">MAX(E4,G4,I4,K4)</f>
        <v>43398</v>
      </c>
      <c r="D4" s="163">
        <f t="shared" ref="D4:D31" si="1">F4+H4</f>
        <v>5</v>
      </c>
      <c r="E4" s="312">
        <v>43398</v>
      </c>
      <c r="F4" s="310">
        <v>5</v>
      </c>
      <c r="G4" s="311" t="str">
        <f t="shared" ref="G4:G31" ca="1" si="2">IF($H4&gt;0,TODAY(),"N/D")</f>
        <v>N/D</v>
      </c>
      <c r="H4" s="164">
        <v>0</v>
      </c>
      <c r="I4" s="308" t="s">
        <v>54</v>
      </c>
      <c r="J4" s="310">
        <v>0</v>
      </c>
      <c r="K4" s="308" t="s">
        <v>54</v>
      </c>
      <c r="L4" s="164">
        <v>0</v>
      </c>
    </row>
    <row r="5" spans="1:12" ht="16.5" thickTop="1" thickBot="1" x14ac:dyDescent="0.4">
      <c r="A5" s="165">
        <f>GEN!B6</f>
        <v>0</v>
      </c>
      <c r="B5" s="292">
        <f ca="1">GEN!C6</f>
        <v>5.8</v>
      </c>
      <c r="C5" s="162">
        <f t="shared" si="0"/>
        <v>43405</v>
      </c>
      <c r="D5" s="163">
        <f t="shared" si="1"/>
        <v>10</v>
      </c>
      <c r="E5" s="312" t="s">
        <v>54</v>
      </c>
      <c r="F5" s="310">
        <v>0</v>
      </c>
      <c r="G5" s="311">
        <v>43405</v>
      </c>
      <c r="H5" s="164">
        <v>10</v>
      </c>
      <c r="I5" s="308" t="s">
        <v>54</v>
      </c>
      <c r="J5" s="310">
        <v>0</v>
      </c>
      <c r="K5" s="308" t="s">
        <v>54</v>
      </c>
      <c r="L5" s="164">
        <v>0</v>
      </c>
    </row>
    <row r="6" spans="1:12" ht="16.5" thickTop="1" thickBot="1" x14ac:dyDescent="0.4">
      <c r="A6" s="165">
        <f>GEN!B7</f>
        <v>0</v>
      </c>
      <c r="B6" s="292">
        <f ca="1">GEN!C7</f>
        <v>0.25000000000000022</v>
      </c>
      <c r="C6" s="162">
        <f t="shared" ca="1" si="0"/>
        <v>43374</v>
      </c>
      <c r="D6" s="163">
        <f t="shared" si="1"/>
        <v>10</v>
      </c>
      <c r="E6" s="312">
        <v>43374</v>
      </c>
      <c r="F6" s="310">
        <v>10</v>
      </c>
      <c r="G6" s="311" t="str">
        <f t="shared" ca="1" si="2"/>
        <v>N/D</v>
      </c>
      <c r="H6" s="164">
        <v>0</v>
      </c>
      <c r="I6" s="308" t="s">
        <v>54</v>
      </c>
      <c r="J6" s="310">
        <v>0</v>
      </c>
      <c r="K6" s="308" t="s">
        <v>54</v>
      </c>
      <c r="L6" s="164">
        <v>0</v>
      </c>
    </row>
    <row r="7" spans="1:12" ht="16.5" thickTop="1" thickBot="1" x14ac:dyDescent="0.4">
      <c r="A7" s="165">
        <f>GEN!B8</f>
        <v>0</v>
      </c>
      <c r="B7" s="292">
        <f ca="1">GEN!C8</f>
        <v>20.95000000000001</v>
      </c>
      <c r="C7" s="162">
        <f t="shared" si="0"/>
        <v>43418</v>
      </c>
      <c r="D7" s="163">
        <f t="shared" si="1"/>
        <v>30</v>
      </c>
      <c r="E7" s="312">
        <v>43402</v>
      </c>
      <c r="F7" s="310">
        <v>10</v>
      </c>
      <c r="G7" s="311">
        <v>43418</v>
      </c>
      <c r="H7" s="164">
        <v>20</v>
      </c>
      <c r="I7" s="308" t="s">
        <v>54</v>
      </c>
      <c r="J7" s="310">
        <v>0</v>
      </c>
      <c r="K7" s="308" t="s">
        <v>54</v>
      </c>
      <c r="L7" s="164">
        <v>0</v>
      </c>
    </row>
    <row r="8" spans="1:12" ht="16.5" thickTop="1" thickBot="1" x14ac:dyDescent="0.4">
      <c r="A8" s="165">
        <f>GEN!B9</f>
        <v>0</v>
      </c>
      <c r="B8" s="292">
        <f ca="1">GEN!C9</f>
        <v>5.5</v>
      </c>
      <c r="C8" s="162">
        <f t="shared" ca="1" si="0"/>
        <v>43378</v>
      </c>
      <c r="D8" s="163">
        <f t="shared" si="1"/>
        <v>10</v>
      </c>
      <c r="E8" s="312">
        <v>43378</v>
      </c>
      <c r="F8" s="310">
        <v>10</v>
      </c>
      <c r="G8" s="311" t="str">
        <f t="shared" ca="1" si="2"/>
        <v>N/D</v>
      </c>
      <c r="H8" s="164">
        <v>0</v>
      </c>
      <c r="I8" s="308" t="s">
        <v>54</v>
      </c>
      <c r="J8" s="310">
        <v>0</v>
      </c>
      <c r="K8" s="308" t="s">
        <v>54</v>
      </c>
      <c r="L8" s="164">
        <v>0</v>
      </c>
    </row>
    <row r="9" spans="1:12" ht="16.5" thickTop="1" thickBot="1" x14ac:dyDescent="0.4">
      <c r="A9" s="165">
        <f>GEN!B10</f>
        <v>0</v>
      </c>
      <c r="B9" s="292">
        <f ca="1">GEN!C10</f>
        <v>2.8499999999999996</v>
      </c>
      <c r="C9" s="162">
        <f t="shared" ca="1" si="0"/>
        <v>43383</v>
      </c>
      <c r="D9" s="163">
        <f t="shared" si="1"/>
        <v>10</v>
      </c>
      <c r="E9" s="312">
        <v>43383</v>
      </c>
      <c r="F9" s="310">
        <v>10</v>
      </c>
      <c r="G9" s="311" t="str">
        <f t="shared" ca="1" si="2"/>
        <v>N/D</v>
      </c>
      <c r="H9" s="164">
        <v>0</v>
      </c>
      <c r="I9" s="308" t="s">
        <v>54</v>
      </c>
      <c r="J9" s="310">
        <v>0</v>
      </c>
      <c r="K9" s="308" t="s">
        <v>54</v>
      </c>
      <c r="L9" s="164">
        <v>0</v>
      </c>
    </row>
    <row r="10" spans="1:12" ht="16.5" thickTop="1" thickBot="1" x14ac:dyDescent="0.4">
      <c r="A10" s="165">
        <f>GEN!B11</f>
        <v>0</v>
      </c>
      <c r="B10" s="292">
        <f ca="1">GEN!C11</f>
        <v>6.0000000000000009</v>
      </c>
      <c r="C10" s="162">
        <f t="shared" si="0"/>
        <v>43408</v>
      </c>
      <c r="D10" s="163">
        <f t="shared" si="1"/>
        <v>5</v>
      </c>
      <c r="E10" s="312" t="s">
        <v>54</v>
      </c>
      <c r="F10" s="310">
        <v>0</v>
      </c>
      <c r="G10" s="311">
        <v>43408</v>
      </c>
      <c r="H10" s="164">
        <v>5</v>
      </c>
      <c r="I10" s="308" t="s">
        <v>54</v>
      </c>
      <c r="J10" s="310">
        <v>0</v>
      </c>
      <c r="K10" s="308" t="s">
        <v>54</v>
      </c>
      <c r="L10" s="164">
        <v>0</v>
      </c>
    </row>
    <row r="11" spans="1:12" ht="16.5" thickTop="1" thickBot="1" x14ac:dyDescent="0.4">
      <c r="A11" s="165">
        <f>GEN!B12</f>
        <v>0</v>
      </c>
      <c r="B11" s="292">
        <f ca="1">GEN!C12</f>
        <v>4.2</v>
      </c>
      <c r="C11" s="162">
        <f t="shared" ca="1" si="0"/>
        <v>43398</v>
      </c>
      <c r="D11" s="163">
        <f t="shared" si="1"/>
        <v>10</v>
      </c>
      <c r="E11" s="312">
        <v>43398</v>
      </c>
      <c r="F11" s="310">
        <v>10</v>
      </c>
      <c r="G11" s="311" t="str">
        <f t="shared" ca="1" si="2"/>
        <v>N/D</v>
      </c>
      <c r="H11" s="164">
        <v>0</v>
      </c>
      <c r="I11" s="308" t="s">
        <v>54</v>
      </c>
      <c r="J11" s="310">
        <v>0</v>
      </c>
      <c r="K11" s="308" t="s">
        <v>54</v>
      </c>
      <c r="L11" s="164">
        <v>0</v>
      </c>
    </row>
    <row r="12" spans="1:12" ht="16.5" thickTop="1" thickBot="1" x14ac:dyDescent="0.4">
      <c r="A12" s="165">
        <f>GEN!B13</f>
        <v>0</v>
      </c>
      <c r="B12" s="292">
        <f ca="1">GEN!C13</f>
        <v>6.85</v>
      </c>
      <c r="C12" s="162">
        <f t="shared" ca="1" si="0"/>
        <v>43392</v>
      </c>
      <c r="D12" s="163">
        <f t="shared" si="1"/>
        <v>10</v>
      </c>
      <c r="E12" s="312">
        <v>43392</v>
      </c>
      <c r="F12" s="310">
        <v>10</v>
      </c>
      <c r="G12" s="311" t="str">
        <f t="shared" ca="1" si="2"/>
        <v>N/D</v>
      </c>
      <c r="H12" s="164">
        <v>0</v>
      </c>
      <c r="I12" s="308" t="s">
        <v>54</v>
      </c>
      <c r="J12" s="310">
        <v>0</v>
      </c>
      <c r="K12" s="308" t="s">
        <v>54</v>
      </c>
      <c r="L12" s="164">
        <v>0</v>
      </c>
    </row>
    <row r="13" spans="1:12" ht="16.5" thickTop="1" thickBot="1" x14ac:dyDescent="0.4">
      <c r="A13" s="165">
        <f>GEN!B14</f>
        <v>0</v>
      </c>
      <c r="B13" s="292">
        <f ca="1">GEN!C14</f>
        <v>16.950000000000006</v>
      </c>
      <c r="C13" s="162">
        <f t="shared" ca="1" si="0"/>
        <v>43392</v>
      </c>
      <c r="D13" s="163">
        <f t="shared" si="1"/>
        <v>20</v>
      </c>
      <c r="E13" s="312">
        <v>43392</v>
      </c>
      <c r="F13" s="310">
        <v>20</v>
      </c>
      <c r="G13" s="311" t="str">
        <f t="shared" ca="1" si="2"/>
        <v>N/D</v>
      </c>
      <c r="H13" s="164">
        <v>0</v>
      </c>
      <c r="I13" s="308" t="s">
        <v>54</v>
      </c>
      <c r="J13" s="310">
        <v>0</v>
      </c>
      <c r="K13" s="308" t="s">
        <v>54</v>
      </c>
      <c r="L13" s="164">
        <v>0</v>
      </c>
    </row>
    <row r="14" spans="1:12" ht="16.5" thickTop="1" thickBot="1" x14ac:dyDescent="0.4">
      <c r="A14" s="165">
        <f>GEN!B15</f>
        <v>0</v>
      </c>
      <c r="B14" s="292">
        <f ca="1">GEN!C15</f>
        <v>1.7500000000000004</v>
      </c>
      <c r="C14" s="162">
        <f t="shared" ca="1" si="0"/>
        <v>0</v>
      </c>
      <c r="D14" s="163">
        <f t="shared" si="1"/>
        <v>0</v>
      </c>
      <c r="E14" s="312" t="s">
        <v>54</v>
      </c>
      <c r="F14" s="310">
        <v>0</v>
      </c>
      <c r="G14" s="311" t="str">
        <f t="shared" ca="1" si="2"/>
        <v>N/D</v>
      </c>
      <c r="H14" s="164">
        <v>0</v>
      </c>
      <c r="I14" s="308" t="s">
        <v>54</v>
      </c>
      <c r="J14" s="310">
        <v>0</v>
      </c>
      <c r="K14" s="308" t="s">
        <v>54</v>
      </c>
      <c r="L14" s="164">
        <v>0</v>
      </c>
    </row>
    <row r="15" spans="1:12" ht="16.5" thickTop="1" thickBot="1" x14ac:dyDescent="0.4">
      <c r="A15" s="165">
        <f>GEN!B16</f>
        <v>0</v>
      </c>
      <c r="B15" s="292">
        <f ca="1">GEN!C16</f>
        <v>5.6000000000000005</v>
      </c>
      <c r="C15" s="162">
        <f t="shared" ca="1" si="0"/>
        <v>43378</v>
      </c>
      <c r="D15" s="163">
        <f t="shared" si="1"/>
        <v>10</v>
      </c>
      <c r="E15" s="312">
        <v>43378</v>
      </c>
      <c r="F15" s="310">
        <v>10</v>
      </c>
      <c r="G15" s="311" t="str">
        <f t="shared" ca="1" si="2"/>
        <v>N/D</v>
      </c>
      <c r="H15" s="164">
        <v>0</v>
      </c>
      <c r="I15" s="308" t="s">
        <v>54</v>
      </c>
      <c r="J15" s="310">
        <v>0</v>
      </c>
      <c r="K15" s="308" t="s">
        <v>54</v>
      </c>
      <c r="L15" s="164">
        <v>0</v>
      </c>
    </row>
    <row r="16" spans="1:12" ht="16.5" thickTop="1" thickBot="1" x14ac:dyDescent="0.4">
      <c r="A16" s="165">
        <f>GEN!B17</f>
        <v>0</v>
      </c>
      <c r="B16" s="292">
        <f ca="1">GEN!C17</f>
        <v>7.5499999999999972</v>
      </c>
      <c r="C16" s="162">
        <f t="shared" ca="1" si="0"/>
        <v>43382</v>
      </c>
      <c r="D16" s="163">
        <f t="shared" si="1"/>
        <v>10</v>
      </c>
      <c r="E16" s="312">
        <v>43382</v>
      </c>
      <c r="F16" s="310">
        <v>10</v>
      </c>
      <c r="G16" s="311" t="str">
        <f t="shared" ca="1" si="2"/>
        <v>N/D</v>
      </c>
      <c r="H16" s="164">
        <v>0</v>
      </c>
      <c r="I16" s="308" t="s">
        <v>54</v>
      </c>
      <c r="J16" s="310">
        <v>0</v>
      </c>
      <c r="K16" s="308" t="s">
        <v>54</v>
      </c>
      <c r="L16" s="164">
        <v>0</v>
      </c>
    </row>
    <row r="17" spans="1:12" ht="16.5" thickTop="1" thickBot="1" x14ac:dyDescent="0.4">
      <c r="A17" s="165">
        <f>GEN!B18</f>
        <v>0</v>
      </c>
      <c r="B17" s="292">
        <f ca="1">GEN!C18</f>
        <v>7.6999999999999993</v>
      </c>
      <c r="C17" s="162">
        <f t="shared" ca="1" si="0"/>
        <v>43397</v>
      </c>
      <c r="D17" s="163">
        <f t="shared" si="1"/>
        <v>10</v>
      </c>
      <c r="E17" s="312">
        <v>43397</v>
      </c>
      <c r="F17" s="310">
        <v>10</v>
      </c>
      <c r="G17" s="311" t="str">
        <f t="shared" ca="1" si="2"/>
        <v>N/D</v>
      </c>
      <c r="H17" s="164">
        <v>0</v>
      </c>
      <c r="I17" s="308" t="s">
        <v>54</v>
      </c>
      <c r="J17" s="310">
        <v>0</v>
      </c>
      <c r="K17" s="308" t="s">
        <v>54</v>
      </c>
      <c r="L17" s="164">
        <v>0</v>
      </c>
    </row>
    <row r="18" spans="1:12" ht="16.5" thickTop="1" thickBot="1" x14ac:dyDescent="0.4">
      <c r="A18" s="165">
        <f>GEN!B19</f>
        <v>0</v>
      </c>
      <c r="B18" s="292">
        <f ca="1">GEN!C19</f>
        <v>4.3499999999999996</v>
      </c>
      <c r="C18" s="162">
        <f t="shared" ca="1" si="0"/>
        <v>43378</v>
      </c>
      <c r="D18" s="163">
        <f t="shared" si="1"/>
        <v>5</v>
      </c>
      <c r="E18" s="312">
        <v>43378</v>
      </c>
      <c r="F18" s="310">
        <v>5</v>
      </c>
      <c r="G18" s="311" t="str">
        <f t="shared" ca="1" si="2"/>
        <v>N/D</v>
      </c>
      <c r="H18" s="164">
        <v>0</v>
      </c>
      <c r="I18" s="308" t="s">
        <v>54</v>
      </c>
      <c r="J18" s="310">
        <v>0</v>
      </c>
      <c r="K18" s="308" t="s">
        <v>54</v>
      </c>
      <c r="L18" s="164">
        <v>0</v>
      </c>
    </row>
    <row r="19" spans="1:12" ht="16.5" thickTop="1" thickBot="1" x14ac:dyDescent="0.4">
      <c r="A19" s="165">
        <f>GEN!B20</f>
        <v>0</v>
      </c>
      <c r="B19" s="292">
        <f ca="1">GEN!C20</f>
        <v>0</v>
      </c>
      <c r="C19" s="162">
        <f t="shared" ca="1" si="0"/>
        <v>0</v>
      </c>
      <c r="D19" s="163">
        <f t="shared" si="1"/>
        <v>0</v>
      </c>
      <c r="E19" s="312" t="s">
        <v>54</v>
      </c>
      <c r="F19" s="310">
        <v>0</v>
      </c>
      <c r="G19" s="311" t="str">
        <f t="shared" ca="1" si="2"/>
        <v>N/D</v>
      </c>
      <c r="H19" s="164">
        <v>0</v>
      </c>
      <c r="I19" s="308" t="s">
        <v>54</v>
      </c>
      <c r="J19" s="310">
        <v>0</v>
      </c>
      <c r="K19" s="308" t="s">
        <v>54</v>
      </c>
      <c r="L19" s="164">
        <v>0</v>
      </c>
    </row>
    <row r="20" spans="1:12" ht="16.5" thickTop="1" thickBot="1" x14ac:dyDescent="0.4">
      <c r="A20" s="165">
        <f>GEN!B21</f>
        <v>0</v>
      </c>
      <c r="B20" s="292">
        <f ca="1">GEN!C21</f>
        <v>3.85</v>
      </c>
      <c r="C20" s="162">
        <f t="shared" ca="1" si="0"/>
        <v>0</v>
      </c>
      <c r="D20" s="163">
        <f t="shared" si="1"/>
        <v>0</v>
      </c>
      <c r="E20" s="312" t="s">
        <v>54</v>
      </c>
      <c r="F20" s="310">
        <v>0</v>
      </c>
      <c r="G20" s="311" t="str">
        <f t="shared" ca="1" si="2"/>
        <v>N/D</v>
      </c>
      <c r="H20" s="164">
        <v>0</v>
      </c>
      <c r="I20" s="308" t="s">
        <v>54</v>
      </c>
      <c r="J20" s="310">
        <v>0</v>
      </c>
      <c r="K20" s="308" t="s">
        <v>54</v>
      </c>
      <c r="L20" s="164">
        <v>0</v>
      </c>
    </row>
    <row r="21" spans="1:12" ht="16.5" thickTop="1" thickBot="1" x14ac:dyDescent="0.4">
      <c r="A21" s="165">
        <f>GEN!B22</f>
        <v>0</v>
      </c>
      <c r="B21" s="292">
        <f ca="1">GEN!C22</f>
        <v>2.6999999999999993</v>
      </c>
      <c r="C21" s="162">
        <f t="shared" ca="1" si="0"/>
        <v>43381</v>
      </c>
      <c r="D21" s="163">
        <f t="shared" si="1"/>
        <v>10</v>
      </c>
      <c r="E21" s="312">
        <v>43381</v>
      </c>
      <c r="F21" s="310">
        <v>10</v>
      </c>
      <c r="G21" s="311" t="str">
        <f t="shared" ca="1" si="2"/>
        <v>N/D</v>
      </c>
      <c r="H21" s="164">
        <v>0</v>
      </c>
      <c r="I21" s="308" t="s">
        <v>54</v>
      </c>
      <c r="J21" s="310">
        <v>0</v>
      </c>
      <c r="K21" s="308" t="s">
        <v>54</v>
      </c>
      <c r="L21" s="164">
        <v>0</v>
      </c>
    </row>
    <row r="22" spans="1:12" ht="16.5" thickTop="1" thickBot="1" x14ac:dyDescent="0.4">
      <c r="A22" s="165">
        <f>GEN!B23</f>
        <v>0</v>
      </c>
      <c r="B22" s="292">
        <f ca="1">GEN!C23</f>
        <v>5.7999999999999989</v>
      </c>
      <c r="C22" s="162">
        <f t="shared" ca="1" si="0"/>
        <v>43392</v>
      </c>
      <c r="D22" s="163">
        <f t="shared" si="1"/>
        <v>10</v>
      </c>
      <c r="E22" s="312">
        <v>43392</v>
      </c>
      <c r="F22" s="310">
        <v>10</v>
      </c>
      <c r="G22" s="311" t="str">
        <f t="shared" ca="1" si="2"/>
        <v>N/D</v>
      </c>
      <c r="H22" s="164">
        <v>0</v>
      </c>
      <c r="I22" s="308" t="s">
        <v>54</v>
      </c>
      <c r="J22" s="310">
        <v>0</v>
      </c>
      <c r="K22" s="308" t="s">
        <v>54</v>
      </c>
      <c r="L22" s="164">
        <v>0</v>
      </c>
    </row>
    <row r="23" spans="1:12" ht="16.5" thickTop="1" thickBot="1" x14ac:dyDescent="0.4">
      <c r="A23" s="165">
        <f>GEN!B24</f>
        <v>0</v>
      </c>
      <c r="B23" s="292">
        <f ca="1">GEN!C24</f>
        <v>10.5</v>
      </c>
      <c r="C23" s="162">
        <f t="shared" si="0"/>
        <v>43412</v>
      </c>
      <c r="D23" s="163">
        <f t="shared" si="1"/>
        <v>20</v>
      </c>
      <c r="E23" s="312">
        <v>43383</v>
      </c>
      <c r="F23" s="310">
        <v>10</v>
      </c>
      <c r="G23" s="311">
        <v>43412</v>
      </c>
      <c r="H23" s="164">
        <v>10</v>
      </c>
      <c r="I23" s="308" t="s">
        <v>54</v>
      </c>
      <c r="J23" s="310">
        <v>0</v>
      </c>
      <c r="K23" s="308" t="s">
        <v>54</v>
      </c>
      <c r="L23" s="164">
        <v>0</v>
      </c>
    </row>
    <row r="24" spans="1:12" ht="16.5" thickTop="1" thickBot="1" x14ac:dyDescent="0.4">
      <c r="A24" s="165">
        <f>GEN!B25</f>
        <v>0</v>
      </c>
      <c r="B24" s="292">
        <f ca="1">GEN!C25</f>
        <v>13.4</v>
      </c>
      <c r="C24" s="162">
        <f t="shared" ca="1" si="0"/>
        <v>43374</v>
      </c>
      <c r="D24" s="163">
        <f t="shared" si="1"/>
        <v>20</v>
      </c>
      <c r="E24" s="312">
        <v>43374</v>
      </c>
      <c r="F24" s="310">
        <v>20</v>
      </c>
      <c r="G24" s="311" t="str">
        <f t="shared" ca="1" si="2"/>
        <v>N/D</v>
      </c>
      <c r="H24" s="164">
        <v>0</v>
      </c>
      <c r="I24" s="308" t="s">
        <v>54</v>
      </c>
      <c r="J24" s="310">
        <v>0</v>
      </c>
      <c r="K24" s="308" t="s">
        <v>54</v>
      </c>
      <c r="L24" s="164">
        <v>0</v>
      </c>
    </row>
    <row r="25" spans="1:12" ht="16.5" thickTop="1" thickBot="1" x14ac:dyDescent="0.4">
      <c r="A25" s="165">
        <f>GEN!B26</f>
        <v>0</v>
      </c>
      <c r="B25" s="292">
        <f ca="1">GEN!C26</f>
        <v>5.8</v>
      </c>
      <c r="C25" s="162">
        <f t="shared" ca="1" si="0"/>
        <v>43398</v>
      </c>
      <c r="D25" s="163">
        <f t="shared" si="1"/>
        <v>10</v>
      </c>
      <c r="E25" s="312">
        <v>43398</v>
      </c>
      <c r="F25" s="310">
        <v>10</v>
      </c>
      <c r="G25" s="311" t="str">
        <f t="shared" ca="1" si="2"/>
        <v>N/D</v>
      </c>
      <c r="H25" s="164">
        <v>0</v>
      </c>
      <c r="I25" s="308" t="s">
        <v>54</v>
      </c>
      <c r="J25" s="310">
        <v>0</v>
      </c>
      <c r="K25" s="308" t="s">
        <v>54</v>
      </c>
      <c r="L25" s="164">
        <v>0</v>
      </c>
    </row>
    <row r="26" spans="1:12" ht="16.5" thickTop="1" thickBot="1" x14ac:dyDescent="0.4">
      <c r="A26" s="165">
        <f>GEN!B27</f>
        <v>0</v>
      </c>
      <c r="B26" s="292">
        <f ca="1">GEN!C27</f>
        <v>14.95</v>
      </c>
      <c r="C26" s="162">
        <f t="shared" ca="1" si="0"/>
        <v>43398</v>
      </c>
      <c r="D26" s="163">
        <f t="shared" si="1"/>
        <v>20</v>
      </c>
      <c r="E26" s="312">
        <v>43398</v>
      </c>
      <c r="F26" s="310">
        <v>20</v>
      </c>
      <c r="G26" s="311" t="str">
        <f t="shared" ca="1" si="2"/>
        <v>N/D</v>
      </c>
      <c r="H26" s="164">
        <v>0</v>
      </c>
      <c r="I26" s="308" t="s">
        <v>54</v>
      </c>
      <c r="J26" s="310">
        <v>0</v>
      </c>
      <c r="K26" s="308" t="s">
        <v>54</v>
      </c>
      <c r="L26" s="164">
        <v>0</v>
      </c>
    </row>
    <row r="27" spans="1:12" ht="16.5" thickTop="1" thickBot="1" x14ac:dyDescent="0.4">
      <c r="A27" s="165">
        <f>GEN!B28</f>
        <v>0</v>
      </c>
      <c r="B27" s="292">
        <f ca="1">GEN!C28</f>
        <v>0</v>
      </c>
      <c r="C27" s="162">
        <f t="shared" ca="1" si="0"/>
        <v>0</v>
      </c>
      <c r="D27" s="163">
        <f t="shared" si="1"/>
        <v>0</v>
      </c>
      <c r="E27" s="312" t="s">
        <v>54</v>
      </c>
      <c r="F27" s="310">
        <v>0</v>
      </c>
      <c r="G27" s="311" t="str">
        <f t="shared" ca="1" si="2"/>
        <v>N/D</v>
      </c>
      <c r="H27" s="164">
        <v>0</v>
      </c>
      <c r="I27" s="308" t="s">
        <v>54</v>
      </c>
      <c r="J27" s="310">
        <v>0</v>
      </c>
      <c r="K27" s="308" t="s">
        <v>54</v>
      </c>
      <c r="L27" s="164">
        <v>0</v>
      </c>
    </row>
    <row r="28" spans="1:12" ht="16.5" thickTop="1" thickBot="1" x14ac:dyDescent="0.4">
      <c r="A28" s="165">
        <f>GEN!B29</f>
        <v>0</v>
      </c>
      <c r="B28" s="292">
        <f ca="1">GEN!C29</f>
        <v>0</v>
      </c>
      <c r="C28" s="162">
        <f t="shared" ca="1" si="0"/>
        <v>0</v>
      </c>
      <c r="D28" s="163">
        <f t="shared" si="1"/>
        <v>0</v>
      </c>
      <c r="E28" s="312" t="s">
        <v>54</v>
      </c>
      <c r="F28" s="310">
        <v>0</v>
      </c>
      <c r="G28" s="311" t="str">
        <f t="shared" ca="1" si="2"/>
        <v>N/D</v>
      </c>
      <c r="H28" s="164">
        <v>0</v>
      </c>
      <c r="I28" s="308" t="s">
        <v>54</v>
      </c>
      <c r="J28" s="310">
        <v>0</v>
      </c>
      <c r="K28" s="308" t="s">
        <v>54</v>
      </c>
      <c r="L28" s="164">
        <v>0</v>
      </c>
    </row>
    <row r="29" spans="1:12" ht="16.5" thickTop="1" thickBot="1" x14ac:dyDescent="0.4">
      <c r="A29" s="165">
        <f>GEN!B30</f>
        <v>0</v>
      </c>
      <c r="B29" s="292">
        <f ca="1">GEN!C30</f>
        <v>0</v>
      </c>
      <c r="C29" s="162">
        <f t="shared" ca="1" si="0"/>
        <v>0</v>
      </c>
      <c r="D29" s="163">
        <f t="shared" si="1"/>
        <v>0</v>
      </c>
      <c r="E29" s="312" t="s">
        <v>54</v>
      </c>
      <c r="F29" s="310">
        <v>0</v>
      </c>
      <c r="G29" s="311" t="str">
        <f t="shared" ca="1" si="2"/>
        <v>N/D</v>
      </c>
      <c r="H29" s="164">
        <v>0</v>
      </c>
      <c r="I29" s="308" t="s">
        <v>54</v>
      </c>
      <c r="J29" s="310">
        <v>0</v>
      </c>
      <c r="K29" s="308" t="s">
        <v>54</v>
      </c>
      <c r="L29" s="164">
        <v>0</v>
      </c>
    </row>
    <row r="30" spans="1:12" ht="16.5" thickTop="1" thickBot="1" x14ac:dyDescent="0.4">
      <c r="A30" s="165">
        <f>GEN!B31</f>
        <v>0</v>
      </c>
      <c r="B30" s="292">
        <f ca="1">GEN!C31</f>
        <v>0</v>
      </c>
      <c r="C30" s="162">
        <f t="shared" ca="1" si="0"/>
        <v>0</v>
      </c>
      <c r="D30" s="163">
        <f t="shared" si="1"/>
        <v>0</v>
      </c>
      <c r="E30" s="312" t="s">
        <v>54</v>
      </c>
      <c r="F30" s="310">
        <v>0</v>
      </c>
      <c r="G30" s="311" t="str">
        <f t="shared" ca="1" si="2"/>
        <v>N/D</v>
      </c>
      <c r="H30" s="164">
        <v>0</v>
      </c>
      <c r="I30" s="308" t="s">
        <v>54</v>
      </c>
      <c r="J30" s="310">
        <v>0</v>
      </c>
      <c r="K30" s="308" t="s">
        <v>54</v>
      </c>
      <c r="L30" s="164">
        <v>0</v>
      </c>
    </row>
    <row r="31" spans="1:12" ht="16.5" thickTop="1" thickBot="1" x14ac:dyDescent="0.4">
      <c r="A31" s="165" t="str">
        <f>GEN!B32</f>
        <v>ZZ</v>
      </c>
      <c r="B31" s="292">
        <f ca="1">GEN!C32</f>
        <v>0</v>
      </c>
      <c r="C31" s="162">
        <f t="shared" ca="1" si="0"/>
        <v>0</v>
      </c>
      <c r="D31" s="163">
        <f t="shared" si="1"/>
        <v>0</v>
      </c>
      <c r="E31" s="312" t="s">
        <v>54</v>
      </c>
      <c r="F31" s="310">
        <v>0</v>
      </c>
      <c r="G31" s="311" t="str">
        <f t="shared" ca="1" si="2"/>
        <v>N/D</v>
      </c>
      <c r="H31" s="164">
        <v>0</v>
      </c>
      <c r="I31" s="308" t="s">
        <v>54</v>
      </c>
      <c r="J31" s="310">
        <v>0</v>
      </c>
      <c r="K31" s="308" t="s">
        <v>54</v>
      </c>
      <c r="L31" s="164">
        <v>0</v>
      </c>
    </row>
    <row r="32" spans="1:12" ht="15" thickTop="1" x14ac:dyDescent="0.35">
      <c r="B32" s="272"/>
    </row>
    <row r="33" spans="2:14" x14ac:dyDescent="0.35">
      <c r="B33" s="271"/>
    </row>
    <row r="34" spans="2:14" x14ac:dyDescent="0.35">
      <c r="B34" s="147"/>
    </row>
    <row r="35" spans="2:14" ht="18.5" x14ac:dyDescent="0.35">
      <c r="B35" s="273"/>
    </row>
    <row r="36" spans="2:14" ht="18.5" x14ac:dyDescent="0.35">
      <c r="B36" s="273"/>
    </row>
    <row r="37" spans="2:14" ht="18.5" x14ac:dyDescent="0.35">
      <c r="B37" s="273"/>
    </row>
    <row r="38" spans="2:14" ht="18.5" x14ac:dyDescent="0.35">
      <c r="B38" s="273"/>
    </row>
    <row r="39" spans="2:14" ht="15.5" x14ac:dyDescent="0.35">
      <c r="B39" s="149"/>
    </row>
    <row r="40" spans="2:14" ht="15.5" x14ac:dyDescent="0.35">
      <c r="B40" s="150"/>
    </row>
    <row r="41" spans="2:14" ht="15.5" x14ac:dyDescent="0.35">
      <c r="B41" s="146"/>
      <c r="N41" t="str">
        <f>A31</f>
        <v>ZZ</v>
      </c>
    </row>
    <row r="42" spans="2:14" ht="15.5" x14ac:dyDescent="0.35">
      <c r="B42" s="146"/>
    </row>
    <row r="43" spans="2:14" ht="15.5" x14ac:dyDescent="0.35">
      <c r="B43" s="226"/>
    </row>
    <row r="44" spans="2:14" ht="15.5" x14ac:dyDescent="0.35">
      <c r="B44" s="226"/>
    </row>
    <row r="45" spans="2:14" x14ac:dyDescent="0.35">
      <c r="B45" s="147"/>
    </row>
    <row r="47" spans="2:14" x14ac:dyDescent="0.35">
      <c r="B47" s="147"/>
    </row>
    <row r="48" spans="2:14" x14ac:dyDescent="0.35">
      <c r="B48" s="147"/>
    </row>
    <row r="49" spans="2:2" x14ac:dyDescent="0.35">
      <c r="B49" s="147"/>
    </row>
    <row r="50" spans="2:2" x14ac:dyDescent="0.35">
      <c r="B50" s="247"/>
    </row>
    <row r="51" spans="2:2" x14ac:dyDescent="0.35">
      <c r="B51" s="247"/>
    </row>
    <row r="52" spans="2:2" x14ac:dyDescent="0.35">
      <c r="B52" s="247"/>
    </row>
    <row r="53" spans="2:2" x14ac:dyDescent="0.35">
      <c r="B53" s="247"/>
    </row>
    <row r="54" spans="2:2" x14ac:dyDescent="0.35">
      <c r="B54" s="247"/>
    </row>
    <row r="55" spans="2:2" x14ac:dyDescent="0.35">
      <c r="B55" s="247"/>
    </row>
    <row r="56" spans="2:2" x14ac:dyDescent="0.35">
      <c r="B56" s="247"/>
    </row>
    <row r="57" spans="2:2" x14ac:dyDescent="0.35">
      <c r="B57" s="247"/>
    </row>
    <row r="58" spans="2:2" x14ac:dyDescent="0.35">
      <c r="B58" s="247"/>
    </row>
    <row r="59" spans="2:2" x14ac:dyDescent="0.35">
      <c r="B59" s="247"/>
    </row>
    <row r="60" spans="2:2" x14ac:dyDescent="0.35">
      <c r="B60" s="247"/>
    </row>
    <row r="61" spans="2:2" x14ac:dyDescent="0.35">
      <c r="B61" s="247"/>
    </row>
    <row r="62" spans="2:2" x14ac:dyDescent="0.35">
      <c r="B62" s="247"/>
    </row>
    <row r="63" spans="2:2" x14ac:dyDescent="0.35">
      <c r="B63" s="247"/>
    </row>
    <row r="64" spans="2:2" x14ac:dyDescent="0.35">
      <c r="B64" s="247"/>
    </row>
    <row r="65" spans="2:2" x14ac:dyDescent="0.35">
      <c r="B65" s="247"/>
    </row>
    <row r="66" spans="2:2" x14ac:dyDescent="0.35">
      <c r="B66" s="247"/>
    </row>
    <row r="67" spans="2:2" x14ac:dyDescent="0.35">
      <c r="B67" s="247"/>
    </row>
    <row r="68" spans="2:2" x14ac:dyDescent="0.35">
      <c r="B68" s="247"/>
    </row>
    <row r="69" spans="2:2" x14ac:dyDescent="0.35">
      <c r="B69" s="247"/>
    </row>
    <row r="70" spans="2:2" x14ac:dyDescent="0.35">
      <c r="B70" s="247"/>
    </row>
    <row r="71" spans="2:2" x14ac:dyDescent="0.35">
      <c r="B71" s="247"/>
    </row>
    <row r="72" spans="2:2" x14ac:dyDescent="0.35">
      <c r="B72" s="247"/>
    </row>
    <row r="73" spans="2:2" x14ac:dyDescent="0.35">
      <c r="B73" s="247"/>
    </row>
    <row r="74" spans="2:2" x14ac:dyDescent="0.35">
      <c r="B74" s="247"/>
    </row>
    <row r="75" spans="2:2" x14ac:dyDescent="0.35">
      <c r="B75" s="247"/>
    </row>
    <row r="76" spans="2:2" x14ac:dyDescent="0.35">
      <c r="B76" s="247"/>
    </row>
    <row r="77" spans="2:2" x14ac:dyDescent="0.35">
      <c r="B77" s="247"/>
    </row>
    <row r="78" spans="2:2" x14ac:dyDescent="0.35">
      <c r="B78" s="247"/>
    </row>
    <row r="79" spans="2:2" x14ac:dyDescent="0.35">
      <c r="B79" s="247"/>
    </row>
    <row r="80" spans="2:2" x14ac:dyDescent="0.35">
      <c r="B80" s="247"/>
    </row>
    <row r="81" spans="2:2" x14ac:dyDescent="0.35">
      <c r="B81" s="247"/>
    </row>
    <row r="82" spans="2:2" x14ac:dyDescent="0.35">
      <c r="B82" s="247"/>
    </row>
    <row r="83" spans="2:2" x14ac:dyDescent="0.35">
      <c r="B83" s="247"/>
    </row>
    <row r="84" spans="2:2" x14ac:dyDescent="0.35">
      <c r="B84" s="247"/>
    </row>
    <row r="85" spans="2:2" x14ac:dyDescent="0.35">
      <c r="B85" s="247"/>
    </row>
    <row r="86" spans="2:2" x14ac:dyDescent="0.35">
      <c r="B86" s="247"/>
    </row>
    <row r="87" spans="2:2" x14ac:dyDescent="0.35">
      <c r="B87" s="247"/>
    </row>
    <row r="88" spans="2:2" x14ac:dyDescent="0.35">
      <c r="B88" s="247"/>
    </row>
    <row r="89" spans="2:2" x14ac:dyDescent="0.35">
      <c r="B89" s="247"/>
    </row>
    <row r="90" spans="2:2" x14ac:dyDescent="0.35">
      <c r="B90" s="247"/>
    </row>
    <row r="91" spans="2:2" x14ac:dyDescent="0.35">
      <c r="B91" s="247"/>
    </row>
    <row r="92" spans="2:2" x14ac:dyDescent="0.35">
      <c r="B92" s="247"/>
    </row>
    <row r="93" spans="2:2" x14ac:dyDescent="0.35">
      <c r="B93" s="247"/>
    </row>
    <row r="94" spans="2:2" x14ac:dyDescent="0.35">
      <c r="B94" s="247"/>
    </row>
    <row r="95" spans="2:2" x14ac:dyDescent="0.35">
      <c r="B95" s="247"/>
    </row>
    <row r="96" spans="2:2" x14ac:dyDescent="0.35">
      <c r="B96" s="247"/>
    </row>
    <row r="97" spans="2:2" x14ac:dyDescent="0.35">
      <c r="B97" s="247"/>
    </row>
    <row r="98" spans="2:2" x14ac:dyDescent="0.35">
      <c r="B98" s="247"/>
    </row>
    <row r="99" spans="2:2" x14ac:dyDescent="0.35">
      <c r="B99" s="247"/>
    </row>
    <row r="100" spans="2:2" x14ac:dyDescent="0.35">
      <c r="B100" s="247"/>
    </row>
    <row r="101" spans="2:2" x14ac:dyDescent="0.35">
      <c r="B101" s="247"/>
    </row>
    <row r="102" spans="2:2" x14ac:dyDescent="0.35">
      <c r="B102" s="247"/>
    </row>
    <row r="103" spans="2:2" x14ac:dyDescent="0.35">
      <c r="B103" s="247"/>
    </row>
    <row r="104" spans="2:2" x14ac:dyDescent="0.35">
      <c r="B104" s="247"/>
    </row>
    <row r="105" spans="2:2" x14ac:dyDescent="0.35">
      <c r="B105" s="247"/>
    </row>
    <row r="106" spans="2:2" x14ac:dyDescent="0.35">
      <c r="B106" s="247"/>
    </row>
    <row r="107" spans="2:2" x14ac:dyDescent="0.35">
      <c r="B107" s="247"/>
    </row>
    <row r="108" spans="2:2" x14ac:dyDescent="0.35">
      <c r="B108" s="247"/>
    </row>
    <row r="109" spans="2:2" x14ac:dyDescent="0.35">
      <c r="B109" s="247"/>
    </row>
    <row r="110" spans="2:2" x14ac:dyDescent="0.35">
      <c r="B110" s="247"/>
    </row>
    <row r="111" spans="2:2" x14ac:dyDescent="0.35">
      <c r="B111" s="247"/>
    </row>
    <row r="112" spans="2:2" x14ac:dyDescent="0.35">
      <c r="B112" s="247"/>
    </row>
    <row r="113" spans="2:2" x14ac:dyDescent="0.35">
      <c r="B113" s="247"/>
    </row>
    <row r="114" spans="2:2" x14ac:dyDescent="0.35">
      <c r="B114" s="247"/>
    </row>
    <row r="115" spans="2:2" x14ac:dyDescent="0.35">
      <c r="B115" s="247"/>
    </row>
    <row r="116" spans="2:2" x14ac:dyDescent="0.35">
      <c r="B116" s="247"/>
    </row>
    <row r="117" spans="2:2" x14ac:dyDescent="0.35">
      <c r="B117" s="247"/>
    </row>
    <row r="118" spans="2:2" x14ac:dyDescent="0.35">
      <c r="B118" s="247"/>
    </row>
    <row r="119" spans="2:2" x14ac:dyDescent="0.35">
      <c r="B119" s="247"/>
    </row>
    <row r="120" spans="2:2" x14ac:dyDescent="0.35">
      <c r="B120" s="247"/>
    </row>
    <row r="121" spans="2:2" x14ac:dyDescent="0.35">
      <c r="B121" s="247"/>
    </row>
    <row r="122" spans="2:2" x14ac:dyDescent="0.35">
      <c r="B122" s="247"/>
    </row>
    <row r="123" spans="2:2" x14ac:dyDescent="0.35">
      <c r="B123" s="247"/>
    </row>
    <row r="124" spans="2:2" x14ac:dyDescent="0.35">
      <c r="B124" s="247"/>
    </row>
    <row r="125" spans="2:2" x14ac:dyDescent="0.35">
      <c r="B125" s="247"/>
    </row>
    <row r="126" spans="2:2" x14ac:dyDescent="0.35">
      <c r="B126" s="247"/>
    </row>
    <row r="127" spans="2:2" x14ac:dyDescent="0.35">
      <c r="B127" s="247"/>
    </row>
    <row r="128" spans="2:2" x14ac:dyDescent="0.35">
      <c r="B128" s="247"/>
    </row>
    <row r="129" spans="2:2" x14ac:dyDescent="0.35">
      <c r="B129" s="247"/>
    </row>
    <row r="130" spans="2:2" x14ac:dyDescent="0.35">
      <c r="B130" s="247"/>
    </row>
    <row r="131" spans="2:2" x14ac:dyDescent="0.35">
      <c r="B131" s="247"/>
    </row>
    <row r="132" spans="2:2" x14ac:dyDescent="0.35">
      <c r="B132" s="247"/>
    </row>
    <row r="133" spans="2:2" x14ac:dyDescent="0.35">
      <c r="B133" s="247"/>
    </row>
    <row r="134" spans="2:2" x14ac:dyDescent="0.35">
      <c r="B134" s="247"/>
    </row>
    <row r="135" spans="2:2" x14ac:dyDescent="0.35">
      <c r="B135" s="247"/>
    </row>
    <row r="136" spans="2:2" x14ac:dyDescent="0.35">
      <c r="B136" s="247"/>
    </row>
    <row r="137" spans="2:2" x14ac:dyDescent="0.35">
      <c r="B137" s="247"/>
    </row>
    <row r="138" spans="2:2" x14ac:dyDescent="0.35">
      <c r="B138" s="247"/>
    </row>
    <row r="139" spans="2:2" x14ac:dyDescent="0.35">
      <c r="B139" s="247"/>
    </row>
    <row r="140" spans="2:2" x14ac:dyDescent="0.35">
      <c r="B140" s="247"/>
    </row>
    <row r="141" spans="2:2" x14ac:dyDescent="0.35">
      <c r="B141" s="247"/>
    </row>
    <row r="142" spans="2:2" x14ac:dyDescent="0.35">
      <c r="B142" s="247"/>
    </row>
    <row r="143" spans="2:2" x14ac:dyDescent="0.35">
      <c r="B143" s="247"/>
    </row>
    <row r="144" spans="2:2" x14ac:dyDescent="0.35">
      <c r="B144" s="247"/>
    </row>
    <row r="145" spans="2:2" x14ac:dyDescent="0.35">
      <c r="B145" s="247"/>
    </row>
    <row r="146" spans="2:2" x14ac:dyDescent="0.35">
      <c r="B146" s="247"/>
    </row>
    <row r="147" spans="2:2" x14ac:dyDescent="0.35">
      <c r="B147" s="247"/>
    </row>
    <row r="148" spans="2:2" x14ac:dyDescent="0.35">
      <c r="B148" s="247"/>
    </row>
    <row r="149" spans="2:2" x14ac:dyDescent="0.35">
      <c r="B149" s="247"/>
    </row>
    <row r="150" spans="2:2" x14ac:dyDescent="0.35">
      <c r="B150" s="247"/>
    </row>
    <row r="151" spans="2:2" x14ac:dyDescent="0.35">
      <c r="B151" s="247"/>
    </row>
    <row r="152" spans="2:2" x14ac:dyDescent="0.35">
      <c r="B152" s="247"/>
    </row>
    <row r="153" spans="2:2" x14ac:dyDescent="0.35">
      <c r="B153" s="247"/>
    </row>
    <row r="154" spans="2:2" x14ac:dyDescent="0.35">
      <c r="B154" s="247"/>
    </row>
    <row r="155" spans="2:2" x14ac:dyDescent="0.35">
      <c r="B155" s="247"/>
    </row>
    <row r="156" spans="2:2" x14ac:dyDescent="0.35">
      <c r="B156" s="247"/>
    </row>
    <row r="157" spans="2:2" x14ac:dyDescent="0.35">
      <c r="B157" s="247"/>
    </row>
    <row r="158" spans="2:2" x14ac:dyDescent="0.35">
      <c r="B158" s="247"/>
    </row>
    <row r="159" spans="2:2" x14ac:dyDescent="0.35">
      <c r="B159" s="247"/>
    </row>
    <row r="160" spans="2:2" x14ac:dyDescent="0.35">
      <c r="B160" s="247"/>
    </row>
    <row r="161" spans="2:2" x14ac:dyDescent="0.35">
      <c r="B161" s="247"/>
    </row>
    <row r="162" spans="2:2" x14ac:dyDescent="0.35">
      <c r="B162" s="247"/>
    </row>
    <row r="163" spans="2:2" x14ac:dyDescent="0.35">
      <c r="B163" s="247"/>
    </row>
    <row r="164" spans="2:2" x14ac:dyDescent="0.35">
      <c r="B164" s="247"/>
    </row>
    <row r="165" spans="2:2" x14ac:dyDescent="0.35">
      <c r="B165" s="247"/>
    </row>
    <row r="166" spans="2:2" x14ac:dyDescent="0.35">
      <c r="B166" s="247"/>
    </row>
    <row r="167" spans="2:2" x14ac:dyDescent="0.35">
      <c r="B167" s="247"/>
    </row>
    <row r="168" spans="2:2" x14ac:dyDescent="0.35">
      <c r="B168" s="247"/>
    </row>
    <row r="169" spans="2:2" x14ac:dyDescent="0.35">
      <c r="B169" s="247"/>
    </row>
    <row r="170" spans="2:2" x14ac:dyDescent="0.35">
      <c r="B170" s="247"/>
    </row>
    <row r="171" spans="2:2" x14ac:dyDescent="0.35">
      <c r="B171" s="247"/>
    </row>
    <row r="172" spans="2:2" x14ac:dyDescent="0.35">
      <c r="B172" s="247"/>
    </row>
    <row r="173" spans="2:2" x14ac:dyDescent="0.35">
      <c r="B173" s="247"/>
    </row>
    <row r="174" spans="2:2" x14ac:dyDescent="0.35">
      <c r="B174" s="247"/>
    </row>
    <row r="175" spans="2:2" x14ac:dyDescent="0.35">
      <c r="B175" s="247"/>
    </row>
    <row r="176" spans="2:2" x14ac:dyDescent="0.35">
      <c r="B176" s="247"/>
    </row>
    <row r="177" spans="2:2" x14ac:dyDescent="0.35">
      <c r="B177" s="247"/>
    </row>
    <row r="178" spans="2:2" x14ac:dyDescent="0.35">
      <c r="B178" s="247"/>
    </row>
    <row r="179" spans="2:2" x14ac:dyDescent="0.35">
      <c r="B179" s="247"/>
    </row>
    <row r="180" spans="2:2" x14ac:dyDescent="0.35">
      <c r="B180" s="247"/>
    </row>
    <row r="181" spans="2:2" x14ac:dyDescent="0.35">
      <c r="B181" s="247"/>
    </row>
    <row r="182" spans="2:2" x14ac:dyDescent="0.35">
      <c r="B182" s="247"/>
    </row>
    <row r="183" spans="2:2" x14ac:dyDescent="0.35">
      <c r="B183" s="247"/>
    </row>
    <row r="184" spans="2:2" x14ac:dyDescent="0.35">
      <c r="B184" s="247"/>
    </row>
    <row r="185" spans="2:2" x14ac:dyDescent="0.35">
      <c r="B185" s="247"/>
    </row>
    <row r="186" spans="2:2" x14ac:dyDescent="0.35">
      <c r="B186" s="247"/>
    </row>
    <row r="187" spans="2:2" x14ac:dyDescent="0.35">
      <c r="B187" s="247"/>
    </row>
    <row r="188" spans="2:2" x14ac:dyDescent="0.35">
      <c r="B188" s="247"/>
    </row>
    <row r="189" spans="2:2" x14ac:dyDescent="0.35">
      <c r="B189" s="247"/>
    </row>
    <row r="190" spans="2:2" x14ac:dyDescent="0.35">
      <c r="B190" s="247"/>
    </row>
    <row r="191" spans="2:2" x14ac:dyDescent="0.35">
      <c r="B191" s="247"/>
    </row>
    <row r="192" spans="2:2" x14ac:dyDescent="0.35">
      <c r="B192" s="247"/>
    </row>
    <row r="193" spans="2:2" x14ac:dyDescent="0.35">
      <c r="B193" s="247"/>
    </row>
    <row r="194" spans="2:2" x14ac:dyDescent="0.35">
      <c r="B194" s="247"/>
    </row>
    <row r="195" spans="2:2" x14ac:dyDescent="0.35">
      <c r="B195" s="247"/>
    </row>
    <row r="196" spans="2:2" x14ac:dyDescent="0.35">
      <c r="B196" s="247"/>
    </row>
    <row r="197" spans="2:2" x14ac:dyDescent="0.35">
      <c r="B197" s="247"/>
    </row>
    <row r="198" spans="2:2" x14ac:dyDescent="0.35">
      <c r="B198" s="247"/>
    </row>
    <row r="199" spans="2:2" x14ac:dyDescent="0.35">
      <c r="B199" s="247"/>
    </row>
    <row r="200" spans="2:2" x14ac:dyDescent="0.35">
      <c r="B200" s="247"/>
    </row>
    <row r="201" spans="2:2" x14ac:dyDescent="0.35">
      <c r="B201" s="247"/>
    </row>
    <row r="202" spans="2:2" x14ac:dyDescent="0.35">
      <c r="B202" s="247"/>
    </row>
    <row r="203" spans="2:2" x14ac:dyDescent="0.35">
      <c r="B203" s="247"/>
    </row>
    <row r="204" spans="2:2" x14ac:dyDescent="0.35">
      <c r="B204" s="247"/>
    </row>
    <row r="205" spans="2:2" x14ac:dyDescent="0.35">
      <c r="B205" s="247"/>
    </row>
    <row r="206" spans="2:2" x14ac:dyDescent="0.35">
      <c r="B206" s="247"/>
    </row>
    <row r="207" spans="2:2" x14ac:dyDescent="0.35">
      <c r="B207" s="247"/>
    </row>
    <row r="208" spans="2:2" x14ac:dyDescent="0.35">
      <c r="B208" s="247"/>
    </row>
    <row r="209" spans="2:2" x14ac:dyDescent="0.35">
      <c r="B209" s="247"/>
    </row>
    <row r="210" spans="2:2" x14ac:dyDescent="0.35">
      <c r="B210" s="247"/>
    </row>
    <row r="211" spans="2:2" x14ac:dyDescent="0.35">
      <c r="B211" s="247"/>
    </row>
    <row r="212" spans="2:2" x14ac:dyDescent="0.35">
      <c r="B212" s="247"/>
    </row>
    <row r="213" spans="2:2" x14ac:dyDescent="0.35">
      <c r="B213" s="247"/>
    </row>
    <row r="214" spans="2:2" x14ac:dyDescent="0.35">
      <c r="B214" s="247"/>
    </row>
    <row r="215" spans="2:2" x14ac:dyDescent="0.35">
      <c r="B215" s="247"/>
    </row>
    <row r="216" spans="2:2" x14ac:dyDescent="0.35">
      <c r="B216" s="247"/>
    </row>
    <row r="217" spans="2:2" x14ac:dyDescent="0.35">
      <c r="B217" s="247"/>
    </row>
    <row r="218" spans="2:2" x14ac:dyDescent="0.35">
      <c r="B218" s="247"/>
    </row>
    <row r="219" spans="2:2" x14ac:dyDescent="0.35">
      <c r="B219" s="247"/>
    </row>
    <row r="220" spans="2:2" x14ac:dyDescent="0.35">
      <c r="B220" s="247"/>
    </row>
    <row r="221" spans="2:2" x14ac:dyDescent="0.35">
      <c r="B221" s="247"/>
    </row>
    <row r="222" spans="2:2" x14ac:dyDescent="0.35">
      <c r="B222" s="247"/>
    </row>
    <row r="223" spans="2:2" x14ac:dyDescent="0.35">
      <c r="B223" s="247"/>
    </row>
    <row r="224" spans="2:2" x14ac:dyDescent="0.35">
      <c r="B224" s="247"/>
    </row>
    <row r="225" spans="2:2" x14ac:dyDescent="0.35">
      <c r="B225" s="247"/>
    </row>
    <row r="226" spans="2:2" x14ac:dyDescent="0.35">
      <c r="B226" s="247"/>
    </row>
    <row r="227" spans="2:2" x14ac:dyDescent="0.35">
      <c r="B227" s="247"/>
    </row>
    <row r="228" spans="2:2" x14ac:dyDescent="0.35">
      <c r="B228" s="247"/>
    </row>
    <row r="229" spans="2:2" x14ac:dyDescent="0.35">
      <c r="B229" s="247"/>
    </row>
    <row r="230" spans="2:2" x14ac:dyDescent="0.35">
      <c r="B230" s="247"/>
    </row>
    <row r="231" spans="2:2" x14ac:dyDescent="0.35">
      <c r="B231" s="247"/>
    </row>
    <row r="232" spans="2:2" x14ac:dyDescent="0.35">
      <c r="B232" s="247"/>
    </row>
    <row r="233" spans="2:2" x14ac:dyDescent="0.35">
      <c r="B233" s="247"/>
    </row>
    <row r="234" spans="2:2" x14ac:dyDescent="0.35">
      <c r="B234" s="247"/>
    </row>
    <row r="235" spans="2:2" x14ac:dyDescent="0.35">
      <c r="B235" s="247"/>
    </row>
    <row r="236" spans="2:2" x14ac:dyDescent="0.35">
      <c r="B236" s="247"/>
    </row>
    <row r="237" spans="2:2" x14ac:dyDescent="0.35">
      <c r="B237" s="247"/>
    </row>
    <row r="238" spans="2:2" x14ac:dyDescent="0.35">
      <c r="B238" s="247"/>
    </row>
    <row r="239" spans="2:2" x14ac:dyDescent="0.35">
      <c r="B239" s="247"/>
    </row>
    <row r="240" spans="2:2" x14ac:dyDescent="0.35">
      <c r="B240" s="247"/>
    </row>
    <row r="241" spans="2:2" x14ac:dyDescent="0.35">
      <c r="B241" s="247"/>
    </row>
    <row r="242" spans="2:2" x14ac:dyDescent="0.35">
      <c r="B242" s="247"/>
    </row>
    <row r="243" spans="2:2" x14ac:dyDescent="0.35">
      <c r="B243" s="247"/>
    </row>
    <row r="244" spans="2:2" x14ac:dyDescent="0.35">
      <c r="B244" s="247"/>
    </row>
    <row r="245" spans="2:2" x14ac:dyDescent="0.35">
      <c r="B245" s="247"/>
    </row>
    <row r="246" spans="2:2" x14ac:dyDescent="0.35">
      <c r="B246" s="247"/>
    </row>
    <row r="247" spans="2:2" x14ac:dyDescent="0.35">
      <c r="B247" s="247"/>
    </row>
    <row r="248" spans="2:2" x14ac:dyDescent="0.35">
      <c r="B248" s="247"/>
    </row>
    <row r="249" spans="2:2" x14ac:dyDescent="0.35">
      <c r="B249" s="247"/>
    </row>
    <row r="250" spans="2:2" x14ac:dyDescent="0.35">
      <c r="B250" s="247"/>
    </row>
    <row r="251" spans="2:2" x14ac:dyDescent="0.35">
      <c r="B251" s="247"/>
    </row>
    <row r="252" spans="2:2" x14ac:dyDescent="0.35">
      <c r="B252" s="247"/>
    </row>
    <row r="253" spans="2:2" x14ac:dyDescent="0.35">
      <c r="B253" s="247"/>
    </row>
    <row r="254" spans="2:2" x14ac:dyDescent="0.35">
      <c r="B254" s="247"/>
    </row>
    <row r="255" spans="2:2" x14ac:dyDescent="0.35">
      <c r="B255" s="247"/>
    </row>
    <row r="256" spans="2:2" x14ac:dyDescent="0.35">
      <c r="B256" s="247"/>
    </row>
    <row r="257" spans="2:2" x14ac:dyDescent="0.35">
      <c r="B257" s="247"/>
    </row>
    <row r="258" spans="2:2" x14ac:dyDescent="0.35">
      <c r="B258" s="247"/>
    </row>
    <row r="259" spans="2:2" x14ac:dyDescent="0.35">
      <c r="B259" s="247"/>
    </row>
    <row r="260" spans="2:2" x14ac:dyDescent="0.35">
      <c r="B260" s="247"/>
    </row>
    <row r="261" spans="2:2" x14ac:dyDescent="0.35">
      <c r="B261" s="247"/>
    </row>
    <row r="262" spans="2:2" x14ac:dyDescent="0.35">
      <c r="B262" s="247"/>
    </row>
    <row r="263" spans="2:2" x14ac:dyDescent="0.35">
      <c r="B263" s="247"/>
    </row>
    <row r="264" spans="2:2" x14ac:dyDescent="0.35">
      <c r="B264" s="247"/>
    </row>
    <row r="265" spans="2:2" x14ac:dyDescent="0.35">
      <c r="B265" s="247"/>
    </row>
    <row r="266" spans="2:2" x14ac:dyDescent="0.35">
      <c r="B266" s="247"/>
    </row>
    <row r="267" spans="2:2" x14ac:dyDescent="0.35">
      <c r="B267" s="247"/>
    </row>
    <row r="268" spans="2:2" x14ac:dyDescent="0.35">
      <c r="B268" s="247"/>
    </row>
    <row r="269" spans="2:2" x14ac:dyDescent="0.35">
      <c r="B269" s="247"/>
    </row>
    <row r="270" spans="2:2" x14ac:dyDescent="0.35">
      <c r="B270" s="247"/>
    </row>
    <row r="271" spans="2:2" x14ac:dyDescent="0.35">
      <c r="B271" s="247"/>
    </row>
    <row r="272" spans="2:2" x14ac:dyDescent="0.35">
      <c r="B272" s="247"/>
    </row>
    <row r="273" spans="2:2" x14ac:dyDescent="0.35">
      <c r="B273" s="247"/>
    </row>
    <row r="274" spans="2:2" x14ac:dyDescent="0.35">
      <c r="B274" s="247"/>
    </row>
    <row r="275" spans="2:2" x14ac:dyDescent="0.35">
      <c r="B275" s="247"/>
    </row>
    <row r="276" spans="2:2" x14ac:dyDescent="0.35">
      <c r="B276" s="247"/>
    </row>
    <row r="277" spans="2:2" x14ac:dyDescent="0.35">
      <c r="B277" s="247"/>
    </row>
    <row r="278" spans="2:2" x14ac:dyDescent="0.35">
      <c r="B278" s="247"/>
    </row>
    <row r="279" spans="2:2" x14ac:dyDescent="0.35">
      <c r="B279" s="247"/>
    </row>
    <row r="280" spans="2:2" x14ac:dyDescent="0.35">
      <c r="B280" s="247"/>
    </row>
    <row r="281" spans="2:2" x14ac:dyDescent="0.35">
      <c r="B281" s="247"/>
    </row>
    <row r="282" spans="2:2" x14ac:dyDescent="0.35">
      <c r="B282" s="247"/>
    </row>
    <row r="283" spans="2:2" x14ac:dyDescent="0.35">
      <c r="B283" s="247"/>
    </row>
    <row r="284" spans="2:2" x14ac:dyDescent="0.35">
      <c r="B284" s="247"/>
    </row>
    <row r="285" spans="2:2" x14ac:dyDescent="0.35">
      <c r="B285" s="247"/>
    </row>
    <row r="286" spans="2:2" x14ac:dyDescent="0.35">
      <c r="B286" s="247"/>
    </row>
    <row r="287" spans="2:2" x14ac:dyDescent="0.35">
      <c r="B287" s="247"/>
    </row>
    <row r="288" spans="2:2" x14ac:dyDescent="0.35">
      <c r="B288" s="247"/>
    </row>
    <row r="289" spans="2:2" x14ac:dyDescent="0.35">
      <c r="B289" s="247"/>
    </row>
    <row r="290" spans="2:2" x14ac:dyDescent="0.35">
      <c r="B290" s="247"/>
    </row>
    <row r="291" spans="2:2" x14ac:dyDescent="0.35">
      <c r="B291" s="247"/>
    </row>
  </sheetData>
  <mergeCells count="4">
    <mergeCell ref="E2:F2"/>
    <mergeCell ref="G2:H2"/>
    <mergeCell ref="I2:J2"/>
    <mergeCell ref="K2:L2"/>
  </mergeCells>
  <conditionalFormatting sqref="A3:A31">
    <cfRule type="expression" dxfId="84" priority="47">
      <formula>D3&gt;10</formula>
    </cfRule>
    <cfRule type="expression" dxfId="83" priority="48">
      <formula>D3&lt;2.65</formula>
    </cfRule>
  </conditionalFormatting>
  <conditionalFormatting sqref="C3:C31">
    <cfRule type="containsText" dxfId="82" priority="33" operator="containsText" text="&quot;n/d&quot;">
      <formula>NOT(ISERROR(SEARCH("""n/d""",C3)))</formula>
    </cfRule>
  </conditionalFormatting>
  <conditionalFormatting sqref="C3:C31">
    <cfRule type="expression" dxfId="81" priority="32">
      <formula>$S3&gt;0</formula>
    </cfRule>
  </conditionalFormatting>
  <conditionalFormatting sqref="B34">
    <cfRule type="cellIs" dxfId="80" priority="17" operator="equal">
      <formula>"OK"</formula>
    </cfRule>
    <cfRule type="cellIs" dxfId="79" priority="18" operator="equal">
      <formula>"ERREUR"</formula>
    </cfRule>
  </conditionalFormatting>
  <conditionalFormatting sqref="B4:B32">
    <cfRule type="iconSet" priority="31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B35:B38">
    <cfRule type="iconSet" priority="15">
      <iconSet iconSet="4TrafficLights">
        <cfvo type="percent" val="0"/>
        <cfvo type="num" val="0" gte="0"/>
        <cfvo type="num" val="2.65"/>
        <cfvo type="num" val="6.25"/>
      </iconSet>
    </cfRule>
  </conditionalFormatting>
  <dataValidations count="4">
    <dataValidation type="list" allowBlank="1" showInputMessage="1" showErrorMessage="1" sqref="F3:F31 H3:H31 J3:J31 L3:L31">
      <formula1>billet</formula1>
    </dataValidation>
    <dataValidation type="list" allowBlank="1" showInputMessage="1" showErrorMessage="1" sqref="E3:E31">
      <formula1>OCTOBRE</formula1>
    </dataValidation>
    <dataValidation type="list" allowBlank="1" showInputMessage="1" showErrorMessage="1" sqref="G3:G31">
      <formula1>novembre</formula1>
    </dataValidation>
    <dataValidation type="list" allowBlank="1" showInputMessage="1" showErrorMessage="1" sqref="I3:I31 K3:K31">
      <formula1>decembre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6" operator="containsText" text="N/P" id="{9567847A-172E-4697-8953-90B42D26491C}">
            <xm:f>NOT(ISERROR(SEARCH("N/P",GEN!E3)))</xm:f>
            <x14:dxf>
              <fill>
                <patternFill patternType="darkUp">
                  <fgColor theme="5" tint="0.39994506668294322"/>
                  <bgColor rgb="FFFF0000"/>
                </patternFill>
              </fill>
            </x14:dxf>
          </x14:cfRule>
          <xm:sqref>B3:B32 B35:B38</xm:sqref>
        </x14:conditionalFormatting>
        <x14:conditionalFormatting xmlns:xm="http://schemas.microsoft.com/office/excel/2006/main">
          <x14:cfRule type="containsText" priority="1" operator="containsText" text="N/E" id="{969CA106-2047-4AB4-8FBE-4490E4CD6DF3}">
            <xm:f>NOT(ISERROR(SEARCH("N/E",GEN!E4)))</xm:f>
            <x14:dxf>
              <fill>
                <patternFill patternType="darkDown">
                  <fgColor theme="0" tint="-0.34998626667073579"/>
                  <bgColor theme="0" tint="-0.24994659260841701"/>
                </patternFill>
              </fill>
            </x14:dxf>
          </x14:cfRule>
          <xm:sqref>B4:B32</xm:sqref>
        </x14:conditionalFormatting>
        <x14:conditionalFormatting xmlns:xm="http://schemas.microsoft.com/office/excel/2006/main">
          <x14:cfRule type="cellIs" priority="19" operator="equal" id="{FD6CB1B1-2EA2-43AB-A2A8-002545A69E4E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20" operator="equal" id="{7B7F505D-80D0-479B-A447-5D3B8CD8F354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21" operator="equal" id="{CD89C790-6EFD-424D-A0D9-553E86CAA81F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22" operator="equal" id="{0A32A353-63C6-4A92-A989-D567A913426A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23" operator="equal" id="{E54F7C28-0D2E-480E-B1C7-79912BA35709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24" operator="equal" id="{04BB10CA-D9DD-479D-85A1-5AF3ADF822AD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25" operator="equal" id="{CD14F019-3508-49F1-A846-CFC60A863CCD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26" operator="equal" id="{9CAB4DC2-9496-4C44-B863-526950A31AFC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27" operator="equal" id="{E7C9622E-11D0-4B61-83B7-8AD28920D1CE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28" operator="equal" id="{7B615283-E7AC-40AD-91D1-C5EF1DC4BD31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29" operator="equal" id="{5BBDB652-3539-4A1A-99AF-C342C6A443D4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30" operator="equal" id="{0C241B9E-00C0-47BB-AE5D-C5F385C7B657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B3:B32</xm:sqref>
        </x14:conditionalFormatting>
        <x14:conditionalFormatting xmlns:xm="http://schemas.microsoft.com/office/excel/2006/main">
          <x14:cfRule type="cellIs" priority="3" operator="equal" id="{22477246-FF84-4A31-86A1-51B989070B21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4" operator="equal" id="{6A6A04E3-39C1-4FD8-B08D-52AAAE9C4FF0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5" operator="equal" id="{9EC0FCFE-200F-44B2-A795-4B3ADC20774C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6" operator="equal" id="{ACE46A5F-A77B-4F33-AAEE-FC012E09750A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7" operator="equal" id="{D410A8E0-5A71-42F6-ADA2-82E54753FDAD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8" operator="equal" id="{A20CC8FD-5E49-4CCD-9D64-5EB64C2ED999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9" operator="equal" id="{D8182F87-62E5-4115-B94F-7B902FD070C0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10" operator="equal" id="{0EACBC0B-0D97-4D11-BA35-6EBA8ECFCA7F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11" operator="equal" id="{968DBD06-A25A-498E-A664-28DBA54E5CC2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12" operator="equal" id="{E92956B0-4283-4C63-978D-79CDFD81E87C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13" operator="equal" id="{BBA3A754-DF45-4003-9A1C-2215FD2F9015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14" operator="equal" id="{00F79175-B253-484A-B09B-BDD26B6334CD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B35:B38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BA51"/>
  <sheetViews>
    <sheetView topLeftCell="N1" zoomScale="85" zoomScaleNormal="85" workbookViewId="0">
      <selection activeCell="R49" sqref="R49"/>
    </sheetView>
  </sheetViews>
  <sheetFormatPr baseColWidth="10" defaultColWidth="11.453125" defaultRowHeight="14.5" x14ac:dyDescent="0.35"/>
  <cols>
    <col min="1" max="1" width="17.26953125" style="7" bestFit="1" customWidth="1"/>
    <col min="2" max="2" width="9.81640625" style="7" bestFit="1" customWidth="1"/>
    <col min="3" max="3" width="14" style="7" customWidth="1"/>
    <col min="4" max="4" width="4.1796875" style="7" bestFit="1" customWidth="1"/>
    <col min="5" max="5" width="17.453125" style="7" customWidth="1"/>
    <col min="6" max="6" width="14" style="8" customWidth="1"/>
    <col min="7" max="7" width="4.1796875" style="8" bestFit="1" customWidth="1"/>
    <col min="8" max="8" width="16.453125" style="8" customWidth="1"/>
    <col min="9" max="9" width="14" style="8" customWidth="1"/>
    <col min="10" max="10" width="4.1796875" style="8" bestFit="1" customWidth="1"/>
    <col min="11" max="11" width="15.7265625" style="8" customWidth="1"/>
    <col min="12" max="12" width="14" style="8" customWidth="1"/>
    <col min="13" max="13" width="4.1796875" style="8" bestFit="1" customWidth="1"/>
    <col min="14" max="14" width="14.1796875" style="8" bestFit="1" customWidth="1"/>
    <col min="15" max="15" width="14" style="8" customWidth="1"/>
    <col min="16" max="16" width="4.1796875" style="8" bestFit="1" customWidth="1"/>
    <col min="17" max="17" width="14.1796875" style="8" bestFit="1" customWidth="1"/>
    <col min="18" max="19" width="14" style="8" customWidth="1"/>
    <col min="20" max="20" width="16.54296875" style="7" customWidth="1"/>
    <col min="21" max="21" width="14.54296875" style="8" customWidth="1"/>
    <col min="22" max="22" width="14" style="8" customWidth="1"/>
    <col min="23" max="23" width="14" style="8" bestFit="1" customWidth="1"/>
    <col min="24" max="25" width="14" style="7" bestFit="1" customWidth="1"/>
    <col min="26" max="26" width="19.54296875" style="7" bestFit="1" customWidth="1"/>
    <col min="27" max="27" width="11.453125" style="7"/>
    <col min="28" max="33" width="11.453125" style="7" customWidth="1"/>
    <col min="34" max="35" width="11.453125" style="7"/>
    <col min="36" max="50" width="6.7265625" style="7" customWidth="1"/>
    <col min="51" max="16384" width="11.453125" style="7"/>
  </cols>
  <sheetData>
    <row r="1" spans="1:53" ht="16.5" customHeight="1" thickTop="1" thickBot="1" x14ac:dyDescent="0.4">
      <c r="A1" s="39" t="s">
        <v>0</v>
      </c>
      <c r="B1" s="72" t="s">
        <v>36</v>
      </c>
      <c r="C1" s="45" t="s">
        <v>18</v>
      </c>
      <c r="D1" s="349" t="s">
        <v>30</v>
      </c>
      <c r="E1" s="50"/>
      <c r="F1" s="47">
        <v>43350</v>
      </c>
      <c r="G1" s="349" t="s">
        <v>31</v>
      </c>
      <c r="H1" s="49"/>
      <c r="I1" s="47">
        <v>43357</v>
      </c>
      <c r="J1" s="349" t="s">
        <v>32</v>
      </c>
      <c r="K1" s="49"/>
      <c r="L1" s="47">
        <v>43364</v>
      </c>
      <c r="M1" s="349" t="s">
        <v>34</v>
      </c>
      <c r="N1" s="56"/>
      <c r="O1" s="46">
        <v>43371</v>
      </c>
      <c r="P1" s="352" t="s">
        <v>33</v>
      </c>
      <c r="Q1" s="44"/>
      <c r="R1" s="40">
        <v>43372</v>
      </c>
      <c r="S1" s="85"/>
      <c r="T1" s="41" t="s">
        <v>6</v>
      </c>
      <c r="U1" s="38">
        <f>F1</f>
        <v>43350</v>
      </c>
      <c r="V1" s="36">
        <f>I1</f>
        <v>43357</v>
      </c>
      <c r="W1" s="36">
        <f>L1</f>
        <v>43364</v>
      </c>
      <c r="X1" s="36">
        <f>O1</f>
        <v>43371</v>
      </c>
      <c r="Y1" s="36">
        <f>R1</f>
        <v>43372</v>
      </c>
      <c r="Z1" s="37" t="s">
        <v>8</v>
      </c>
      <c r="AA1" s="36">
        <f>F1</f>
        <v>43350</v>
      </c>
      <c r="AB1" s="36">
        <f>I1</f>
        <v>43357</v>
      </c>
      <c r="AC1" s="36">
        <f>L1</f>
        <v>43364</v>
      </c>
      <c r="AD1" s="36">
        <f>O1</f>
        <v>43371</v>
      </c>
      <c r="AE1" s="36">
        <f>R1</f>
        <v>43372</v>
      </c>
      <c r="AF1" s="36">
        <v>43350</v>
      </c>
      <c r="AG1" s="36">
        <v>43357</v>
      </c>
      <c r="AH1" s="36">
        <v>43364</v>
      </c>
      <c r="AI1" s="36">
        <v>43371</v>
      </c>
      <c r="AJ1" s="344" t="s">
        <v>7</v>
      </c>
      <c r="AK1" s="345"/>
      <c r="AL1" s="345"/>
      <c r="AM1" s="345"/>
      <c r="AN1" s="346"/>
      <c r="AO1" s="344" t="s">
        <v>4</v>
      </c>
      <c r="AP1" s="345"/>
      <c r="AQ1" s="345"/>
      <c r="AR1" s="345"/>
      <c r="AS1" s="346"/>
      <c r="AT1" s="344" t="s">
        <v>1</v>
      </c>
      <c r="AU1" s="345"/>
      <c r="AV1" s="345"/>
      <c r="AW1" s="345"/>
      <c r="AX1" s="346"/>
      <c r="AY1" s="17" t="s">
        <v>6</v>
      </c>
    </row>
    <row r="2" spans="1:53" ht="17.25" customHeight="1" thickTop="1" thickBot="1" x14ac:dyDescent="0.4">
      <c r="A2" s="75" t="e">
        <f>GEN!#REF!</f>
        <v>#REF!</v>
      </c>
      <c r="B2" s="80">
        <f t="shared" ref="B2:B30" si="0">COUNTIF(F2,"p")+COUNTIF(I2,"p")+COUNTIF(L2,"p")+COUNTIF(O2,"p")+COUNTIF(R2,"p")</f>
        <v>3</v>
      </c>
      <c r="C2" s="78" t="s">
        <v>16</v>
      </c>
      <c r="D2" s="350"/>
      <c r="E2" s="9" t="e">
        <f>GEN!#REF!</f>
        <v>#REF!</v>
      </c>
      <c r="F2" s="48" t="s">
        <v>3</v>
      </c>
      <c r="G2" s="350"/>
      <c r="H2" s="9" t="e">
        <f>GEN!#REF!</f>
        <v>#REF!</v>
      </c>
      <c r="I2" s="48" t="str">
        <f>IF($C2="p","P",IF($C2="n/p","N/P"))</f>
        <v>P</v>
      </c>
      <c r="J2" s="350"/>
      <c r="K2" s="9" t="e">
        <f>GEN!#REF!</f>
        <v>#REF!</v>
      </c>
      <c r="L2" s="48" t="str">
        <f>IF($C2="p","P",IF($C2="n/p","N/P"))</f>
        <v>P</v>
      </c>
      <c r="M2" s="350"/>
      <c r="N2" s="5" t="e">
        <f>GEN!#REF!</f>
        <v>#REF!</v>
      </c>
      <c r="O2" s="48" t="str">
        <f>IF($C2="p","P",IF($C2="n/p","N/P"))</f>
        <v>P</v>
      </c>
      <c r="P2" s="353"/>
      <c r="Q2" s="5" t="e">
        <f>GEN!#REF!</f>
        <v>#REF!</v>
      </c>
      <c r="R2" s="48" t="s">
        <v>3</v>
      </c>
      <c r="S2" s="48"/>
      <c r="T2" s="107" t="s">
        <v>4</v>
      </c>
      <c r="U2" s="23">
        <f>IF(F2="p",VLOOKUP($T2,PATISS!$A$2:$B$4,2,FALSE),0)</f>
        <v>0</v>
      </c>
      <c r="V2" s="11" t="e">
        <f>IF(I2="p",VLOOKUP($T2,PATISS!$A$2:$B$4,2,FALSE),0)</f>
        <v>#N/A</v>
      </c>
      <c r="W2" s="11" t="e">
        <f>IF(L2="p",VLOOKUP($T2,PATISS!$A$2:$B$4,2,FALSE),0)</f>
        <v>#N/A</v>
      </c>
      <c r="X2" s="11" t="e">
        <f>IF(O2="p",VLOOKUP($T2,PATISS!$A$2:$B$4,2,FALSE),0)</f>
        <v>#N/A</v>
      </c>
      <c r="Y2" s="11">
        <f>IF(R2="p",VLOOKUP($T2,PATISS!$A$2:$B$4,2,FALSE),0)</f>
        <v>0</v>
      </c>
      <c r="Z2" s="12" t="e">
        <f>IF(U2+V2+W2+X2+Y2&lt;0.5,0,VLOOKUP(T2,PATISS!$A$16:$B$18,2,FALSE))</f>
        <v>#N/A</v>
      </c>
      <c r="AA2" s="13">
        <f>IF(U2&lt;0.5,0,VLOOKUP($T2,PATISS!$C$2:$D$4,2,FALSE))</f>
        <v>0</v>
      </c>
      <c r="AB2" s="13" t="e">
        <f>IF(V2&lt;0.5,0,VLOOKUP($T2,PATISS!$C$2:$D$4,2,FALSE))</f>
        <v>#N/A</v>
      </c>
      <c r="AC2" s="13" t="e">
        <f>IF(W2&lt;0.5,0,VLOOKUP($T2,PATISS!$C$2:$D$4,2,FALSE))</f>
        <v>#N/A</v>
      </c>
      <c r="AD2" s="13" t="e">
        <f>IF(X2&lt;0.5,0,VLOOKUP($T2,PATISS!$C$2:$D$4,2,FALSE))</f>
        <v>#N/A</v>
      </c>
      <c r="AE2" s="13">
        <f>IF(Y2&lt;0.5,0,VLOOKUP($T2,PATISS!$C$2:$D$4,2,FALSE))</f>
        <v>0</v>
      </c>
      <c r="AF2" s="14" t="e">
        <f>IF(U2&gt;0.5,0,VLOOKUP($T2,PATISS!$A$2:$B$4,2,FALSE))</f>
        <v>#N/A</v>
      </c>
      <c r="AG2" s="14" t="e">
        <f>IF(V2&gt;0.5,0,VLOOKUP($T2,PATISS!$A$2:$B$4,2,FALSE))</f>
        <v>#N/A</v>
      </c>
      <c r="AH2" s="14" t="e">
        <f>IF(W2&gt;0.5,0,VLOOKUP($T2,PATISS!$A$2:$B$4,2,FALSE))</f>
        <v>#N/A</v>
      </c>
      <c r="AI2" s="14" t="e">
        <f>IF(X2&gt;0.5,0,VLOOKUP($T2,PATISS!$A$2:$B$4,2,FALSE))</f>
        <v>#N/A</v>
      </c>
      <c r="AJ2" s="19">
        <f>IF(AA2=PATISS!$D$2,1,0)</f>
        <v>0</v>
      </c>
      <c r="AK2" s="10" t="e">
        <f>IF(AB2=PATISS!$D$2,1,0)</f>
        <v>#N/A</v>
      </c>
      <c r="AL2" s="10" t="e">
        <f>IF(AC2=PATISS!$D$2,1,0)</f>
        <v>#N/A</v>
      </c>
      <c r="AM2" s="10" t="e">
        <f>IF(AD2=PATISS!$D$2,1,0)</f>
        <v>#N/A</v>
      </c>
      <c r="AN2" s="20">
        <f>IF(AE2=PATISS!$D$2,1,0)</f>
        <v>0</v>
      </c>
      <c r="AO2" s="19">
        <f>IF(AA2=PATISS!$D$4,1,0)</f>
        <v>0</v>
      </c>
      <c r="AP2" s="10" t="e">
        <f>IF(AB2=PATISS!$D$4,1,0)</f>
        <v>#N/A</v>
      </c>
      <c r="AQ2" s="10" t="e">
        <f>IF(AC2=PATISS!$D$4,1,0)</f>
        <v>#N/A</v>
      </c>
      <c r="AR2" s="10" t="e">
        <f>IF(AD2=PATISS!$D$4,1,0)</f>
        <v>#N/A</v>
      </c>
      <c r="AS2" s="10">
        <f>IF(AE2=PATISS!$D$4,1,0)</f>
        <v>0</v>
      </c>
      <c r="AT2" s="19">
        <f>IF(AA2=PATISS!$D$3,1,0)</f>
        <v>1</v>
      </c>
      <c r="AU2" s="10" t="e">
        <f>IF(AB2=PATISS!$D$3,1,0)</f>
        <v>#N/A</v>
      </c>
      <c r="AV2" s="10" t="e">
        <f>IF(AC2=PATISS!$D$3,1,0)</f>
        <v>#N/A</v>
      </c>
      <c r="AW2" s="10" t="e">
        <f>IF(AD2=PATISS!$D$3,1,0)</f>
        <v>#N/A</v>
      </c>
      <c r="AX2" s="20">
        <f>IF(AE2=PATISS!$D$3,1,0)</f>
        <v>1</v>
      </c>
      <c r="AY2" s="18" t="s">
        <v>2</v>
      </c>
      <c r="AZ2" s="7" t="s">
        <v>21</v>
      </c>
      <c r="BA2" s="7">
        <v>2.65</v>
      </c>
    </row>
    <row r="3" spans="1:53" ht="15.5" thickTop="1" thickBot="1" x14ac:dyDescent="0.4">
      <c r="A3" s="76" t="e">
        <f>GEN!#REF!</f>
        <v>#REF!</v>
      </c>
      <c r="B3" s="80">
        <f t="shared" si="0"/>
        <v>2</v>
      </c>
      <c r="C3" s="78" t="s">
        <v>16</v>
      </c>
      <c r="D3" s="350"/>
      <c r="E3" s="9" t="e">
        <f>GEN!#REF!</f>
        <v>#REF!</v>
      </c>
      <c r="F3" s="48" t="s">
        <v>3</v>
      </c>
      <c r="G3" s="350"/>
      <c r="H3" s="9" t="e">
        <f>GEN!#REF!</f>
        <v>#REF!</v>
      </c>
      <c r="I3" s="48" t="s">
        <v>3</v>
      </c>
      <c r="J3" s="350"/>
      <c r="K3" s="9" t="e">
        <f>GEN!#REF!</f>
        <v>#REF!</v>
      </c>
      <c r="L3" s="48" t="str">
        <f>IF($C3="p","P",IF($C3="n/p","N/P"))</f>
        <v>P</v>
      </c>
      <c r="M3" s="350"/>
      <c r="N3" s="5" t="e">
        <f>GEN!#REF!</f>
        <v>#REF!</v>
      </c>
      <c r="O3" s="48" t="str">
        <f>IF($C3="p","P",IF($C3="n/p","N/P"))</f>
        <v>P</v>
      </c>
      <c r="P3" s="353"/>
      <c r="Q3" s="5" t="e">
        <f>GEN!#REF!</f>
        <v>#REF!</v>
      </c>
      <c r="R3" s="48" t="s">
        <v>3</v>
      </c>
      <c r="S3" s="48"/>
      <c r="T3" s="108" t="s">
        <v>4</v>
      </c>
      <c r="U3" s="23">
        <f>IF(F3="p",VLOOKUP($T3,PATISS!$A$2:$B$4,2,FALSE),0)</f>
        <v>0</v>
      </c>
      <c r="V3" s="11">
        <f>IF(I3="p",VLOOKUP($T3,PATISS!$A$2:$B$4,2,FALSE),0)</f>
        <v>0</v>
      </c>
      <c r="W3" s="11" t="e">
        <f>IF(L3="p",VLOOKUP($T3,PATISS!$A$2:$B$4,2,FALSE),0)</f>
        <v>#N/A</v>
      </c>
      <c r="X3" s="11" t="e">
        <f>IF(O3="p",VLOOKUP($T3,PATISS!$A$2:$B$4,2,FALSE),0)</f>
        <v>#N/A</v>
      </c>
      <c r="Y3" s="11">
        <f>IF(R3="p",VLOOKUP($T3,PATISS!$A$2:$B$4,2,FALSE),0)</f>
        <v>0</v>
      </c>
      <c r="Z3" s="12" t="e">
        <f>IF(U3+V3+W3+X3+Y3&lt;0.5,0,VLOOKUP(T3,PATISS!$A$16:$B$18,2,FALSE))</f>
        <v>#N/A</v>
      </c>
      <c r="AA3" s="13">
        <f>IF(U3&lt;0.5,0,VLOOKUP($T3,PATISS!$C$2:$D$4,2,FALSE))</f>
        <v>0</v>
      </c>
      <c r="AB3" s="13">
        <f>IF(V3&lt;0.5,0,VLOOKUP($T3,PATISS!$C$2:$D$4,2,FALSE))</f>
        <v>0</v>
      </c>
      <c r="AC3" s="13" t="e">
        <f>IF(W3&lt;0.5,0,VLOOKUP($T3,PATISS!$C$2:$D$4,2,FALSE))</f>
        <v>#N/A</v>
      </c>
      <c r="AD3" s="13" t="e">
        <f>IF(X3&lt;0.5,0,VLOOKUP($T3,PATISS!$C$2:$D$4,2,FALSE))</f>
        <v>#N/A</v>
      </c>
      <c r="AE3" s="13">
        <f>IF(Y3&lt;0.5,0,VLOOKUP($T3,PATISS!$C$2:$D$4,2,FALSE))</f>
        <v>0</v>
      </c>
      <c r="AF3" s="14" t="e">
        <f>IF(U3&gt;0.5,0,VLOOKUP($T3,PATISS!$A$2:$B$4,2,FALSE))</f>
        <v>#N/A</v>
      </c>
      <c r="AG3" s="14" t="e">
        <f>IF(V3&gt;0.5,0,VLOOKUP($T3,PATISS!$A$2:$B$4,2,FALSE))</f>
        <v>#N/A</v>
      </c>
      <c r="AH3" s="14" t="e">
        <f>IF(W3&gt;0.5,0,VLOOKUP($T3,PATISS!$A$2:$B$4,2,FALSE))</f>
        <v>#N/A</v>
      </c>
      <c r="AI3" s="14" t="e">
        <f>IF(X3&gt;0.5,0,VLOOKUP($T3,PATISS!$A$2:$B$4,2,FALSE))</f>
        <v>#N/A</v>
      </c>
      <c r="AJ3" s="19">
        <f>IF(AA3=PATISS!$D$2,1,0)</f>
        <v>0</v>
      </c>
      <c r="AK3" s="10">
        <f>IF(AB3=PATISS!$D$2,1,0)</f>
        <v>0</v>
      </c>
      <c r="AL3" s="10" t="e">
        <f>IF(AC3=PATISS!$D$2,1,0)</f>
        <v>#N/A</v>
      </c>
      <c r="AM3" s="10" t="e">
        <f>IF(AD3=PATISS!$D$2,1,0)</f>
        <v>#N/A</v>
      </c>
      <c r="AN3" s="20">
        <f>IF(AE3=PATISS!$D$2,1,0)</f>
        <v>0</v>
      </c>
      <c r="AO3" s="19">
        <f>IF(AA3=PATISS!$D$4,1,0)</f>
        <v>0</v>
      </c>
      <c r="AP3" s="10">
        <f>IF(AB3=PATISS!$D$4,1,0)</f>
        <v>0</v>
      </c>
      <c r="AQ3" s="10" t="e">
        <f>IF(AC3=PATISS!$D$4,1,0)</f>
        <v>#N/A</v>
      </c>
      <c r="AR3" s="10" t="e">
        <f>IF(AD3=PATISS!$D$4,1,0)</f>
        <v>#N/A</v>
      </c>
      <c r="AS3" s="10">
        <f>IF(AE3=PATISS!$D$4,1,0)</f>
        <v>0</v>
      </c>
      <c r="AT3" s="19">
        <f>IF(AA3=PATISS!$D$3,1,0)</f>
        <v>1</v>
      </c>
      <c r="AU3" s="10">
        <f>IF(AB3=PATISS!$D$3,1,0)</f>
        <v>1</v>
      </c>
      <c r="AV3" s="10" t="e">
        <f>IF(AC3=PATISS!$D$3,1,0)</f>
        <v>#N/A</v>
      </c>
      <c r="AW3" s="10" t="e">
        <f>IF(AD3=PATISS!$D$3,1,0)</f>
        <v>#N/A</v>
      </c>
      <c r="AX3" s="20">
        <f>IF(AE3=PATISS!$D$3,1,0)</f>
        <v>1</v>
      </c>
      <c r="AY3" s="18" t="s">
        <v>1</v>
      </c>
      <c r="BA3" s="7">
        <v>1.1499999999999999</v>
      </c>
    </row>
    <row r="4" spans="1:53" ht="15.5" thickTop="1" thickBot="1" x14ac:dyDescent="0.4">
      <c r="A4" s="76" t="e">
        <f>GEN!#REF!</f>
        <v>#REF!</v>
      </c>
      <c r="B4" s="80">
        <f t="shared" si="0"/>
        <v>0</v>
      </c>
      <c r="C4" s="78" t="s">
        <v>3</v>
      </c>
      <c r="D4" s="350"/>
      <c r="E4" s="9" t="e">
        <f>GEN!#REF!</f>
        <v>#REF!</v>
      </c>
      <c r="F4" s="48" t="s">
        <v>3</v>
      </c>
      <c r="G4" s="350"/>
      <c r="H4" s="9" t="e">
        <f>GEN!#REF!</f>
        <v>#REF!</v>
      </c>
      <c r="I4" s="48" t="str">
        <f>IF($C4="p","P",IF($C4="n/p","N/P"))</f>
        <v>N/P</v>
      </c>
      <c r="J4" s="350"/>
      <c r="K4" s="9" t="e">
        <f>GEN!#REF!</f>
        <v>#REF!</v>
      </c>
      <c r="L4" s="48" t="str">
        <f>IF($C4="p","P",IF($C4="n/p","N/P"))</f>
        <v>N/P</v>
      </c>
      <c r="M4" s="350"/>
      <c r="N4" s="5" t="e">
        <f>GEN!#REF!</f>
        <v>#REF!</v>
      </c>
      <c r="O4" s="48" t="str">
        <f>IF($C4="p","P",IF($C4="n/p","N/P"))</f>
        <v>N/P</v>
      </c>
      <c r="P4" s="353"/>
      <c r="Q4" s="5" t="e">
        <f>GEN!#REF!</f>
        <v>#REF!</v>
      </c>
      <c r="R4" s="48" t="s">
        <v>3</v>
      </c>
      <c r="S4" s="48"/>
      <c r="T4" s="108" t="s">
        <v>1</v>
      </c>
      <c r="U4" s="23">
        <f>IF(F4="p",VLOOKUP($T4,PATISS!$A$2:$B$4,2,FALSE),0)</f>
        <v>0</v>
      </c>
      <c r="V4" s="11">
        <f>IF(I4="p",VLOOKUP($T4,PATISS!$A$2:$B$4,2,FALSE),0)</f>
        <v>0</v>
      </c>
      <c r="W4" s="11">
        <f>IF(L4="p",VLOOKUP($T4,PATISS!$A$2:$B$4,2,FALSE),0)</f>
        <v>0</v>
      </c>
      <c r="X4" s="11">
        <f>IF(O4="p",VLOOKUP($T4,PATISS!$A$2:$B$4,2,FALSE),0)</f>
        <v>0</v>
      </c>
      <c r="Y4" s="11">
        <f>IF(R4="p",VLOOKUP($T4,PATISS!$A$2:$B$4,2,FALSE),0)</f>
        <v>0</v>
      </c>
      <c r="Z4" s="12">
        <f>IF(U4+V4+W4+X4+Y4&lt;0.5,0,VLOOKUP(T4,PATISS!$A$16:$B$18,2,FALSE))</f>
        <v>0</v>
      </c>
      <c r="AA4" s="13">
        <f>IF(U4&lt;0.5,0,VLOOKUP($T4,PATISS!$C$2:$D$4,2,FALSE))</f>
        <v>0</v>
      </c>
      <c r="AB4" s="13">
        <f>IF(V4&lt;0.5,0,VLOOKUP($T4,PATISS!$C$2:$D$4,2,FALSE))</f>
        <v>0</v>
      </c>
      <c r="AC4" s="13">
        <f>IF(W4&lt;0.5,0,VLOOKUP($T4,PATISS!$C$2:$D$4,2,FALSE))</f>
        <v>0</v>
      </c>
      <c r="AD4" s="13">
        <f>IF(X4&lt;0.5,0,VLOOKUP($T4,PATISS!$C$2:$D$4,2,FALSE))</f>
        <v>0</v>
      </c>
      <c r="AE4" s="13">
        <f>IF(Y4&lt;0.5,0,VLOOKUP($T4,PATISS!$C$2:$D$4,2,FALSE))</f>
        <v>0</v>
      </c>
      <c r="AF4" s="14" t="e">
        <f>IF(U4&gt;0.5,0,VLOOKUP($T4,PATISS!$A$2:$B$4,2,FALSE))</f>
        <v>#N/A</v>
      </c>
      <c r="AG4" s="14" t="e">
        <f>IF(V4&gt;0.5,0,VLOOKUP($T4,PATISS!$A$2:$B$4,2,FALSE))</f>
        <v>#N/A</v>
      </c>
      <c r="AH4" s="14" t="e">
        <f>IF(W4&gt;0.5,0,VLOOKUP($T4,PATISS!$A$2:$B$4,2,FALSE))</f>
        <v>#N/A</v>
      </c>
      <c r="AI4" s="14" t="e">
        <f>IF(X4&gt;0.5,0,VLOOKUP($T4,PATISS!$A$2:$B$4,2,FALSE))</f>
        <v>#N/A</v>
      </c>
      <c r="AJ4" s="19">
        <f>IF(AA4=PATISS!$D$2,1,0)</f>
        <v>0</v>
      </c>
      <c r="AK4" s="10">
        <f>IF(AB4=PATISS!$D$2,1,0)</f>
        <v>0</v>
      </c>
      <c r="AL4" s="10">
        <f>IF(AC4=PATISS!$D$2,1,0)</f>
        <v>0</v>
      </c>
      <c r="AM4" s="10">
        <f>IF(AD4=PATISS!$D$2,1,0)</f>
        <v>0</v>
      </c>
      <c r="AN4" s="20">
        <f>IF(AE4=PATISS!$D$2,1,0)</f>
        <v>0</v>
      </c>
      <c r="AO4" s="19">
        <f>IF(AA4=PATISS!$D$4,1,0)</f>
        <v>0</v>
      </c>
      <c r="AP4" s="10">
        <f>IF(AB4=PATISS!$D$4,1,0)</f>
        <v>0</v>
      </c>
      <c r="AQ4" s="10">
        <f>IF(AC4=PATISS!$D$4,1,0)</f>
        <v>0</v>
      </c>
      <c r="AR4" s="10">
        <f>IF(AD4=PATISS!$D$4,1,0)</f>
        <v>0</v>
      </c>
      <c r="AS4" s="10">
        <f>IF(AE4=PATISS!$D$4,1,0)</f>
        <v>0</v>
      </c>
      <c r="AT4" s="19">
        <f>IF(AA4=PATISS!$D$3,1,0)</f>
        <v>1</v>
      </c>
      <c r="AU4" s="10">
        <f>IF(AB4=PATISS!$D$3,1,0)</f>
        <v>1</v>
      </c>
      <c r="AV4" s="10">
        <f>IF(AC4=PATISS!$D$3,1,0)</f>
        <v>1</v>
      </c>
      <c r="AW4" s="10">
        <f>IF(AD4=PATISS!$D$3,1,0)</f>
        <v>1</v>
      </c>
      <c r="AX4" s="20">
        <f>IF(AE4=PATISS!$D$3,1,0)</f>
        <v>1</v>
      </c>
      <c r="AY4" s="18" t="s">
        <v>4</v>
      </c>
      <c r="BA4" s="7">
        <v>1.05</v>
      </c>
    </row>
    <row r="5" spans="1:53" ht="15.5" thickTop="1" thickBot="1" x14ac:dyDescent="0.4">
      <c r="A5" s="76" t="e">
        <f>GEN!#REF!</f>
        <v>#REF!</v>
      </c>
      <c r="B5" s="80">
        <f t="shared" si="0"/>
        <v>3</v>
      </c>
      <c r="C5" s="78" t="s">
        <v>16</v>
      </c>
      <c r="D5" s="350"/>
      <c r="E5" s="9" t="e">
        <f>GEN!#REF!</f>
        <v>#REF!</v>
      </c>
      <c r="F5" s="48" t="s">
        <v>3</v>
      </c>
      <c r="G5" s="350"/>
      <c r="H5" s="9" t="e">
        <f>GEN!#REF!</f>
        <v>#REF!</v>
      </c>
      <c r="I5" s="48" t="s">
        <v>16</v>
      </c>
      <c r="J5" s="350"/>
      <c r="K5" s="9" t="e">
        <f>GEN!#REF!</f>
        <v>#REF!</v>
      </c>
      <c r="L5" s="48" t="str">
        <f>IF($C5="p","P",IF($C5="n/p","N/P"))</f>
        <v>P</v>
      </c>
      <c r="M5" s="350"/>
      <c r="N5" s="5" t="e">
        <f>GEN!#REF!</f>
        <v>#REF!</v>
      </c>
      <c r="O5" s="48" t="str">
        <f>IF($C5="p","P",IF($C5="n/p","N/P"))</f>
        <v>P</v>
      </c>
      <c r="P5" s="353"/>
      <c r="Q5" s="5" t="e">
        <f>GEN!#REF!</f>
        <v>#REF!</v>
      </c>
      <c r="R5" s="48" t="s">
        <v>3</v>
      </c>
      <c r="S5" s="48"/>
      <c r="T5" s="108" t="s">
        <v>1</v>
      </c>
      <c r="U5" s="23">
        <f>IF(F5="p",VLOOKUP($T5,PATISS!$A$2:$B$4,2,FALSE),0)</f>
        <v>0</v>
      </c>
      <c r="V5" s="11" t="e">
        <f>IF(I5="p",VLOOKUP($T5,PATISS!$A$2:$B$4,2,FALSE),0)</f>
        <v>#N/A</v>
      </c>
      <c r="W5" s="11" t="e">
        <f>IF(L5="p",VLOOKUP($T5,PATISS!$A$2:$B$4,2,FALSE),0)</f>
        <v>#N/A</v>
      </c>
      <c r="X5" s="11" t="e">
        <f>IF(O5="p",VLOOKUP($T5,PATISS!$A$2:$B$4,2,FALSE),0)</f>
        <v>#N/A</v>
      </c>
      <c r="Y5" s="11">
        <f>IF(R5="p",VLOOKUP($T5,PATISS!$A$2:$B$4,2,FALSE),0)</f>
        <v>0</v>
      </c>
      <c r="Z5" s="12" t="e">
        <f>IF(U5+V5+W5+X5+Y5&lt;0.5,0,VLOOKUP(T5,PATISS!$A$16:$B$18,2,FALSE))</f>
        <v>#N/A</v>
      </c>
      <c r="AA5" s="13">
        <f>IF(U5&lt;0.5,0,VLOOKUP($T5,PATISS!$C$2:$D$4,2,FALSE))</f>
        <v>0</v>
      </c>
      <c r="AB5" s="13" t="e">
        <f>IF(V5&lt;0.5,0,VLOOKUP($T5,PATISS!$C$2:$D$4,2,FALSE))</f>
        <v>#N/A</v>
      </c>
      <c r="AC5" s="13" t="e">
        <f>IF(W5&lt;0.5,0,VLOOKUP($T5,PATISS!$C$2:$D$4,2,FALSE))</f>
        <v>#N/A</v>
      </c>
      <c r="AD5" s="13" t="e">
        <f>IF(X5&lt;0.5,0,VLOOKUP($T5,PATISS!$C$2:$D$4,2,FALSE))</f>
        <v>#N/A</v>
      </c>
      <c r="AE5" s="13">
        <f>IF(Y5&lt;0.5,0,VLOOKUP($T5,PATISS!$C$2:$D$4,2,FALSE))</f>
        <v>0</v>
      </c>
      <c r="AF5" s="14" t="e">
        <f>IF(U5&gt;0.5,0,VLOOKUP($T5,PATISS!$A$2:$B$4,2,FALSE))</f>
        <v>#N/A</v>
      </c>
      <c r="AG5" s="14" t="e">
        <f>IF(V5&gt;0.5,0,VLOOKUP($T5,PATISS!$A$2:$B$4,2,FALSE))</f>
        <v>#N/A</v>
      </c>
      <c r="AH5" s="14" t="e">
        <f>IF(W5&gt;0.5,0,VLOOKUP($T5,PATISS!$A$2:$B$4,2,FALSE))</f>
        <v>#N/A</v>
      </c>
      <c r="AI5" s="14" t="e">
        <f>IF(X5&gt;0.5,0,VLOOKUP($T5,PATISS!$A$2:$B$4,2,FALSE))</f>
        <v>#N/A</v>
      </c>
      <c r="AJ5" s="19">
        <f>IF(AA5=PATISS!$D$2,1,0)</f>
        <v>0</v>
      </c>
      <c r="AK5" s="10" t="e">
        <f>IF(AB5=PATISS!$D$2,1,0)</f>
        <v>#N/A</v>
      </c>
      <c r="AL5" s="10" t="e">
        <f>IF(AC5=PATISS!$D$2,1,0)</f>
        <v>#N/A</v>
      </c>
      <c r="AM5" s="10" t="e">
        <f>IF(AD5=PATISS!$D$2,1,0)</f>
        <v>#N/A</v>
      </c>
      <c r="AN5" s="20">
        <f>IF(AE5=PATISS!$D$2,1,0)</f>
        <v>0</v>
      </c>
      <c r="AO5" s="19">
        <f>IF(AA5=PATISS!$D$4,1,0)</f>
        <v>0</v>
      </c>
      <c r="AP5" s="10" t="e">
        <f>IF(AB5=PATISS!$D$4,1,0)</f>
        <v>#N/A</v>
      </c>
      <c r="AQ5" s="10" t="e">
        <f>IF(AC5=PATISS!$D$4,1,0)</f>
        <v>#N/A</v>
      </c>
      <c r="AR5" s="10" t="e">
        <f>IF(AD5=PATISS!$D$4,1,0)</f>
        <v>#N/A</v>
      </c>
      <c r="AS5" s="10">
        <f>IF(AE5=PATISS!$D$4,1,0)</f>
        <v>0</v>
      </c>
      <c r="AT5" s="19">
        <f>IF(AA5=PATISS!$D$3,1,0)</f>
        <v>1</v>
      </c>
      <c r="AU5" s="10" t="e">
        <f>IF(AB5=PATISS!$D$3,1,0)</f>
        <v>#N/A</v>
      </c>
      <c r="AV5" s="10" t="e">
        <f>IF(AC5=PATISS!$D$3,1,0)</f>
        <v>#N/A</v>
      </c>
      <c r="AW5" s="10" t="e">
        <f>IF(AD5=PATISS!$D$3,1,0)</f>
        <v>#N/A</v>
      </c>
      <c r="AX5" s="20">
        <f>IF(AE5=PATISS!$D$3,1,0)</f>
        <v>1</v>
      </c>
    </row>
    <row r="6" spans="1:53" ht="15.5" thickTop="1" thickBot="1" x14ac:dyDescent="0.4">
      <c r="A6" s="76" t="e">
        <f>GEN!#REF!</f>
        <v>#REF!</v>
      </c>
      <c r="B6" s="80">
        <f t="shared" si="0"/>
        <v>2</v>
      </c>
      <c r="C6" s="78" t="s">
        <v>16</v>
      </c>
      <c r="D6" s="350"/>
      <c r="E6" s="9" t="e">
        <f>GEN!#REF!</f>
        <v>#REF!</v>
      </c>
      <c r="F6" s="48" t="s">
        <v>3</v>
      </c>
      <c r="G6" s="350"/>
      <c r="H6" s="9" t="e">
        <f>GEN!#REF!</f>
        <v>#REF!</v>
      </c>
      <c r="I6" s="48" t="str">
        <f t="shared" ref="I6:I12" si="1">IF($C6="p","P",IF($C6="n/p","N/P"))</f>
        <v>P</v>
      </c>
      <c r="J6" s="350"/>
      <c r="K6" s="9" t="e">
        <f>GEN!#REF!</f>
        <v>#REF!</v>
      </c>
      <c r="L6" s="48" t="str">
        <f>IF($C6="p","P",IF($C6="n/p","N/P"))</f>
        <v>P</v>
      </c>
      <c r="M6" s="350"/>
      <c r="N6" s="5" t="e">
        <f>GEN!#REF!</f>
        <v>#REF!</v>
      </c>
      <c r="O6" s="48" t="s">
        <v>3</v>
      </c>
      <c r="P6" s="353"/>
      <c r="Q6" s="5" t="e">
        <f>GEN!#REF!</f>
        <v>#REF!</v>
      </c>
      <c r="R6" s="48" t="s">
        <v>3</v>
      </c>
      <c r="S6" s="48"/>
      <c r="T6" s="108" t="s">
        <v>1</v>
      </c>
      <c r="U6" s="23">
        <f>IF(F6="p",VLOOKUP($T6,PATISS!$A$2:$B$4,2,FALSE),0)</f>
        <v>0</v>
      </c>
      <c r="V6" s="11" t="e">
        <f>IF(I6="p",VLOOKUP($T6,PATISS!$A$2:$B$4,2,FALSE),0)</f>
        <v>#N/A</v>
      </c>
      <c r="W6" s="11" t="e">
        <f>IF(L6="p",VLOOKUP($T6,PATISS!$A$2:$B$4,2,FALSE),0)</f>
        <v>#N/A</v>
      </c>
      <c r="X6" s="11">
        <f>IF(O6="p",VLOOKUP($T6,PATISS!$A$2:$B$4,2,FALSE),0)</f>
        <v>0</v>
      </c>
      <c r="Y6" s="11">
        <f>IF(R6="p",VLOOKUP($T6,PATISS!$A$2:$B$4,2,FALSE),0)</f>
        <v>0</v>
      </c>
      <c r="Z6" s="12" t="e">
        <f>IF(U6+V6+W6+X6+Y6&lt;0.5,0,VLOOKUP(T6,PATISS!$A$16:$B$18,2,FALSE))</f>
        <v>#N/A</v>
      </c>
      <c r="AA6" s="13">
        <f>IF(U6&lt;0.5,0,VLOOKUP($T6,PATISS!$C$2:$D$4,2,FALSE))</f>
        <v>0</v>
      </c>
      <c r="AB6" s="13" t="e">
        <f>IF(V6&lt;0.5,0,VLOOKUP($T6,PATISS!$C$2:$D$4,2,FALSE))</f>
        <v>#N/A</v>
      </c>
      <c r="AC6" s="13" t="e">
        <f>IF(W6&lt;0.5,0,VLOOKUP($T6,PATISS!$C$2:$D$4,2,FALSE))</f>
        <v>#N/A</v>
      </c>
      <c r="AD6" s="13">
        <f>IF(X6&lt;0.5,0,VLOOKUP($T6,PATISS!$C$2:$D$4,2,FALSE))</f>
        <v>0</v>
      </c>
      <c r="AE6" s="13">
        <f>IF(Y6&lt;0.5,0,VLOOKUP($T6,PATISS!$C$2:$D$4,2,FALSE))</f>
        <v>0</v>
      </c>
      <c r="AF6" s="14" t="e">
        <f>IF(U6&gt;0.5,0,VLOOKUP($T6,PATISS!$A$2:$B$4,2,FALSE))</f>
        <v>#N/A</v>
      </c>
      <c r="AG6" s="14" t="e">
        <f>IF(V6&gt;0.5,0,VLOOKUP($T6,PATISS!$A$2:$B$4,2,FALSE))</f>
        <v>#N/A</v>
      </c>
      <c r="AH6" s="14" t="e">
        <f>IF(W6&gt;0.5,0,VLOOKUP($T6,PATISS!$A$2:$B$4,2,FALSE))</f>
        <v>#N/A</v>
      </c>
      <c r="AI6" s="14" t="e">
        <f>IF(X6&gt;0.5,0,VLOOKUP($T6,PATISS!$A$2:$B$4,2,FALSE))</f>
        <v>#N/A</v>
      </c>
      <c r="AJ6" s="19">
        <f>IF(AA6=PATISS!$D$2,1,0)</f>
        <v>0</v>
      </c>
      <c r="AK6" s="10" t="e">
        <f>IF(AB6=PATISS!$D$2,1,0)</f>
        <v>#N/A</v>
      </c>
      <c r="AL6" s="10" t="e">
        <f>IF(AC6=PATISS!$D$2,1,0)</f>
        <v>#N/A</v>
      </c>
      <c r="AM6" s="10">
        <f>IF(AD6=PATISS!$D$2,1,0)</f>
        <v>0</v>
      </c>
      <c r="AN6" s="20">
        <f>IF(AE6=PATISS!$D$2,1,0)</f>
        <v>0</v>
      </c>
      <c r="AO6" s="19">
        <f>IF(AA6=PATISS!$D$4,1,0)</f>
        <v>0</v>
      </c>
      <c r="AP6" s="10" t="e">
        <f>IF(AB6=PATISS!$D$4,1,0)</f>
        <v>#N/A</v>
      </c>
      <c r="AQ6" s="10" t="e">
        <f>IF(AC6=PATISS!$D$4,1,0)</f>
        <v>#N/A</v>
      </c>
      <c r="AR6" s="10">
        <f>IF(AD6=PATISS!$D$4,1,0)</f>
        <v>0</v>
      </c>
      <c r="AS6" s="10">
        <f>IF(AE6=PATISS!$D$4,1,0)</f>
        <v>0</v>
      </c>
      <c r="AT6" s="19">
        <f>IF(AA6=PATISS!$D$3,1,0)</f>
        <v>1</v>
      </c>
      <c r="AU6" s="10" t="e">
        <f>IF(AB6=PATISS!$D$3,1,0)</f>
        <v>#N/A</v>
      </c>
      <c r="AV6" s="10" t="e">
        <f>IF(AC6=PATISS!$D$3,1,0)</f>
        <v>#N/A</v>
      </c>
      <c r="AW6" s="10">
        <f>IF(AD6=PATISS!$D$3,1,0)</f>
        <v>1</v>
      </c>
      <c r="AX6" s="20">
        <f>IF(AE6=PATISS!$D$3,1,0)</f>
        <v>1</v>
      </c>
    </row>
    <row r="7" spans="1:53" ht="15.5" thickTop="1" thickBot="1" x14ac:dyDescent="0.4">
      <c r="A7" s="76" t="e">
        <f>GEN!#REF!</f>
        <v>#REF!</v>
      </c>
      <c r="B7" s="80">
        <f t="shared" si="0"/>
        <v>2</v>
      </c>
      <c r="C7" s="78" t="s">
        <v>16</v>
      </c>
      <c r="D7" s="350"/>
      <c r="E7" s="9" t="e">
        <f>GEN!#REF!</f>
        <v>#REF!</v>
      </c>
      <c r="F7" s="48" t="s">
        <v>3</v>
      </c>
      <c r="G7" s="350"/>
      <c r="H7" s="9" t="e">
        <f>GEN!#REF!</f>
        <v>#REF!</v>
      </c>
      <c r="I7" s="48" t="str">
        <f t="shared" si="1"/>
        <v>P</v>
      </c>
      <c r="J7" s="350"/>
      <c r="K7" s="9" t="e">
        <f>GEN!#REF!</f>
        <v>#REF!</v>
      </c>
      <c r="L7" s="48" t="s">
        <v>3</v>
      </c>
      <c r="M7" s="350"/>
      <c r="N7" s="5" t="e">
        <f>GEN!#REF!</f>
        <v>#REF!</v>
      </c>
      <c r="O7" s="48" t="s">
        <v>16</v>
      </c>
      <c r="P7" s="353"/>
      <c r="Q7" s="5" t="e">
        <f>GEN!#REF!</f>
        <v>#REF!</v>
      </c>
      <c r="R7" s="48" t="s">
        <v>3</v>
      </c>
      <c r="S7" s="48"/>
      <c r="T7" s="108" t="s">
        <v>1</v>
      </c>
      <c r="U7" s="23">
        <f>IF(F7="p",VLOOKUP($T7,PATISS!$A$2:$B$4,2,FALSE),0)</f>
        <v>0</v>
      </c>
      <c r="V7" s="11" t="e">
        <f>IF(I7="p",VLOOKUP($T7,PATISS!$A$2:$B$4,2,FALSE),0)</f>
        <v>#N/A</v>
      </c>
      <c r="W7" s="11">
        <f>IF(L7="p",VLOOKUP($T7,PATISS!$A$2:$B$4,2,FALSE),0)</f>
        <v>0</v>
      </c>
      <c r="X7" s="11" t="e">
        <f>IF(O7="p",VLOOKUP($T7,PATISS!$A$2:$B$4,2,FALSE),0)</f>
        <v>#N/A</v>
      </c>
      <c r="Y7" s="11">
        <f>IF(R7="p",VLOOKUP($T7,PATISS!$A$2:$B$4,2,FALSE),0)</f>
        <v>0</v>
      </c>
      <c r="Z7" s="12" t="e">
        <f>IF(U7+V7+W7+X7+Y7&lt;0.5,0,VLOOKUP(T7,PATISS!$A$16:$B$18,2,FALSE))</f>
        <v>#N/A</v>
      </c>
      <c r="AA7" s="13">
        <f>IF(U7&lt;0.5,0,VLOOKUP($T7,PATISS!$C$2:$D$4,2,FALSE))</f>
        <v>0</v>
      </c>
      <c r="AB7" s="13" t="e">
        <f>IF(V7&lt;0.5,0,VLOOKUP($T7,PATISS!$C$2:$D$4,2,FALSE))</f>
        <v>#N/A</v>
      </c>
      <c r="AC7" s="13">
        <f>IF(W7&lt;0.5,0,VLOOKUP($T7,PATISS!$C$2:$D$4,2,FALSE))</f>
        <v>0</v>
      </c>
      <c r="AD7" s="13" t="e">
        <f>IF(X7&lt;0.5,0,VLOOKUP($T7,PATISS!$C$2:$D$4,2,FALSE))</f>
        <v>#N/A</v>
      </c>
      <c r="AE7" s="13">
        <f>IF(Y7&lt;0.5,0,VLOOKUP($T7,PATISS!$C$2:$D$4,2,FALSE))</f>
        <v>0</v>
      </c>
      <c r="AF7" s="14" t="e">
        <f>IF(U7&gt;0.5,0,VLOOKUP($T7,PATISS!$A$2:$B$4,2,FALSE))</f>
        <v>#N/A</v>
      </c>
      <c r="AG7" s="14" t="e">
        <f>IF(V7&gt;0.5,0,VLOOKUP($T7,PATISS!$A$2:$B$4,2,FALSE))</f>
        <v>#N/A</v>
      </c>
      <c r="AH7" s="14" t="e">
        <f>IF(W7&gt;0.5,0,VLOOKUP($T7,PATISS!$A$2:$B$4,2,FALSE))</f>
        <v>#N/A</v>
      </c>
      <c r="AI7" s="14" t="e">
        <f>IF(X7&gt;0.5,0,VLOOKUP($T7,PATISS!$A$2:$B$4,2,FALSE))</f>
        <v>#N/A</v>
      </c>
      <c r="AJ7" s="19">
        <f>IF(AA7=PATISS!$D$2,1,0)</f>
        <v>0</v>
      </c>
      <c r="AK7" s="10" t="e">
        <f>IF(AB7=PATISS!$D$2,1,0)</f>
        <v>#N/A</v>
      </c>
      <c r="AL7" s="10">
        <f>IF(AC7=PATISS!$D$2,1,0)</f>
        <v>0</v>
      </c>
      <c r="AM7" s="10" t="e">
        <f>IF(AD7=PATISS!$D$2,1,0)</f>
        <v>#N/A</v>
      </c>
      <c r="AN7" s="20">
        <f>IF(AE7=PATISS!$D$2,1,0)</f>
        <v>0</v>
      </c>
      <c r="AO7" s="19">
        <f>IF(AA7=PATISS!$D$4,1,0)</f>
        <v>0</v>
      </c>
      <c r="AP7" s="10" t="e">
        <f>IF(AB7=PATISS!$D$4,1,0)</f>
        <v>#N/A</v>
      </c>
      <c r="AQ7" s="10">
        <f>IF(AC7=PATISS!$D$4,1,0)</f>
        <v>0</v>
      </c>
      <c r="AR7" s="10" t="e">
        <f>IF(AD7=PATISS!$D$4,1,0)</f>
        <v>#N/A</v>
      </c>
      <c r="AS7" s="10">
        <f>IF(AE7=PATISS!$D$4,1,0)</f>
        <v>0</v>
      </c>
      <c r="AT7" s="19">
        <f>IF(AA7=PATISS!$D$3,1,0)</f>
        <v>1</v>
      </c>
      <c r="AU7" s="10" t="e">
        <f>IF(AB7=PATISS!$D$3,1,0)</f>
        <v>#N/A</v>
      </c>
      <c r="AV7" s="10">
        <f>IF(AC7=PATISS!$D$3,1,0)</f>
        <v>1</v>
      </c>
      <c r="AW7" s="10" t="e">
        <f>IF(AD7=PATISS!$D$3,1,0)</f>
        <v>#N/A</v>
      </c>
      <c r="AX7" s="20">
        <f>IF(AE7=PATISS!$D$3,1,0)</f>
        <v>1</v>
      </c>
    </row>
    <row r="8" spans="1:53" ht="15.5" thickTop="1" thickBot="1" x14ac:dyDescent="0.4">
      <c r="A8" s="76" t="e">
        <f>GEN!#REF!</f>
        <v>#REF!</v>
      </c>
      <c r="B8" s="80">
        <f t="shared" si="0"/>
        <v>3</v>
      </c>
      <c r="C8" s="78" t="s">
        <v>16</v>
      </c>
      <c r="D8" s="350"/>
      <c r="E8" s="9" t="e">
        <f>GEN!#REF!</f>
        <v>#REF!</v>
      </c>
      <c r="F8" s="48" t="s">
        <v>3</v>
      </c>
      <c r="G8" s="350"/>
      <c r="H8" s="9" t="e">
        <f>GEN!#REF!</f>
        <v>#REF!</v>
      </c>
      <c r="I8" s="48" t="str">
        <f t="shared" si="1"/>
        <v>P</v>
      </c>
      <c r="J8" s="350"/>
      <c r="K8" s="9" t="e">
        <f>GEN!#REF!</f>
        <v>#REF!</v>
      </c>
      <c r="L8" s="48" t="str">
        <f>IF($C8="p","P",IF($C8="n/p","N/P"))</f>
        <v>P</v>
      </c>
      <c r="M8" s="350"/>
      <c r="N8" s="5" t="e">
        <f>GEN!#REF!</f>
        <v>#REF!</v>
      </c>
      <c r="O8" s="48" t="str">
        <f>IF($C8="p","P",IF($C8="n/p","N/P"))</f>
        <v>P</v>
      </c>
      <c r="P8" s="353"/>
      <c r="Q8" s="5" t="e">
        <f>GEN!#REF!</f>
        <v>#REF!</v>
      </c>
      <c r="R8" s="48" t="s">
        <v>3</v>
      </c>
      <c r="S8" s="48"/>
      <c r="T8" s="108" t="s">
        <v>1</v>
      </c>
      <c r="U8" s="23">
        <f>IF(F8="p",VLOOKUP($T8,PATISS!$A$2:$B$4,2,FALSE),0)</f>
        <v>0</v>
      </c>
      <c r="V8" s="11" t="e">
        <f>IF(I8="p",VLOOKUP($T8,PATISS!$A$2:$B$4,2,FALSE),0)</f>
        <v>#N/A</v>
      </c>
      <c r="W8" s="11" t="e">
        <f>IF(L8="p",VLOOKUP($T8,PATISS!$A$2:$B$4,2,FALSE),0)</f>
        <v>#N/A</v>
      </c>
      <c r="X8" s="11" t="e">
        <f>IF(O8="p",VLOOKUP($T8,PATISS!$A$2:$B$4,2,FALSE),0)</f>
        <v>#N/A</v>
      </c>
      <c r="Y8" s="11">
        <f>IF(R8="p",VLOOKUP($T8,PATISS!$A$2:$B$4,2,FALSE),0)</f>
        <v>0</v>
      </c>
      <c r="Z8" s="12" t="e">
        <f>IF(U8+V8+W8+X8+Y8&lt;0.5,0,VLOOKUP(T8,PATISS!$A$16:$B$18,2,FALSE))</f>
        <v>#N/A</v>
      </c>
      <c r="AA8" s="13">
        <f>IF(U8&lt;0.5,0,VLOOKUP($T8,PATISS!$C$2:$D$4,2,FALSE))</f>
        <v>0</v>
      </c>
      <c r="AB8" s="13" t="e">
        <f>IF(V8&lt;0.5,0,VLOOKUP($T8,PATISS!$C$2:$D$4,2,FALSE))</f>
        <v>#N/A</v>
      </c>
      <c r="AC8" s="13" t="e">
        <f>IF(W8&lt;0.5,0,VLOOKUP($T8,PATISS!$C$2:$D$4,2,FALSE))</f>
        <v>#N/A</v>
      </c>
      <c r="AD8" s="13" t="e">
        <f>IF(X8&lt;0.5,0,VLOOKUP($T8,PATISS!$C$2:$D$4,2,FALSE))</f>
        <v>#N/A</v>
      </c>
      <c r="AE8" s="13">
        <f>IF(Y8&lt;0.5,0,VLOOKUP($T8,PATISS!$C$2:$D$4,2,FALSE))</f>
        <v>0</v>
      </c>
      <c r="AF8" s="14" t="e">
        <f>IF(U8&gt;0.5,0,VLOOKUP($T8,PATISS!$A$2:$B$4,2,FALSE))</f>
        <v>#N/A</v>
      </c>
      <c r="AG8" s="14" t="e">
        <f>IF(V8&gt;0.5,0,VLOOKUP($T8,PATISS!$A$2:$B$4,2,FALSE))</f>
        <v>#N/A</v>
      </c>
      <c r="AH8" s="14" t="e">
        <f>IF(W8&gt;0.5,0,VLOOKUP($T8,PATISS!$A$2:$B$4,2,FALSE))</f>
        <v>#N/A</v>
      </c>
      <c r="AI8" s="14" t="e">
        <f>IF(X8&gt;0.5,0,VLOOKUP($T8,PATISS!$A$2:$B$4,2,FALSE))</f>
        <v>#N/A</v>
      </c>
      <c r="AJ8" s="19">
        <f>IF(AA8=PATISS!$D$2,1,0)</f>
        <v>0</v>
      </c>
      <c r="AK8" s="10" t="e">
        <f>IF(AB8=PATISS!$D$2,1,0)</f>
        <v>#N/A</v>
      </c>
      <c r="AL8" s="10" t="e">
        <f>IF(AC8=PATISS!$D$2,1,0)</f>
        <v>#N/A</v>
      </c>
      <c r="AM8" s="10" t="e">
        <f>IF(AD8=PATISS!$D$2,1,0)</f>
        <v>#N/A</v>
      </c>
      <c r="AN8" s="20">
        <f>IF(AE8=PATISS!$D$2,1,0)</f>
        <v>0</v>
      </c>
      <c r="AO8" s="19">
        <f>IF(AA8=PATISS!$D$4,1,0)</f>
        <v>0</v>
      </c>
      <c r="AP8" s="10" t="e">
        <f>IF(AB8=PATISS!$D$4,1,0)</f>
        <v>#N/A</v>
      </c>
      <c r="AQ8" s="10" t="e">
        <f>IF(AC8=PATISS!$D$4,1,0)</f>
        <v>#N/A</v>
      </c>
      <c r="AR8" s="10" t="e">
        <f>IF(AD8=PATISS!$D$4,1,0)</f>
        <v>#N/A</v>
      </c>
      <c r="AS8" s="10">
        <f>IF(AE8=PATISS!$D$4,1,0)</f>
        <v>0</v>
      </c>
      <c r="AT8" s="19">
        <f>IF(AA8=PATISS!$D$3,1,0)</f>
        <v>1</v>
      </c>
      <c r="AU8" s="10" t="e">
        <f>IF(AB8=PATISS!$D$3,1,0)</f>
        <v>#N/A</v>
      </c>
      <c r="AV8" s="10" t="e">
        <f>IF(AC8=PATISS!$D$3,1,0)</f>
        <v>#N/A</v>
      </c>
      <c r="AW8" s="10" t="e">
        <f>IF(AD8=PATISS!$D$3,1,0)</f>
        <v>#N/A</v>
      </c>
      <c r="AX8" s="20">
        <f>IF(AE8=PATISS!$D$3,1,0)</f>
        <v>1</v>
      </c>
    </row>
    <row r="9" spans="1:53" ht="15.5" thickTop="1" thickBot="1" x14ac:dyDescent="0.4">
      <c r="A9" s="76" t="e">
        <f>GEN!#REF!</f>
        <v>#REF!</v>
      </c>
      <c r="B9" s="80">
        <f t="shared" si="0"/>
        <v>3</v>
      </c>
      <c r="C9" s="78" t="s">
        <v>16</v>
      </c>
      <c r="D9" s="350"/>
      <c r="E9" s="9" t="e">
        <f>GEN!#REF!</f>
        <v>#REF!</v>
      </c>
      <c r="F9" s="48" t="s">
        <v>3</v>
      </c>
      <c r="G9" s="350"/>
      <c r="H9" s="9" t="e">
        <f>GEN!#REF!</f>
        <v>#REF!</v>
      </c>
      <c r="I9" s="48" t="str">
        <f t="shared" si="1"/>
        <v>P</v>
      </c>
      <c r="J9" s="350"/>
      <c r="K9" s="9" t="e">
        <f>GEN!#REF!</f>
        <v>#REF!</v>
      </c>
      <c r="L9" s="48" t="str">
        <f>IF($C9="p","P",IF($C9="n/p","N/P"))</f>
        <v>P</v>
      </c>
      <c r="M9" s="350"/>
      <c r="N9" s="5" t="e">
        <f>GEN!#REF!</f>
        <v>#REF!</v>
      </c>
      <c r="O9" s="48" t="str">
        <f>IF($C9="p","P",IF($C9="n/p","N/P"))</f>
        <v>P</v>
      </c>
      <c r="P9" s="353"/>
      <c r="Q9" s="5" t="e">
        <f>GEN!#REF!</f>
        <v>#REF!</v>
      </c>
      <c r="R9" s="48" t="s">
        <v>3</v>
      </c>
      <c r="S9" s="48"/>
      <c r="T9" s="108" t="s">
        <v>1</v>
      </c>
      <c r="U9" s="23">
        <f>IF(F9="p",VLOOKUP($T9,PATISS!$A$2:$B$4,2,FALSE),0)</f>
        <v>0</v>
      </c>
      <c r="V9" s="11" t="e">
        <f>IF(I9="p",VLOOKUP($T9,PATISS!$A$2:$B$4,2,FALSE),0)</f>
        <v>#N/A</v>
      </c>
      <c r="W9" s="11" t="e">
        <f>IF(L9="p",VLOOKUP($T9,PATISS!$A$2:$B$4,2,FALSE),0)</f>
        <v>#N/A</v>
      </c>
      <c r="X9" s="11" t="e">
        <f>IF(O9="p",VLOOKUP($T9,PATISS!$A$2:$B$4,2,FALSE),0)</f>
        <v>#N/A</v>
      </c>
      <c r="Y9" s="11">
        <f>IF(R9="p",VLOOKUP($T9,PATISS!$A$2:$B$4,2,FALSE),0)</f>
        <v>0</v>
      </c>
      <c r="Z9" s="12" t="e">
        <f>IF(U9+V9+W9+X9+Y9&lt;0.5,0,VLOOKUP(T9,PATISS!$A$16:$B$18,2,FALSE))</f>
        <v>#N/A</v>
      </c>
      <c r="AA9" s="13">
        <f>IF(U9&lt;0.5,0,VLOOKUP($T9,PATISS!$C$2:$D$4,2,FALSE))</f>
        <v>0</v>
      </c>
      <c r="AB9" s="13" t="e">
        <f>IF(V9&lt;0.5,0,VLOOKUP($T9,PATISS!$C$2:$D$4,2,FALSE))</f>
        <v>#N/A</v>
      </c>
      <c r="AC9" s="13" t="e">
        <f>IF(W9&lt;0.5,0,VLOOKUP($T9,PATISS!$C$2:$D$4,2,FALSE))</f>
        <v>#N/A</v>
      </c>
      <c r="AD9" s="13" t="e">
        <f>IF(X9&lt;0.5,0,VLOOKUP($T9,PATISS!$C$2:$D$4,2,FALSE))</f>
        <v>#N/A</v>
      </c>
      <c r="AE9" s="13">
        <f>IF(Y9&lt;0.5,0,VLOOKUP($T9,PATISS!$C$2:$D$4,2,FALSE))</f>
        <v>0</v>
      </c>
      <c r="AF9" s="14" t="e">
        <f>IF(U9&gt;0.5,0,VLOOKUP($T9,PATISS!$A$2:$B$4,2,FALSE))</f>
        <v>#N/A</v>
      </c>
      <c r="AG9" s="14" t="e">
        <f>IF(V9&gt;0.5,0,VLOOKUP($T9,PATISS!$A$2:$B$4,2,FALSE))</f>
        <v>#N/A</v>
      </c>
      <c r="AH9" s="14" t="e">
        <f>IF(W9&gt;0.5,0,VLOOKUP($T9,PATISS!$A$2:$B$4,2,FALSE))</f>
        <v>#N/A</v>
      </c>
      <c r="AI9" s="14" t="e">
        <f>IF(X9&gt;0.5,0,VLOOKUP($T9,PATISS!$A$2:$B$4,2,FALSE))</f>
        <v>#N/A</v>
      </c>
      <c r="AJ9" s="19">
        <f>IF(AA9=PATISS!$D$2,1,0)</f>
        <v>0</v>
      </c>
      <c r="AK9" s="10" t="e">
        <f>IF(AB9=PATISS!$D$2,1,0)</f>
        <v>#N/A</v>
      </c>
      <c r="AL9" s="10" t="e">
        <f>IF(AC9=PATISS!$D$2,1,0)</f>
        <v>#N/A</v>
      </c>
      <c r="AM9" s="10" t="e">
        <f>IF(AD9=PATISS!$D$2,1,0)</f>
        <v>#N/A</v>
      </c>
      <c r="AN9" s="20">
        <f>IF(AE9=PATISS!$D$2,1,0)</f>
        <v>0</v>
      </c>
      <c r="AO9" s="19">
        <f>IF(AA9=PATISS!$D$4,1,0)</f>
        <v>0</v>
      </c>
      <c r="AP9" s="10" t="e">
        <f>IF(AB9=PATISS!$D$4,1,0)</f>
        <v>#N/A</v>
      </c>
      <c r="AQ9" s="10" t="e">
        <f>IF(AC9=PATISS!$D$4,1,0)</f>
        <v>#N/A</v>
      </c>
      <c r="AR9" s="10" t="e">
        <f>IF(AD9=PATISS!$D$4,1,0)</f>
        <v>#N/A</v>
      </c>
      <c r="AS9" s="10">
        <f>IF(AE9=PATISS!$D$4,1,0)</f>
        <v>0</v>
      </c>
      <c r="AT9" s="19">
        <f>IF(AA9=PATISS!$D$3,1,0)</f>
        <v>1</v>
      </c>
      <c r="AU9" s="10" t="e">
        <f>IF(AB9=PATISS!$D$3,1,0)</f>
        <v>#N/A</v>
      </c>
      <c r="AV9" s="10" t="e">
        <f>IF(AC9=PATISS!$D$3,1,0)</f>
        <v>#N/A</v>
      </c>
      <c r="AW9" s="10" t="e">
        <f>IF(AD9=PATISS!$D$3,1,0)</f>
        <v>#N/A</v>
      </c>
      <c r="AX9" s="20">
        <f>IF(AE9=PATISS!$D$3,1,0)</f>
        <v>1</v>
      </c>
    </row>
    <row r="10" spans="1:53" ht="15.5" thickTop="1" thickBot="1" x14ac:dyDescent="0.4">
      <c r="A10" s="76" t="e">
        <f>GEN!#REF!</f>
        <v>#REF!</v>
      </c>
      <c r="B10" s="80">
        <f t="shared" si="0"/>
        <v>2</v>
      </c>
      <c r="C10" s="78" t="s">
        <v>16</v>
      </c>
      <c r="D10" s="350"/>
      <c r="E10" s="9" t="e">
        <f>GEN!#REF!</f>
        <v>#REF!</v>
      </c>
      <c r="F10" s="48" t="s">
        <v>3</v>
      </c>
      <c r="G10" s="350"/>
      <c r="H10" s="9" t="e">
        <f>GEN!#REF!</f>
        <v>#REF!</v>
      </c>
      <c r="I10" s="48" t="str">
        <f t="shared" si="1"/>
        <v>P</v>
      </c>
      <c r="J10" s="350"/>
      <c r="K10" s="9" t="e">
        <f>GEN!#REF!</f>
        <v>#REF!</v>
      </c>
      <c r="L10" s="48" t="str">
        <f>IF($C10="p","P",IF($C10="n/p","N/P"))</f>
        <v>P</v>
      </c>
      <c r="M10" s="350"/>
      <c r="N10" s="5" t="e">
        <f>GEN!#REF!</f>
        <v>#REF!</v>
      </c>
      <c r="O10" s="48" t="s">
        <v>3</v>
      </c>
      <c r="P10" s="353"/>
      <c r="Q10" s="5" t="e">
        <f>GEN!#REF!</f>
        <v>#REF!</v>
      </c>
      <c r="R10" s="48" t="s">
        <v>3</v>
      </c>
      <c r="S10" s="48"/>
      <c r="T10" s="108" t="s">
        <v>1</v>
      </c>
      <c r="U10" s="23">
        <f>IF(F10="p",VLOOKUP($T10,PATISS!$A$2:$B$4,2,FALSE),0)</f>
        <v>0</v>
      </c>
      <c r="V10" s="11" t="e">
        <f>IF(I10="p",VLOOKUP($T10,PATISS!$A$2:$B$4,2,FALSE),0)</f>
        <v>#N/A</v>
      </c>
      <c r="W10" s="11" t="e">
        <f>IF(L10="p",VLOOKUP($T10,PATISS!$A$2:$B$4,2,FALSE),0)</f>
        <v>#N/A</v>
      </c>
      <c r="X10" s="11">
        <f>IF(O10="p",VLOOKUP($T10,PATISS!$A$2:$B$4,2,FALSE),0)</f>
        <v>0</v>
      </c>
      <c r="Y10" s="11">
        <f>IF(R10="p",VLOOKUP($T10,PATISS!$A$2:$B$4,2,FALSE),0)</f>
        <v>0</v>
      </c>
      <c r="Z10" s="12" t="e">
        <f>IF(U10+V10+W10+X10+Y10&lt;0.5,0,VLOOKUP(T10,PATISS!$A$16:$B$18,2,FALSE))</f>
        <v>#N/A</v>
      </c>
      <c r="AA10" s="13">
        <f>IF(U10&lt;0.5,0,VLOOKUP($T10,PATISS!$C$2:$D$4,2,FALSE))</f>
        <v>0</v>
      </c>
      <c r="AB10" s="13" t="e">
        <f>IF(V10&lt;0.5,0,VLOOKUP($T10,PATISS!$C$2:$D$4,2,FALSE))</f>
        <v>#N/A</v>
      </c>
      <c r="AC10" s="13" t="e">
        <f>IF(W10&lt;0.5,0,VLOOKUP($T10,PATISS!$C$2:$D$4,2,FALSE))</f>
        <v>#N/A</v>
      </c>
      <c r="AD10" s="13">
        <f>IF(X10&lt;0.5,0,VLOOKUP($T10,PATISS!$C$2:$D$4,2,FALSE))</f>
        <v>0</v>
      </c>
      <c r="AE10" s="13">
        <f>IF(Y10&lt;0.5,0,VLOOKUP($T10,PATISS!$C$2:$D$4,2,FALSE))</f>
        <v>0</v>
      </c>
      <c r="AF10" s="14" t="e">
        <f>IF(U10&gt;0.5,0,VLOOKUP($T10,PATISS!$A$2:$B$4,2,FALSE))</f>
        <v>#N/A</v>
      </c>
      <c r="AG10" s="14" t="e">
        <f>IF(V10&gt;0.5,0,VLOOKUP($T10,PATISS!$A$2:$B$4,2,FALSE))</f>
        <v>#N/A</v>
      </c>
      <c r="AH10" s="14" t="e">
        <f>IF(W10&gt;0.5,0,VLOOKUP($T10,PATISS!$A$2:$B$4,2,FALSE))</f>
        <v>#N/A</v>
      </c>
      <c r="AI10" s="14" t="e">
        <f>IF(X10&gt;0.5,0,VLOOKUP($T10,PATISS!$A$2:$B$4,2,FALSE))</f>
        <v>#N/A</v>
      </c>
      <c r="AJ10" s="19">
        <f>IF(AA10=PATISS!$D$2,1,0)</f>
        <v>0</v>
      </c>
      <c r="AK10" s="10" t="e">
        <f>IF(AB10=PATISS!$D$2,1,0)</f>
        <v>#N/A</v>
      </c>
      <c r="AL10" s="10" t="e">
        <f>IF(AC10=PATISS!$D$2,1,0)</f>
        <v>#N/A</v>
      </c>
      <c r="AM10" s="10">
        <f>IF(AD10=PATISS!$D$2,1,0)</f>
        <v>0</v>
      </c>
      <c r="AN10" s="20">
        <f>IF(AE10=PATISS!$D$2,1,0)</f>
        <v>0</v>
      </c>
      <c r="AO10" s="19">
        <f>IF(AA10=PATISS!$D$4,1,0)</f>
        <v>0</v>
      </c>
      <c r="AP10" s="10" t="e">
        <f>IF(AB10=PATISS!$D$4,1,0)</f>
        <v>#N/A</v>
      </c>
      <c r="AQ10" s="10" t="e">
        <f>IF(AC10=PATISS!$D$4,1,0)</f>
        <v>#N/A</v>
      </c>
      <c r="AR10" s="10">
        <f>IF(AD10=PATISS!$D$4,1,0)</f>
        <v>0</v>
      </c>
      <c r="AS10" s="10">
        <f>IF(AE10=PATISS!$D$4,1,0)</f>
        <v>0</v>
      </c>
      <c r="AT10" s="19">
        <f>IF(AA10=PATISS!$D$3,1,0)</f>
        <v>1</v>
      </c>
      <c r="AU10" s="10" t="e">
        <f>IF(AB10=PATISS!$D$3,1,0)</f>
        <v>#N/A</v>
      </c>
      <c r="AV10" s="10" t="e">
        <f>IF(AC10=PATISS!$D$3,1,0)</f>
        <v>#N/A</v>
      </c>
      <c r="AW10" s="10">
        <f>IF(AD10=PATISS!$D$3,1,0)</f>
        <v>1</v>
      </c>
      <c r="AX10" s="20">
        <f>IF(AE10=PATISS!$D$3,1,0)</f>
        <v>1</v>
      </c>
    </row>
    <row r="11" spans="1:53" ht="15.5" thickTop="1" thickBot="1" x14ac:dyDescent="0.4">
      <c r="A11" s="76" t="e">
        <f>GEN!#REF!</f>
        <v>#REF!</v>
      </c>
      <c r="B11" s="80">
        <f t="shared" si="0"/>
        <v>3</v>
      </c>
      <c r="C11" s="78" t="s">
        <v>16</v>
      </c>
      <c r="D11" s="350"/>
      <c r="E11" s="9" t="e">
        <f>GEN!#REF!</f>
        <v>#REF!</v>
      </c>
      <c r="F11" s="48" t="s">
        <v>3</v>
      </c>
      <c r="G11" s="350"/>
      <c r="H11" s="9" t="e">
        <f>GEN!#REF!</f>
        <v>#REF!</v>
      </c>
      <c r="I11" s="48" t="str">
        <f t="shared" si="1"/>
        <v>P</v>
      </c>
      <c r="J11" s="350"/>
      <c r="K11" s="9" t="e">
        <f>GEN!#REF!</f>
        <v>#REF!</v>
      </c>
      <c r="L11" s="48" t="str">
        <f>IF($C11="p","P",IF($C11="n/p","N/P"))</f>
        <v>P</v>
      </c>
      <c r="M11" s="350"/>
      <c r="N11" s="5" t="e">
        <f>GEN!#REF!</f>
        <v>#REF!</v>
      </c>
      <c r="O11" s="48" t="str">
        <f t="shared" ref="O11:O17" si="2">IF($C11="p","P",IF($C11="n/p","N/P"))</f>
        <v>P</v>
      </c>
      <c r="P11" s="353"/>
      <c r="Q11" s="5" t="e">
        <f>GEN!#REF!</f>
        <v>#REF!</v>
      </c>
      <c r="R11" s="48" t="s">
        <v>3</v>
      </c>
      <c r="S11" s="48"/>
      <c r="T11" s="108" t="s">
        <v>1</v>
      </c>
      <c r="U11" s="23">
        <f>IF(F11="p",VLOOKUP($T11,PATISS!$A$2:$B$4,2,FALSE),0)</f>
        <v>0</v>
      </c>
      <c r="V11" s="11" t="e">
        <f>IF(I11="p",VLOOKUP($T11,PATISS!$A$2:$B$4,2,FALSE),0)</f>
        <v>#N/A</v>
      </c>
      <c r="W11" s="11" t="e">
        <f>IF(L11="p",VLOOKUP($T11,PATISS!$A$2:$B$4,2,FALSE),0)</f>
        <v>#N/A</v>
      </c>
      <c r="X11" s="11" t="e">
        <f>IF(O11="p",VLOOKUP($T11,PATISS!$A$2:$B$4,2,FALSE),0)</f>
        <v>#N/A</v>
      </c>
      <c r="Y11" s="11">
        <f>IF(R11="p",VLOOKUP($T11,PATISS!$A$2:$B$4,2,FALSE),0)</f>
        <v>0</v>
      </c>
      <c r="Z11" s="12" t="e">
        <f>IF(U11+V11+W11+X11+Y11&lt;0.5,0,VLOOKUP(T11,PATISS!$A$16:$B$18,2,FALSE))</f>
        <v>#N/A</v>
      </c>
      <c r="AA11" s="13">
        <f>IF(U11&lt;0.5,0,VLOOKUP($T11,PATISS!$C$2:$D$4,2,FALSE))</f>
        <v>0</v>
      </c>
      <c r="AB11" s="13" t="e">
        <f>IF(V11&lt;0.5,0,VLOOKUP($T11,PATISS!$C$2:$D$4,2,FALSE))</f>
        <v>#N/A</v>
      </c>
      <c r="AC11" s="13" t="e">
        <f>IF(W11&lt;0.5,0,VLOOKUP($T11,PATISS!$C$2:$D$4,2,FALSE))</f>
        <v>#N/A</v>
      </c>
      <c r="AD11" s="13" t="e">
        <f>IF(X11&lt;0.5,0,VLOOKUP($T11,PATISS!$C$2:$D$4,2,FALSE))</f>
        <v>#N/A</v>
      </c>
      <c r="AE11" s="13">
        <f>IF(Y11&lt;0.5,0,VLOOKUP($T11,PATISS!$C$2:$D$4,2,FALSE))</f>
        <v>0</v>
      </c>
      <c r="AF11" s="14" t="e">
        <f>IF(U11&gt;0.5,0,VLOOKUP($T11,PATISS!$A$2:$B$4,2,FALSE))</f>
        <v>#N/A</v>
      </c>
      <c r="AG11" s="14" t="e">
        <f>IF(V11&gt;0.5,0,VLOOKUP($T11,PATISS!$A$2:$B$4,2,FALSE))</f>
        <v>#N/A</v>
      </c>
      <c r="AH11" s="14" t="e">
        <f>IF(W11&gt;0.5,0,VLOOKUP($T11,PATISS!$A$2:$B$4,2,FALSE))</f>
        <v>#N/A</v>
      </c>
      <c r="AI11" s="14" t="e">
        <f>IF(X11&gt;0.5,0,VLOOKUP($T11,PATISS!$A$2:$B$4,2,FALSE))</f>
        <v>#N/A</v>
      </c>
      <c r="AJ11" s="19">
        <f>IF(AA11=PATISS!$D$2,1,0)</f>
        <v>0</v>
      </c>
      <c r="AK11" s="10" t="e">
        <f>IF(AB11=PATISS!$D$2,1,0)</f>
        <v>#N/A</v>
      </c>
      <c r="AL11" s="10" t="e">
        <f>IF(AC11=PATISS!$D$2,1,0)</f>
        <v>#N/A</v>
      </c>
      <c r="AM11" s="10" t="e">
        <f>IF(AD11=PATISS!$D$2,1,0)</f>
        <v>#N/A</v>
      </c>
      <c r="AN11" s="20">
        <f>IF(AE11=PATISS!$D$2,1,0)</f>
        <v>0</v>
      </c>
      <c r="AO11" s="19">
        <f>IF(AA11=PATISS!$D$4,1,0)</f>
        <v>0</v>
      </c>
      <c r="AP11" s="10" t="e">
        <f>IF(AB11=PATISS!$D$4,1,0)</f>
        <v>#N/A</v>
      </c>
      <c r="AQ11" s="10" t="e">
        <f>IF(AC11=PATISS!$D$4,1,0)</f>
        <v>#N/A</v>
      </c>
      <c r="AR11" s="10" t="e">
        <f>IF(AD11=PATISS!$D$4,1,0)</f>
        <v>#N/A</v>
      </c>
      <c r="AS11" s="10">
        <f>IF(AE11=PATISS!$D$4,1,0)</f>
        <v>0</v>
      </c>
      <c r="AT11" s="19">
        <f>IF(AA11=PATISS!$D$3,1,0)</f>
        <v>1</v>
      </c>
      <c r="AU11" s="10" t="e">
        <f>IF(AB11=PATISS!$D$3,1,0)</f>
        <v>#N/A</v>
      </c>
      <c r="AV11" s="10" t="e">
        <f>IF(AC11=PATISS!$D$3,1,0)</f>
        <v>#N/A</v>
      </c>
      <c r="AW11" s="10" t="e">
        <f>IF(AD11=PATISS!$D$3,1,0)</f>
        <v>#N/A</v>
      </c>
      <c r="AX11" s="20">
        <f>IF(AE11=PATISS!$D$3,1,0)</f>
        <v>1</v>
      </c>
    </row>
    <row r="12" spans="1:53" ht="15.5" thickTop="1" thickBot="1" x14ac:dyDescent="0.4">
      <c r="A12" s="76" t="e">
        <f>GEN!#REF!</f>
        <v>#REF!</v>
      </c>
      <c r="B12" s="80">
        <f t="shared" si="0"/>
        <v>3</v>
      </c>
      <c r="C12" s="78" t="s">
        <v>16</v>
      </c>
      <c r="D12" s="350"/>
      <c r="E12" s="9" t="e">
        <f>GEN!#REF!</f>
        <v>#REF!</v>
      </c>
      <c r="F12" s="48" t="s">
        <v>3</v>
      </c>
      <c r="G12" s="350"/>
      <c r="H12" s="9" t="e">
        <f>GEN!#REF!</f>
        <v>#REF!</v>
      </c>
      <c r="I12" s="48" t="str">
        <f t="shared" si="1"/>
        <v>P</v>
      </c>
      <c r="J12" s="350"/>
      <c r="K12" s="9" t="e">
        <f>GEN!#REF!</f>
        <v>#REF!</v>
      </c>
      <c r="L12" s="48" t="str">
        <f>IF($C12="p","P",IF($C12="n/p","N/P"))</f>
        <v>P</v>
      </c>
      <c r="M12" s="350"/>
      <c r="N12" s="5" t="e">
        <f>GEN!#REF!</f>
        <v>#REF!</v>
      </c>
      <c r="O12" s="48" t="str">
        <f t="shared" si="2"/>
        <v>P</v>
      </c>
      <c r="P12" s="353"/>
      <c r="Q12" s="5" t="e">
        <f>GEN!#REF!</f>
        <v>#REF!</v>
      </c>
      <c r="R12" s="48" t="s">
        <v>3</v>
      </c>
      <c r="S12" s="48"/>
      <c r="T12" s="108" t="s">
        <v>1</v>
      </c>
      <c r="U12" s="23">
        <f>IF(F12="p",VLOOKUP($T12,PATISS!$A$2:$B$4,2,FALSE),0)</f>
        <v>0</v>
      </c>
      <c r="V12" s="11" t="e">
        <f>IF(I12="p",VLOOKUP($T12,PATISS!$A$2:$B$4,2,FALSE),0)</f>
        <v>#N/A</v>
      </c>
      <c r="W12" s="11" t="e">
        <f>IF(L12="p",VLOOKUP($T12,PATISS!$A$2:$B$4,2,FALSE),0)</f>
        <v>#N/A</v>
      </c>
      <c r="X12" s="11" t="e">
        <f>IF(O12="p",VLOOKUP($T12,PATISS!$A$2:$B$4,2,FALSE),0)</f>
        <v>#N/A</v>
      </c>
      <c r="Y12" s="11">
        <f>IF(R12="p",VLOOKUP($T12,PATISS!$A$2:$B$4,2,FALSE),0)</f>
        <v>0</v>
      </c>
      <c r="Z12" s="12" t="e">
        <f>IF(U12+V12+W12+X12+Y12&lt;0.5,0,VLOOKUP(T12,PATISS!$A$16:$B$18,2,FALSE))</f>
        <v>#N/A</v>
      </c>
      <c r="AA12" s="13">
        <f>IF(U12&lt;0.5,0,VLOOKUP($T12,PATISS!$C$2:$D$4,2,FALSE))</f>
        <v>0</v>
      </c>
      <c r="AB12" s="13" t="e">
        <f>IF(V12&lt;0.5,0,VLOOKUP($T12,PATISS!$C$2:$D$4,2,FALSE))</f>
        <v>#N/A</v>
      </c>
      <c r="AC12" s="13" t="e">
        <f>IF(W12&lt;0.5,0,VLOOKUP($T12,PATISS!$C$2:$D$4,2,FALSE))</f>
        <v>#N/A</v>
      </c>
      <c r="AD12" s="13" t="e">
        <f>IF(X12&lt;0.5,0,VLOOKUP($T12,PATISS!$C$2:$D$4,2,FALSE))</f>
        <v>#N/A</v>
      </c>
      <c r="AE12" s="13">
        <f>IF(Y12&lt;0.5,0,VLOOKUP($T12,PATISS!$C$2:$D$4,2,FALSE))</f>
        <v>0</v>
      </c>
      <c r="AF12" s="14" t="e">
        <f>IF(U12&gt;0.5,0,VLOOKUP($T12,PATISS!$A$2:$B$4,2,FALSE))</f>
        <v>#N/A</v>
      </c>
      <c r="AG12" s="14" t="e">
        <f>IF(V12&gt;0.5,0,VLOOKUP($T12,PATISS!$A$2:$B$4,2,FALSE))</f>
        <v>#N/A</v>
      </c>
      <c r="AH12" s="14" t="e">
        <f>IF(W12&gt;0.5,0,VLOOKUP($T12,PATISS!$A$2:$B$4,2,FALSE))</f>
        <v>#N/A</v>
      </c>
      <c r="AI12" s="14" t="e">
        <f>IF(X12&gt;0.5,0,VLOOKUP($T12,PATISS!$A$2:$B$4,2,FALSE))</f>
        <v>#N/A</v>
      </c>
      <c r="AJ12" s="19">
        <f>IF(AA12=PATISS!$D$2,1,0)</f>
        <v>0</v>
      </c>
      <c r="AK12" s="10" t="e">
        <f>IF(AB12=PATISS!$D$2,1,0)</f>
        <v>#N/A</v>
      </c>
      <c r="AL12" s="10" t="e">
        <f>IF(AC12=PATISS!$D$2,1,0)</f>
        <v>#N/A</v>
      </c>
      <c r="AM12" s="10" t="e">
        <f>IF(AD12=PATISS!$D$2,1,0)</f>
        <v>#N/A</v>
      </c>
      <c r="AN12" s="20">
        <f>IF(AE12=PATISS!$D$2,1,0)</f>
        <v>0</v>
      </c>
      <c r="AO12" s="19">
        <f>IF(AA12=PATISS!$D$4,1,0)</f>
        <v>0</v>
      </c>
      <c r="AP12" s="10" t="e">
        <f>IF(AB12=PATISS!$D$4,1,0)</f>
        <v>#N/A</v>
      </c>
      <c r="AQ12" s="10" t="e">
        <f>IF(AC12=PATISS!$D$4,1,0)</f>
        <v>#N/A</v>
      </c>
      <c r="AR12" s="10" t="e">
        <f>IF(AD12=PATISS!$D$4,1,0)</f>
        <v>#N/A</v>
      </c>
      <c r="AS12" s="10">
        <f>IF(AE12=PATISS!$D$4,1,0)</f>
        <v>0</v>
      </c>
      <c r="AT12" s="19">
        <f>IF(AA12=PATISS!$D$3,1,0)</f>
        <v>1</v>
      </c>
      <c r="AU12" s="10" t="e">
        <f>IF(AB12=PATISS!$D$3,1,0)</f>
        <v>#N/A</v>
      </c>
      <c r="AV12" s="10" t="e">
        <f>IF(AC12=PATISS!$D$3,1,0)</f>
        <v>#N/A</v>
      </c>
      <c r="AW12" s="10" t="e">
        <f>IF(AD12=PATISS!$D$3,1,0)</f>
        <v>#N/A</v>
      </c>
      <c r="AX12" s="20">
        <f>IF(AE12=PATISS!$D$3,1,0)</f>
        <v>1</v>
      </c>
    </row>
    <row r="13" spans="1:53" ht="15.5" thickTop="1" thickBot="1" x14ac:dyDescent="0.4">
      <c r="A13" s="76" t="e">
        <f>GEN!#REF!</f>
        <v>#REF!</v>
      </c>
      <c r="B13" s="80">
        <f t="shared" si="0"/>
        <v>2</v>
      </c>
      <c r="C13" s="78" t="s">
        <v>16</v>
      </c>
      <c r="D13" s="350"/>
      <c r="E13" s="9" t="e">
        <f>GEN!#REF!</f>
        <v>#REF!</v>
      </c>
      <c r="F13" s="48" t="s">
        <v>3</v>
      </c>
      <c r="G13" s="350"/>
      <c r="H13" s="9" t="e">
        <f>GEN!#REF!</f>
        <v>#REF!</v>
      </c>
      <c r="I13" s="48" t="s">
        <v>16</v>
      </c>
      <c r="J13" s="350"/>
      <c r="K13" s="9" t="e">
        <f>GEN!#REF!</f>
        <v>#REF!</v>
      </c>
      <c r="L13" s="48" t="s">
        <v>3</v>
      </c>
      <c r="M13" s="350"/>
      <c r="N13" s="5" t="e">
        <f>GEN!#REF!</f>
        <v>#REF!</v>
      </c>
      <c r="O13" s="48" t="str">
        <f t="shared" si="2"/>
        <v>P</v>
      </c>
      <c r="P13" s="353"/>
      <c r="Q13" s="5" t="e">
        <f>GEN!#REF!</f>
        <v>#REF!</v>
      </c>
      <c r="R13" s="48" t="s">
        <v>3</v>
      </c>
      <c r="S13" s="48"/>
      <c r="T13" s="108" t="s">
        <v>4</v>
      </c>
      <c r="U13" s="23">
        <f>IF(F13="p",VLOOKUP($T13,PATISS!$A$2:$B$4,2,FALSE),0)</f>
        <v>0</v>
      </c>
      <c r="V13" s="11" t="e">
        <f>IF(I13="p",VLOOKUP($T13,PATISS!$A$2:$B$4,2,FALSE),0)</f>
        <v>#N/A</v>
      </c>
      <c r="W13" s="11">
        <f>IF(L13="p",VLOOKUP($T13,PATISS!$A$2:$B$4,2,FALSE),0)</f>
        <v>0</v>
      </c>
      <c r="X13" s="11" t="e">
        <f>IF(O13="p",VLOOKUP($T13,PATISS!$A$2:$B$4,2,FALSE),0)</f>
        <v>#N/A</v>
      </c>
      <c r="Y13" s="11">
        <f>IF(R13="p",VLOOKUP($T13,PATISS!$A$2:$B$4,2,FALSE),0)</f>
        <v>0</v>
      </c>
      <c r="Z13" s="12" t="e">
        <f>IF(U13+V13+W13+X13+Y13&lt;0.5,0,VLOOKUP(T13,PATISS!$A$16:$B$18,2,FALSE))</f>
        <v>#N/A</v>
      </c>
      <c r="AA13" s="13">
        <f>IF(U13&lt;0.5,0,VLOOKUP($T13,PATISS!$C$2:$D$4,2,FALSE))</f>
        <v>0</v>
      </c>
      <c r="AB13" s="13" t="e">
        <f>IF(V13&lt;0.5,0,VLOOKUP($T13,PATISS!$C$2:$D$4,2,FALSE))</f>
        <v>#N/A</v>
      </c>
      <c r="AC13" s="13">
        <f>IF(W13&lt;0.5,0,VLOOKUP($T13,PATISS!$C$2:$D$4,2,FALSE))</f>
        <v>0</v>
      </c>
      <c r="AD13" s="13" t="e">
        <f>IF(X13&lt;0.5,0,VLOOKUP($T13,PATISS!$C$2:$D$4,2,FALSE))</f>
        <v>#N/A</v>
      </c>
      <c r="AE13" s="13">
        <f>IF(Y13&lt;0.5,0,VLOOKUP($T13,PATISS!$C$2:$D$4,2,FALSE))</f>
        <v>0</v>
      </c>
      <c r="AF13" s="14" t="e">
        <f>IF(U13&gt;0.5,0,VLOOKUP($T13,PATISS!$A$2:$B$4,2,FALSE))</f>
        <v>#N/A</v>
      </c>
      <c r="AG13" s="14" t="e">
        <f>IF(V13&gt;0.5,0,VLOOKUP($T13,PATISS!$A$2:$B$4,2,FALSE))</f>
        <v>#N/A</v>
      </c>
      <c r="AH13" s="14" t="e">
        <f>IF(W13&gt;0.5,0,VLOOKUP($T13,PATISS!$A$2:$B$4,2,FALSE))</f>
        <v>#N/A</v>
      </c>
      <c r="AI13" s="14" t="e">
        <f>IF(X13&gt;0.5,0,VLOOKUP($T13,PATISS!$A$2:$B$4,2,FALSE))</f>
        <v>#N/A</v>
      </c>
      <c r="AJ13" s="19">
        <f>IF(AA13=PATISS!$D$2,1,0)</f>
        <v>0</v>
      </c>
      <c r="AK13" s="10" t="e">
        <f>IF(AB13=PATISS!$D$2,1,0)</f>
        <v>#N/A</v>
      </c>
      <c r="AL13" s="10">
        <f>IF(AC13=PATISS!$D$2,1,0)</f>
        <v>0</v>
      </c>
      <c r="AM13" s="10" t="e">
        <f>IF(AD13=PATISS!$D$2,1,0)</f>
        <v>#N/A</v>
      </c>
      <c r="AN13" s="20">
        <f>IF(AE13=PATISS!$D$2,1,0)</f>
        <v>0</v>
      </c>
      <c r="AO13" s="19">
        <f>IF(AA13=PATISS!$D$4,1,0)</f>
        <v>0</v>
      </c>
      <c r="AP13" s="10" t="e">
        <f>IF(AB13=PATISS!$D$4,1,0)</f>
        <v>#N/A</v>
      </c>
      <c r="AQ13" s="10">
        <f>IF(AC13=PATISS!$D$4,1,0)</f>
        <v>0</v>
      </c>
      <c r="AR13" s="10" t="e">
        <f>IF(AD13=PATISS!$D$4,1,0)</f>
        <v>#N/A</v>
      </c>
      <c r="AS13" s="10">
        <f>IF(AE13=PATISS!$D$4,1,0)</f>
        <v>0</v>
      </c>
      <c r="AT13" s="19">
        <f>IF(AA13=PATISS!$D$3,1,0)</f>
        <v>1</v>
      </c>
      <c r="AU13" s="10" t="e">
        <f>IF(AB13=PATISS!$D$3,1,0)</f>
        <v>#N/A</v>
      </c>
      <c r="AV13" s="10">
        <f>IF(AC13=PATISS!$D$3,1,0)</f>
        <v>1</v>
      </c>
      <c r="AW13" s="10" t="e">
        <f>IF(AD13=PATISS!$D$3,1,0)</f>
        <v>#N/A</v>
      </c>
      <c r="AX13" s="20">
        <f>IF(AE13=PATISS!$D$3,1,0)</f>
        <v>1</v>
      </c>
    </row>
    <row r="14" spans="1:53" ht="15.5" thickTop="1" thickBot="1" x14ac:dyDescent="0.4">
      <c r="A14" s="76" t="e">
        <f>GEN!#REF!</f>
        <v>#REF!</v>
      </c>
      <c r="B14" s="80">
        <f t="shared" si="0"/>
        <v>0</v>
      </c>
      <c r="C14" s="78" t="s">
        <v>3</v>
      </c>
      <c r="D14" s="350"/>
      <c r="E14" s="9" t="e">
        <f>GEN!#REF!</f>
        <v>#REF!</v>
      </c>
      <c r="F14" s="48" t="s">
        <v>3</v>
      </c>
      <c r="G14" s="350"/>
      <c r="H14" s="9" t="e">
        <f>GEN!#REF!</f>
        <v>#REF!</v>
      </c>
      <c r="I14" s="48" t="str">
        <f>IF($C14="p","P",IF($C14="n/p","N/P"))</f>
        <v>N/P</v>
      </c>
      <c r="J14" s="350"/>
      <c r="K14" s="9" t="e">
        <f>GEN!#REF!</f>
        <v>#REF!</v>
      </c>
      <c r="L14" s="48" t="str">
        <f>IF($C14="p","P",IF($C14="n/p","N/P"))</f>
        <v>N/P</v>
      </c>
      <c r="M14" s="350"/>
      <c r="N14" s="5" t="e">
        <f>GEN!#REF!</f>
        <v>#REF!</v>
      </c>
      <c r="O14" s="48" t="str">
        <f t="shared" si="2"/>
        <v>N/P</v>
      </c>
      <c r="P14" s="353"/>
      <c r="Q14" s="5" t="e">
        <f>GEN!#REF!</f>
        <v>#REF!</v>
      </c>
      <c r="R14" s="48" t="s">
        <v>3</v>
      </c>
      <c r="S14" s="48"/>
      <c r="T14" s="108" t="s">
        <v>4</v>
      </c>
      <c r="U14" s="23">
        <f>IF(F14="p",VLOOKUP($T14,PATISS!$A$2:$B$4,2,FALSE),0)</f>
        <v>0</v>
      </c>
      <c r="V14" s="11">
        <f>IF(I14="p",VLOOKUP($T14,PATISS!$A$2:$B$4,2,FALSE),0)</f>
        <v>0</v>
      </c>
      <c r="W14" s="11">
        <f>IF(L14="p",VLOOKUP($T14,PATISS!$A$2:$B$4,2,FALSE),0)</f>
        <v>0</v>
      </c>
      <c r="X14" s="11">
        <f>IF(O14="p",VLOOKUP($T14,PATISS!$A$2:$B$4,2,FALSE),0)</f>
        <v>0</v>
      </c>
      <c r="Y14" s="11">
        <f>IF(R14="p",VLOOKUP($T14,PATISS!$A$2:$B$4,2,FALSE),0)</f>
        <v>0</v>
      </c>
      <c r="Z14" s="12">
        <f>IF(U14+V14+W14+X14+Y14&lt;0.5,0,VLOOKUP(T14,PATISS!$A$16:$B$18,2,FALSE))</f>
        <v>0</v>
      </c>
      <c r="AA14" s="13">
        <f>IF(U14&lt;0.5,0,VLOOKUP($T14,PATISS!$C$2:$D$4,2,FALSE))</f>
        <v>0</v>
      </c>
      <c r="AB14" s="13">
        <f>IF(V14&lt;0.5,0,VLOOKUP($T14,PATISS!$C$2:$D$4,2,FALSE))</f>
        <v>0</v>
      </c>
      <c r="AC14" s="13">
        <f>IF(W14&lt;0.5,0,VLOOKUP($T14,PATISS!$C$2:$D$4,2,FALSE))</f>
        <v>0</v>
      </c>
      <c r="AD14" s="13">
        <f>IF(X14&lt;0.5,0,VLOOKUP($T14,PATISS!$C$2:$D$4,2,FALSE))</f>
        <v>0</v>
      </c>
      <c r="AE14" s="13">
        <f>IF(Y14&lt;0.5,0,VLOOKUP($T14,PATISS!$C$2:$D$4,2,FALSE))</f>
        <v>0</v>
      </c>
      <c r="AF14" s="14" t="e">
        <f>IF(U14&gt;0.5,0,VLOOKUP($T14,PATISS!$A$2:$B$4,2,FALSE))</f>
        <v>#N/A</v>
      </c>
      <c r="AG14" s="14" t="e">
        <f>IF(V14&gt;0.5,0,VLOOKUP($T14,PATISS!$A$2:$B$4,2,FALSE))</f>
        <v>#N/A</v>
      </c>
      <c r="AH14" s="14" t="e">
        <f>IF(W14&gt;0.5,0,VLOOKUP($T14,PATISS!$A$2:$B$4,2,FALSE))</f>
        <v>#N/A</v>
      </c>
      <c r="AI14" s="14" t="e">
        <f>IF(X14&gt;0.5,0,VLOOKUP($T14,PATISS!$A$2:$B$4,2,FALSE))</f>
        <v>#N/A</v>
      </c>
      <c r="AJ14" s="19">
        <f>IF(AA14=PATISS!$D$2,1,0)</f>
        <v>0</v>
      </c>
      <c r="AK14" s="10">
        <f>IF(AB14=PATISS!$D$2,1,0)</f>
        <v>0</v>
      </c>
      <c r="AL14" s="10">
        <f>IF(AC14=PATISS!$D$2,1,0)</f>
        <v>0</v>
      </c>
      <c r="AM14" s="10">
        <f>IF(AD14=PATISS!$D$2,1,0)</f>
        <v>0</v>
      </c>
      <c r="AN14" s="20">
        <f>IF(AE14=PATISS!$D$2,1,0)</f>
        <v>0</v>
      </c>
      <c r="AO14" s="19">
        <f>IF(AA14=PATISS!$D$4,1,0)</f>
        <v>0</v>
      </c>
      <c r="AP14" s="10">
        <f>IF(AB14=PATISS!$D$4,1,0)</f>
        <v>0</v>
      </c>
      <c r="AQ14" s="10">
        <f>IF(AC14=PATISS!$D$4,1,0)</f>
        <v>0</v>
      </c>
      <c r="AR14" s="10">
        <f>IF(AD14=PATISS!$D$4,1,0)</f>
        <v>0</v>
      </c>
      <c r="AS14" s="10">
        <f>IF(AE14=PATISS!$D$4,1,0)</f>
        <v>0</v>
      </c>
      <c r="AT14" s="19">
        <f>IF(AA14=PATISS!$D$3,1,0)</f>
        <v>1</v>
      </c>
      <c r="AU14" s="10">
        <f>IF(AB14=PATISS!$D$3,1,0)</f>
        <v>1</v>
      </c>
      <c r="AV14" s="10">
        <f>IF(AC14=PATISS!$D$3,1,0)</f>
        <v>1</v>
      </c>
      <c r="AW14" s="10">
        <f>IF(AD14=PATISS!$D$3,1,0)</f>
        <v>1</v>
      </c>
      <c r="AX14" s="20">
        <f>IF(AE14=PATISS!$D$3,1,0)</f>
        <v>1</v>
      </c>
    </row>
    <row r="15" spans="1:53" ht="15.5" thickTop="1" thickBot="1" x14ac:dyDescent="0.4">
      <c r="A15" s="76" t="e">
        <f>GEN!#REF!</f>
        <v>#REF!</v>
      </c>
      <c r="B15" s="80">
        <f t="shared" si="0"/>
        <v>2</v>
      </c>
      <c r="C15" s="78" t="s">
        <v>16</v>
      </c>
      <c r="D15" s="350"/>
      <c r="E15" s="9" t="e">
        <f>GEN!#REF!</f>
        <v>#REF!</v>
      </c>
      <c r="F15" s="48" t="s">
        <v>3</v>
      </c>
      <c r="G15" s="350"/>
      <c r="H15" s="9" t="e">
        <f>GEN!#REF!</f>
        <v>#REF!</v>
      </c>
      <c r="I15" s="48" t="s">
        <v>3</v>
      </c>
      <c r="J15" s="350"/>
      <c r="K15" s="9" t="e">
        <f>GEN!#REF!</f>
        <v>#REF!</v>
      </c>
      <c r="L15" s="48" t="str">
        <f>IF($C15="p","P",IF($C15="n/p","N/P"))</f>
        <v>P</v>
      </c>
      <c r="M15" s="350"/>
      <c r="N15" s="5" t="e">
        <f>GEN!#REF!</f>
        <v>#REF!</v>
      </c>
      <c r="O15" s="48" t="str">
        <f t="shared" si="2"/>
        <v>P</v>
      </c>
      <c r="P15" s="353"/>
      <c r="Q15" s="5" t="e">
        <f>GEN!#REF!</f>
        <v>#REF!</v>
      </c>
      <c r="R15" s="48" t="s">
        <v>3</v>
      </c>
      <c r="S15" s="48"/>
      <c r="T15" s="108" t="s">
        <v>4</v>
      </c>
      <c r="U15" s="23">
        <f>IF(F15="p",VLOOKUP($T15,PATISS!$A$2:$B$4,2,FALSE),0)</f>
        <v>0</v>
      </c>
      <c r="V15" s="11">
        <f>IF(I15="p",VLOOKUP($T15,PATISS!$A$2:$B$4,2,FALSE),0)</f>
        <v>0</v>
      </c>
      <c r="W15" s="11" t="e">
        <f>IF(L15="p",VLOOKUP($T15,PATISS!$A$2:$B$4,2,FALSE),0)</f>
        <v>#N/A</v>
      </c>
      <c r="X15" s="11" t="e">
        <f>IF(O15="p",VLOOKUP($T15,PATISS!$A$2:$B$4,2,FALSE),0)</f>
        <v>#N/A</v>
      </c>
      <c r="Y15" s="11">
        <f>IF(R15="p",VLOOKUP($T15,PATISS!$A$2:$B$4,2,FALSE),0)</f>
        <v>0</v>
      </c>
      <c r="Z15" s="12" t="e">
        <f>IF(U15+V15+W15+X15+Y15&lt;0.5,0,VLOOKUP(T15,PATISS!$A$16:$B$18,2,FALSE))</f>
        <v>#N/A</v>
      </c>
      <c r="AA15" s="13">
        <f>IF(U15&lt;0.5,0,VLOOKUP($T15,PATISS!$C$2:$D$4,2,FALSE))</f>
        <v>0</v>
      </c>
      <c r="AB15" s="13">
        <f>IF(V15&lt;0.5,0,VLOOKUP($T15,PATISS!$C$2:$D$4,2,FALSE))</f>
        <v>0</v>
      </c>
      <c r="AC15" s="13" t="e">
        <f>IF(W15&lt;0.5,0,VLOOKUP($T15,PATISS!$C$2:$D$4,2,FALSE))</f>
        <v>#N/A</v>
      </c>
      <c r="AD15" s="13" t="e">
        <f>IF(X15&lt;0.5,0,VLOOKUP($T15,PATISS!$C$2:$D$4,2,FALSE))</f>
        <v>#N/A</v>
      </c>
      <c r="AE15" s="13">
        <f>IF(Y15&lt;0.5,0,VLOOKUP($T15,PATISS!$C$2:$D$4,2,FALSE))</f>
        <v>0</v>
      </c>
      <c r="AF15" s="14" t="e">
        <f>IF(U15&gt;0.5,0,VLOOKUP($T15,PATISS!$A$2:$B$4,2,FALSE))</f>
        <v>#N/A</v>
      </c>
      <c r="AG15" s="14" t="e">
        <f>IF(V15&gt;0.5,0,VLOOKUP($T15,PATISS!$A$2:$B$4,2,FALSE))</f>
        <v>#N/A</v>
      </c>
      <c r="AH15" s="14" t="e">
        <f>IF(W15&gt;0.5,0,VLOOKUP($T15,PATISS!$A$2:$B$4,2,FALSE))</f>
        <v>#N/A</v>
      </c>
      <c r="AI15" s="14" t="e">
        <f>IF(X15&gt;0.5,0,VLOOKUP($T15,PATISS!$A$2:$B$4,2,FALSE))</f>
        <v>#N/A</v>
      </c>
      <c r="AJ15" s="19">
        <f>IF(AA15=PATISS!$D$2,1,0)</f>
        <v>0</v>
      </c>
      <c r="AK15" s="10">
        <f>IF(AB15=PATISS!$D$2,1,0)</f>
        <v>0</v>
      </c>
      <c r="AL15" s="10" t="e">
        <f>IF(AC15=PATISS!$D$2,1,0)</f>
        <v>#N/A</v>
      </c>
      <c r="AM15" s="10" t="e">
        <f>IF(AD15=PATISS!$D$2,1,0)</f>
        <v>#N/A</v>
      </c>
      <c r="AN15" s="20">
        <f>IF(AE15=PATISS!$D$2,1,0)</f>
        <v>0</v>
      </c>
      <c r="AO15" s="19">
        <f>IF(AA15=PATISS!$D$4,1,0)</f>
        <v>0</v>
      </c>
      <c r="AP15" s="10">
        <f>IF(AB15=PATISS!$D$4,1,0)</f>
        <v>0</v>
      </c>
      <c r="AQ15" s="10" t="e">
        <f>IF(AC15=PATISS!$D$4,1,0)</f>
        <v>#N/A</v>
      </c>
      <c r="AR15" s="10" t="e">
        <f>IF(AD15=PATISS!$D$4,1,0)</f>
        <v>#N/A</v>
      </c>
      <c r="AS15" s="10">
        <f>IF(AE15=PATISS!$D$4,1,0)</f>
        <v>0</v>
      </c>
      <c r="AT15" s="19">
        <f>IF(AA15=PATISS!$D$3,1,0)</f>
        <v>1</v>
      </c>
      <c r="AU15" s="10">
        <f>IF(AB15=PATISS!$D$3,1,0)</f>
        <v>1</v>
      </c>
      <c r="AV15" s="10" t="e">
        <f>IF(AC15=PATISS!$D$3,1,0)</f>
        <v>#N/A</v>
      </c>
      <c r="AW15" s="10" t="e">
        <f>IF(AD15=PATISS!$D$3,1,0)</f>
        <v>#N/A</v>
      </c>
      <c r="AX15" s="20">
        <f>IF(AE15=PATISS!$D$3,1,0)</f>
        <v>1</v>
      </c>
    </row>
    <row r="16" spans="1:53" ht="15.5" thickTop="1" thickBot="1" x14ac:dyDescent="0.4">
      <c r="A16" s="76" t="e">
        <f>GEN!#REF!</f>
        <v>#REF!</v>
      </c>
      <c r="B16" s="80">
        <f t="shared" si="0"/>
        <v>0</v>
      </c>
      <c r="C16" s="78" t="s">
        <v>3</v>
      </c>
      <c r="D16" s="350"/>
      <c r="E16" s="9" t="e">
        <f>GEN!#REF!</f>
        <v>#REF!</v>
      </c>
      <c r="F16" s="48" t="s">
        <v>3</v>
      </c>
      <c r="G16" s="350"/>
      <c r="H16" s="9" t="e">
        <f>GEN!#REF!</f>
        <v>#REF!</v>
      </c>
      <c r="I16" s="48" t="s">
        <v>3</v>
      </c>
      <c r="J16" s="350"/>
      <c r="K16" s="9" t="e">
        <f>GEN!#REF!</f>
        <v>#REF!</v>
      </c>
      <c r="L16" s="48" t="str">
        <f>IF($C16="p","P",IF($C16="n/p","N/P"))</f>
        <v>N/P</v>
      </c>
      <c r="M16" s="350"/>
      <c r="N16" s="5" t="e">
        <f>GEN!#REF!</f>
        <v>#REF!</v>
      </c>
      <c r="O16" s="48" t="str">
        <f t="shared" si="2"/>
        <v>N/P</v>
      </c>
      <c r="P16" s="353"/>
      <c r="Q16" s="5" t="e">
        <f>GEN!#REF!</f>
        <v>#REF!</v>
      </c>
      <c r="R16" s="48" t="s">
        <v>3</v>
      </c>
      <c r="S16" s="48"/>
      <c r="T16" s="108" t="s">
        <v>4</v>
      </c>
      <c r="U16" s="23">
        <f>IF(F16="p",VLOOKUP($T16,PATISS!$A$2:$B$4,2,FALSE),0)</f>
        <v>0</v>
      </c>
      <c r="V16" s="11">
        <f>IF(I16="p",VLOOKUP($T16,PATISS!$A$2:$B$4,2,FALSE),0)</f>
        <v>0</v>
      </c>
      <c r="W16" s="11">
        <f>IF(L16="p",VLOOKUP($T16,PATISS!$A$2:$B$4,2,FALSE),0)</f>
        <v>0</v>
      </c>
      <c r="X16" s="11">
        <f>IF(O16="p",VLOOKUP($T16,PATISS!$A$2:$B$4,2,FALSE),0)</f>
        <v>0</v>
      </c>
      <c r="Y16" s="11">
        <f>IF(R16="p",VLOOKUP($T16,PATISS!$A$2:$B$4,2,FALSE),0)</f>
        <v>0</v>
      </c>
      <c r="Z16" s="12">
        <f>IF(U16+V16+W16+X16+Y16&lt;0.5,0,VLOOKUP(T16,PATISS!$A$16:$B$18,2,FALSE))</f>
        <v>0</v>
      </c>
      <c r="AA16" s="13">
        <f>IF(U16&lt;0.5,0,VLOOKUP($T16,PATISS!$C$2:$D$4,2,FALSE))</f>
        <v>0</v>
      </c>
      <c r="AB16" s="13">
        <f>IF(V16&lt;0.5,0,VLOOKUP($T16,PATISS!$C$2:$D$4,2,FALSE))</f>
        <v>0</v>
      </c>
      <c r="AC16" s="13">
        <f>IF(W16&lt;0.5,0,VLOOKUP($T16,PATISS!$C$2:$D$4,2,FALSE))</f>
        <v>0</v>
      </c>
      <c r="AD16" s="13">
        <f>IF(X16&lt;0.5,0,VLOOKUP($T16,PATISS!$C$2:$D$4,2,FALSE))</f>
        <v>0</v>
      </c>
      <c r="AE16" s="13">
        <f>IF(Y16&lt;0.5,0,VLOOKUP($T16,PATISS!$C$2:$D$4,2,FALSE))</f>
        <v>0</v>
      </c>
      <c r="AF16" s="14" t="e">
        <f>IF(U16&gt;0.5,0,VLOOKUP($T16,PATISS!$A$2:$B$4,2,FALSE))</f>
        <v>#N/A</v>
      </c>
      <c r="AG16" s="14" t="e">
        <f>IF(V16&gt;0.5,0,VLOOKUP($T16,PATISS!$A$2:$B$4,2,FALSE))</f>
        <v>#N/A</v>
      </c>
      <c r="AH16" s="14" t="e">
        <f>IF(W16&gt;0.5,0,VLOOKUP($T16,PATISS!$A$2:$B$4,2,FALSE))</f>
        <v>#N/A</v>
      </c>
      <c r="AI16" s="14" t="e">
        <f>IF(X16&gt;0.5,0,VLOOKUP($T16,PATISS!$A$2:$B$4,2,FALSE))</f>
        <v>#N/A</v>
      </c>
      <c r="AJ16" s="19">
        <f>IF(AA16=PATISS!$D$2,1,0)</f>
        <v>0</v>
      </c>
      <c r="AK16" s="10">
        <f>IF(AB16=PATISS!$D$2,1,0)</f>
        <v>0</v>
      </c>
      <c r="AL16" s="10">
        <f>IF(AC16=PATISS!$D$2,1,0)</f>
        <v>0</v>
      </c>
      <c r="AM16" s="10">
        <f>IF(AD16=PATISS!$D$2,1,0)</f>
        <v>0</v>
      </c>
      <c r="AN16" s="20">
        <f>IF(AE16=PATISS!$D$2,1,0)</f>
        <v>0</v>
      </c>
      <c r="AO16" s="19">
        <f>IF(AA16=PATISS!$D$4,1,0)</f>
        <v>0</v>
      </c>
      <c r="AP16" s="10">
        <f>IF(AB16=PATISS!$D$4,1,0)</f>
        <v>0</v>
      </c>
      <c r="AQ16" s="10">
        <f>IF(AC16=PATISS!$D$4,1,0)</f>
        <v>0</v>
      </c>
      <c r="AR16" s="10">
        <f>IF(AD16=PATISS!$D$4,1,0)</f>
        <v>0</v>
      </c>
      <c r="AS16" s="10">
        <f>IF(AE16=PATISS!$D$4,1,0)</f>
        <v>0</v>
      </c>
      <c r="AT16" s="19">
        <f>IF(AA16=PATISS!$D$3,1,0)</f>
        <v>1</v>
      </c>
      <c r="AU16" s="10">
        <f>IF(AB16=PATISS!$D$3,1,0)</f>
        <v>1</v>
      </c>
      <c r="AV16" s="10">
        <f>IF(AC16=PATISS!$D$3,1,0)</f>
        <v>1</v>
      </c>
      <c r="AW16" s="10">
        <f>IF(AD16=PATISS!$D$3,1,0)</f>
        <v>1</v>
      </c>
      <c r="AX16" s="20">
        <f>IF(AE16=PATISS!$D$3,1,0)</f>
        <v>1</v>
      </c>
    </row>
    <row r="17" spans="1:50" ht="15.5" thickTop="1" thickBot="1" x14ac:dyDescent="0.4">
      <c r="A17" s="76" t="e">
        <f>GEN!#REF!</f>
        <v>#REF!</v>
      </c>
      <c r="B17" s="80">
        <f t="shared" si="0"/>
        <v>3</v>
      </c>
      <c r="C17" s="78" t="s">
        <v>16</v>
      </c>
      <c r="D17" s="350"/>
      <c r="E17" s="9" t="e">
        <f>GEN!#REF!</f>
        <v>#REF!</v>
      </c>
      <c r="F17" s="48" t="s">
        <v>3</v>
      </c>
      <c r="G17" s="350"/>
      <c r="H17" s="9" t="e">
        <f>GEN!#REF!</f>
        <v>#REF!</v>
      </c>
      <c r="I17" s="48" t="str">
        <f>IF($C17="p","P",IF($C17="n/p","N/P"))</f>
        <v>P</v>
      </c>
      <c r="J17" s="350"/>
      <c r="K17" s="9" t="e">
        <f>GEN!#REF!</f>
        <v>#REF!</v>
      </c>
      <c r="L17" s="48" t="str">
        <f>IF($C17="p","P",IF($C17="n/p","N/P"))</f>
        <v>P</v>
      </c>
      <c r="M17" s="350"/>
      <c r="N17" s="5" t="e">
        <f>GEN!#REF!</f>
        <v>#REF!</v>
      </c>
      <c r="O17" s="48" t="str">
        <f t="shared" si="2"/>
        <v>P</v>
      </c>
      <c r="P17" s="353"/>
      <c r="Q17" s="5" t="e">
        <f>GEN!#REF!</f>
        <v>#REF!</v>
      </c>
      <c r="R17" s="48" t="s">
        <v>3</v>
      </c>
      <c r="S17" s="48"/>
      <c r="T17" s="108" t="s">
        <v>1</v>
      </c>
      <c r="U17" s="23">
        <f>IF(F17="p",VLOOKUP($T17,PATISS!$A$2:$B$4,2,FALSE),0)</f>
        <v>0</v>
      </c>
      <c r="V17" s="11" t="e">
        <f>IF(I17="p",VLOOKUP($T17,PATISS!$A$2:$B$4,2,FALSE),0)</f>
        <v>#N/A</v>
      </c>
      <c r="W17" s="11" t="e">
        <f>IF(L17="p",VLOOKUP($T17,PATISS!$A$2:$B$4,2,FALSE),0)</f>
        <v>#N/A</v>
      </c>
      <c r="X17" s="11" t="e">
        <f>IF(O17="p",VLOOKUP($T17,PATISS!$A$2:$B$4,2,FALSE),0)</f>
        <v>#N/A</v>
      </c>
      <c r="Y17" s="11">
        <f>IF(R17="p",VLOOKUP($T17,PATISS!$A$2:$B$4,2,FALSE),0)</f>
        <v>0</v>
      </c>
      <c r="Z17" s="12" t="e">
        <f>IF(U17+V17+W17+X17+Y17&lt;0.5,0,VLOOKUP(T17,PATISS!$A$16:$B$18,2,FALSE))</f>
        <v>#N/A</v>
      </c>
      <c r="AA17" s="13">
        <f>IF(U17&lt;0.5,0,VLOOKUP($T17,PATISS!$C$2:$D$4,2,FALSE))</f>
        <v>0</v>
      </c>
      <c r="AB17" s="13" t="e">
        <f>IF(V17&lt;0.5,0,VLOOKUP($T17,PATISS!$C$2:$D$4,2,FALSE))</f>
        <v>#N/A</v>
      </c>
      <c r="AC17" s="13" t="e">
        <f>IF(W17&lt;0.5,0,VLOOKUP($T17,PATISS!$C$2:$D$4,2,FALSE))</f>
        <v>#N/A</v>
      </c>
      <c r="AD17" s="13" t="e">
        <f>IF(X17&lt;0.5,0,VLOOKUP($T17,PATISS!$C$2:$D$4,2,FALSE))</f>
        <v>#N/A</v>
      </c>
      <c r="AE17" s="13">
        <f>IF(Y17&lt;0.5,0,VLOOKUP($T17,PATISS!$C$2:$D$4,2,FALSE))</f>
        <v>0</v>
      </c>
      <c r="AF17" s="14" t="e">
        <f>IF(U17&gt;0.5,0,VLOOKUP($T17,PATISS!$A$2:$B$4,2,FALSE))</f>
        <v>#N/A</v>
      </c>
      <c r="AG17" s="14" t="e">
        <f>IF(V17&gt;0.5,0,VLOOKUP($T17,PATISS!$A$2:$B$4,2,FALSE))</f>
        <v>#N/A</v>
      </c>
      <c r="AH17" s="14" t="e">
        <f>IF(W17&gt;0.5,0,VLOOKUP($T17,PATISS!$A$2:$B$4,2,FALSE))</f>
        <v>#N/A</v>
      </c>
      <c r="AI17" s="14" t="e">
        <f>IF(X17&gt;0.5,0,VLOOKUP($T17,PATISS!$A$2:$B$4,2,FALSE))</f>
        <v>#N/A</v>
      </c>
      <c r="AJ17" s="19">
        <f>IF(AA17=PATISS!$D$2,1,0)</f>
        <v>0</v>
      </c>
      <c r="AK17" s="10" t="e">
        <f>IF(AB17=PATISS!$D$2,1,0)</f>
        <v>#N/A</v>
      </c>
      <c r="AL17" s="10" t="e">
        <f>IF(AC17=PATISS!$D$2,1,0)</f>
        <v>#N/A</v>
      </c>
      <c r="AM17" s="10" t="e">
        <f>IF(AD17=PATISS!$D$2,1,0)</f>
        <v>#N/A</v>
      </c>
      <c r="AN17" s="20">
        <f>IF(AE17=PATISS!$D$2,1,0)</f>
        <v>0</v>
      </c>
      <c r="AO17" s="19">
        <f>IF(AA17=PATISS!$D$4,1,0)</f>
        <v>0</v>
      </c>
      <c r="AP17" s="10" t="e">
        <f>IF(AB17=PATISS!$D$4,1,0)</f>
        <v>#N/A</v>
      </c>
      <c r="AQ17" s="10" t="e">
        <f>IF(AC17=PATISS!$D$4,1,0)</f>
        <v>#N/A</v>
      </c>
      <c r="AR17" s="10" t="e">
        <f>IF(AD17=PATISS!$D$4,1,0)</f>
        <v>#N/A</v>
      </c>
      <c r="AS17" s="10">
        <f>IF(AE17=PATISS!$D$4,1,0)</f>
        <v>0</v>
      </c>
      <c r="AT17" s="19">
        <f>IF(AA17=PATISS!$D$3,1,0)</f>
        <v>1</v>
      </c>
      <c r="AU17" s="10" t="e">
        <f>IF(AB17=PATISS!$D$3,1,0)</f>
        <v>#N/A</v>
      </c>
      <c r="AV17" s="10" t="e">
        <f>IF(AC17=PATISS!$D$3,1,0)</f>
        <v>#N/A</v>
      </c>
      <c r="AW17" s="10" t="e">
        <f>IF(AD17=PATISS!$D$3,1,0)</f>
        <v>#N/A</v>
      </c>
      <c r="AX17" s="20">
        <f>IF(AE17=PATISS!$D$3,1,0)</f>
        <v>1</v>
      </c>
    </row>
    <row r="18" spans="1:50" ht="15.5" thickTop="1" thickBot="1" x14ac:dyDescent="0.4">
      <c r="A18" s="76" t="e">
        <f>GEN!#REF!</f>
        <v>#REF!</v>
      </c>
      <c r="B18" s="80">
        <f t="shared" si="0"/>
        <v>1</v>
      </c>
      <c r="C18" s="78" t="s">
        <v>16</v>
      </c>
      <c r="D18" s="350"/>
      <c r="E18" s="9" t="e">
        <f>GEN!#REF!</f>
        <v>#REF!</v>
      </c>
      <c r="F18" s="48" t="s">
        <v>3</v>
      </c>
      <c r="G18" s="350"/>
      <c r="H18" s="9" t="e">
        <f>GEN!#REF!</f>
        <v>#REF!</v>
      </c>
      <c r="I18" s="48" t="s">
        <v>16</v>
      </c>
      <c r="J18" s="350"/>
      <c r="K18" s="9" t="e">
        <f>GEN!#REF!</f>
        <v>#REF!</v>
      </c>
      <c r="L18" s="48" t="s">
        <v>3</v>
      </c>
      <c r="M18" s="350"/>
      <c r="N18" s="5" t="e">
        <f>GEN!#REF!</f>
        <v>#REF!</v>
      </c>
      <c r="O18" s="48" t="s">
        <v>3</v>
      </c>
      <c r="P18" s="353"/>
      <c r="Q18" s="5" t="e">
        <f>GEN!#REF!</f>
        <v>#REF!</v>
      </c>
      <c r="R18" s="48" t="s">
        <v>3</v>
      </c>
      <c r="S18" s="48"/>
      <c r="T18" s="108" t="s">
        <v>4</v>
      </c>
      <c r="U18" s="23">
        <f>IF(F18="p",VLOOKUP($T18,PATISS!$A$2:$B$4,2,FALSE),0)</f>
        <v>0</v>
      </c>
      <c r="V18" s="11" t="e">
        <f>IF(I18="p",VLOOKUP($T18,PATISS!$A$2:$B$4,2,FALSE),0)</f>
        <v>#N/A</v>
      </c>
      <c r="W18" s="11">
        <f>IF(L18="p",VLOOKUP($T18,PATISS!$A$2:$B$4,2,FALSE),0)</f>
        <v>0</v>
      </c>
      <c r="X18" s="11">
        <f>IF(O18="p",VLOOKUP($T18,PATISS!$A$2:$B$4,2,FALSE),0)</f>
        <v>0</v>
      </c>
      <c r="Y18" s="11">
        <f>IF(R18="p",VLOOKUP($T18,PATISS!$A$2:$B$4,2,FALSE),0)</f>
        <v>0</v>
      </c>
      <c r="Z18" s="12" t="e">
        <f>IF(U18+V18+W18+X18+Y18&lt;0.5,0,VLOOKUP(T18,PATISS!$A$16:$B$18,2,FALSE))</f>
        <v>#N/A</v>
      </c>
      <c r="AA18" s="13">
        <f>IF(U18&lt;0.5,0,VLOOKUP($T18,PATISS!$C$2:$D$4,2,FALSE))</f>
        <v>0</v>
      </c>
      <c r="AB18" s="13" t="e">
        <f>IF(V18&lt;0.5,0,VLOOKUP($T18,PATISS!$C$2:$D$4,2,FALSE))</f>
        <v>#N/A</v>
      </c>
      <c r="AC18" s="13">
        <f>IF(W18&lt;0.5,0,VLOOKUP($T18,PATISS!$C$2:$D$4,2,FALSE))</f>
        <v>0</v>
      </c>
      <c r="AD18" s="13">
        <f>IF(X18&lt;0.5,0,VLOOKUP($T18,PATISS!$C$2:$D$4,2,FALSE))</f>
        <v>0</v>
      </c>
      <c r="AE18" s="13">
        <f>IF(Y18&lt;0.5,0,VLOOKUP($T18,PATISS!$C$2:$D$4,2,FALSE))</f>
        <v>0</v>
      </c>
      <c r="AF18" s="14" t="e">
        <f>IF(U18&gt;0.5,0,VLOOKUP($T18,PATISS!$A$2:$B$4,2,FALSE))</f>
        <v>#N/A</v>
      </c>
      <c r="AG18" s="14" t="e">
        <f>IF(V18&gt;0.5,0,VLOOKUP($T18,PATISS!$A$2:$B$4,2,FALSE))</f>
        <v>#N/A</v>
      </c>
      <c r="AH18" s="14" t="e">
        <f>IF(W18&gt;0.5,0,VLOOKUP($T18,PATISS!$A$2:$B$4,2,FALSE))</f>
        <v>#N/A</v>
      </c>
      <c r="AI18" s="14" t="e">
        <f>IF(X18&gt;0.5,0,VLOOKUP($T18,PATISS!$A$2:$B$4,2,FALSE))</f>
        <v>#N/A</v>
      </c>
      <c r="AJ18" s="19">
        <f>IF(AA18=PATISS!$D$2,1,0)</f>
        <v>0</v>
      </c>
      <c r="AK18" s="10" t="e">
        <f>IF(AB18=PATISS!$D$2,1,0)</f>
        <v>#N/A</v>
      </c>
      <c r="AL18" s="10">
        <f>IF(AC18=PATISS!$D$2,1,0)</f>
        <v>0</v>
      </c>
      <c r="AM18" s="10">
        <f>IF(AD18=PATISS!$D$2,1,0)</f>
        <v>0</v>
      </c>
      <c r="AN18" s="20">
        <f>IF(AE18=PATISS!$D$2,1,0)</f>
        <v>0</v>
      </c>
      <c r="AO18" s="19">
        <f>IF(AA18=PATISS!$D$4,1,0)</f>
        <v>0</v>
      </c>
      <c r="AP18" s="10" t="e">
        <f>IF(AB18=PATISS!$D$4,1,0)</f>
        <v>#N/A</v>
      </c>
      <c r="AQ18" s="10">
        <f>IF(AC18=PATISS!$D$4,1,0)</f>
        <v>0</v>
      </c>
      <c r="AR18" s="10">
        <f>IF(AD18=PATISS!$D$4,1,0)</f>
        <v>0</v>
      </c>
      <c r="AS18" s="10">
        <f>IF(AE18=PATISS!$D$4,1,0)</f>
        <v>0</v>
      </c>
      <c r="AT18" s="19">
        <f>IF(AA18=PATISS!$D$3,1,0)</f>
        <v>1</v>
      </c>
      <c r="AU18" s="10" t="e">
        <f>IF(AB18=PATISS!$D$3,1,0)</f>
        <v>#N/A</v>
      </c>
      <c r="AV18" s="10">
        <f>IF(AC18=PATISS!$D$3,1,0)</f>
        <v>1</v>
      </c>
      <c r="AW18" s="10">
        <f>IF(AD18=PATISS!$D$3,1,0)</f>
        <v>1</v>
      </c>
      <c r="AX18" s="20">
        <f>IF(AE18=PATISS!$D$3,1,0)</f>
        <v>1</v>
      </c>
    </row>
    <row r="19" spans="1:50" ht="15.5" thickTop="1" thickBot="1" x14ac:dyDescent="0.4">
      <c r="A19" s="76" t="e">
        <f>GEN!#REF!</f>
        <v>#REF!</v>
      </c>
      <c r="B19" s="80">
        <f t="shared" si="0"/>
        <v>1</v>
      </c>
      <c r="C19" s="78" t="s">
        <v>16</v>
      </c>
      <c r="D19" s="350"/>
      <c r="E19" s="9" t="e">
        <f>GEN!#REF!</f>
        <v>#REF!</v>
      </c>
      <c r="F19" s="48" t="s">
        <v>3</v>
      </c>
      <c r="G19" s="350"/>
      <c r="H19" s="9" t="e">
        <f>GEN!#REF!</f>
        <v>#REF!</v>
      </c>
      <c r="I19" s="48" t="s">
        <v>3</v>
      </c>
      <c r="J19" s="350"/>
      <c r="K19" s="9" t="e">
        <f>GEN!#REF!</f>
        <v>#REF!</v>
      </c>
      <c r="L19" s="48" t="str">
        <f>IF($C19="p","P",IF($C19="n/p","N/P"))</f>
        <v>P</v>
      </c>
      <c r="M19" s="350"/>
      <c r="N19" s="5" t="e">
        <f>GEN!#REF!</f>
        <v>#REF!</v>
      </c>
      <c r="O19" s="48" t="s">
        <v>3</v>
      </c>
      <c r="P19" s="353"/>
      <c r="Q19" s="5" t="e">
        <f>GEN!#REF!</f>
        <v>#REF!</v>
      </c>
      <c r="R19" s="48" t="s">
        <v>3</v>
      </c>
      <c r="S19" s="48"/>
      <c r="T19" s="108" t="s">
        <v>1</v>
      </c>
      <c r="U19" s="23">
        <f>IF(F19="p",VLOOKUP($T19,PATISS!$A$2:$B$4,2,FALSE),0)</f>
        <v>0</v>
      </c>
      <c r="V19" s="11">
        <f>IF(I19="p",VLOOKUP($T19,PATISS!$A$2:$B$4,2,FALSE),0)</f>
        <v>0</v>
      </c>
      <c r="W19" s="11" t="e">
        <f>IF(L19="p",VLOOKUP($T19,PATISS!$A$2:$B$4,2,FALSE),0)</f>
        <v>#N/A</v>
      </c>
      <c r="X19" s="11">
        <f>IF(O19="p",VLOOKUP($T19,PATISS!$A$2:$B$4,2,FALSE),0)</f>
        <v>0</v>
      </c>
      <c r="Y19" s="11">
        <f>IF(R19="p",VLOOKUP($T19,PATISS!$A$2:$B$4,2,FALSE),0)</f>
        <v>0</v>
      </c>
      <c r="Z19" s="12" t="e">
        <f>IF(U19+V19+W19+X19+Y19&lt;0.5,0,VLOOKUP(T19,PATISS!$A$16:$B$18,2,FALSE))</f>
        <v>#N/A</v>
      </c>
      <c r="AA19" s="13">
        <f>IF(U19&lt;0.5,0,VLOOKUP($T19,PATISS!$C$2:$D$4,2,FALSE))</f>
        <v>0</v>
      </c>
      <c r="AB19" s="13">
        <f>IF(V19&lt;0.5,0,VLOOKUP($T19,PATISS!$C$2:$D$4,2,FALSE))</f>
        <v>0</v>
      </c>
      <c r="AC19" s="13" t="e">
        <f>IF(W19&lt;0.5,0,VLOOKUP($T19,PATISS!$C$2:$D$4,2,FALSE))</f>
        <v>#N/A</v>
      </c>
      <c r="AD19" s="13">
        <f>IF(X19&lt;0.5,0,VLOOKUP($T19,PATISS!$C$2:$D$4,2,FALSE))</f>
        <v>0</v>
      </c>
      <c r="AE19" s="13">
        <f>IF(Y19&lt;0.5,0,VLOOKUP($T19,PATISS!$C$2:$D$4,2,FALSE))</f>
        <v>0</v>
      </c>
      <c r="AF19" s="14" t="e">
        <f>IF(U19&gt;0.5,0,VLOOKUP($T19,PATISS!$A$2:$B$4,2,FALSE))</f>
        <v>#N/A</v>
      </c>
      <c r="AG19" s="14" t="e">
        <f>IF(V19&gt;0.5,0,VLOOKUP($T19,PATISS!$A$2:$B$4,2,FALSE))</f>
        <v>#N/A</v>
      </c>
      <c r="AH19" s="14" t="e">
        <f>IF(W19&gt;0.5,0,VLOOKUP($T19,PATISS!$A$2:$B$4,2,FALSE))</f>
        <v>#N/A</v>
      </c>
      <c r="AI19" s="14" t="e">
        <f>IF(X19&gt;0.5,0,VLOOKUP($T19,PATISS!$A$2:$B$4,2,FALSE))</f>
        <v>#N/A</v>
      </c>
      <c r="AJ19" s="19">
        <f>IF(AA19=PATISS!$D$2,1,0)</f>
        <v>0</v>
      </c>
      <c r="AK19" s="10">
        <f>IF(AB19=PATISS!$D$2,1,0)</f>
        <v>0</v>
      </c>
      <c r="AL19" s="10" t="e">
        <f>IF(AC19=PATISS!$D$2,1,0)</f>
        <v>#N/A</v>
      </c>
      <c r="AM19" s="10">
        <f>IF(AD19=PATISS!$D$2,1,0)</f>
        <v>0</v>
      </c>
      <c r="AN19" s="20">
        <f>IF(AE19=PATISS!$D$2,1,0)</f>
        <v>0</v>
      </c>
      <c r="AO19" s="19">
        <f>IF(AA19=PATISS!$D$4,1,0)</f>
        <v>0</v>
      </c>
      <c r="AP19" s="10">
        <f>IF(AB19=PATISS!$D$4,1,0)</f>
        <v>0</v>
      </c>
      <c r="AQ19" s="10" t="e">
        <f>IF(AC19=PATISS!$D$4,1,0)</f>
        <v>#N/A</v>
      </c>
      <c r="AR19" s="10">
        <f>IF(AD19=PATISS!$D$4,1,0)</f>
        <v>0</v>
      </c>
      <c r="AS19" s="10">
        <f>IF(AE19=PATISS!$D$4,1,0)</f>
        <v>0</v>
      </c>
      <c r="AT19" s="19">
        <f>IF(AA19=PATISS!$D$3,1,0)</f>
        <v>1</v>
      </c>
      <c r="AU19" s="10">
        <f>IF(AB19=PATISS!$D$3,1,0)</f>
        <v>1</v>
      </c>
      <c r="AV19" s="10" t="e">
        <f>IF(AC19=PATISS!$D$3,1,0)</f>
        <v>#N/A</v>
      </c>
      <c r="AW19" s="10">
        <f>IF(AD19=PATISS!$D$3,1,0)</f>
        <v>1</v>
      </c>
      <c r="AX19" s="20">
        <f>IF(AE19=PATISS!$D$3,1,0)</f>
        <v>1</v>
      </c>
    </row>
    <row r="20" spans="1:50" ht="15.5" thickTop="1" thickBot="1" x14ac:dyDescent="0.4">
      <c r="A20" s="76" t="e">
        <f>GEN!#REF!</f>
        <v>#REF!</v>
      </c>
      <c r="B20" s="80">
        <f t="shared" si="0"/>
        <v>0</v>
      </c>
      <c r="C20" s="78" t="s">
        <v>3</v>
      </c>
      <c r="D20" s="350"/>
      <c r="E20" s="9" t="e">
        <f>GEN!#REF!</f>
        <v>#REF!</v>
      </c>
      <c r="F20" s="48" t="s">
        <v>3</v>
      </c>
      <c r="G20" s="350"/>
      <c r="H20" s="9" t="e">
        <f>GEN!#REF!</f>
        <v>#REF!</v>
      </c>
      <c r="I20" s="48" t="str">
        <f>IF($C20="p","P",IF($C20="n/p","N/P"))</f>
        <v>N/P</v>
      </c>
      <c r="J20" s="350"/>
      <c r="K20" s="9" t="e">
        <f>GEN!#REF!</f>
        <v>#REF!</v>
      </c>
      <c r="L20" s="48" t="str">
        <f>IF($C20="p","P",IF($C20="n/p","N/P"))</f>
        <v>N/P</v>
      </c>
      <c r="M20" s="350"/>
      <c r="N20" s="5" t="e">
        <f>GEN!#REF!</f>
        <v>#REF!</v>
      </c>
      <c r="O20" s="48" t="s">
        <v>3</v>
      </c>
      <c r="P20" s="353"/>
      <c r="Q20" s="5" t="e">
        <f>GEN!#REF!</f>
        <v>#REF!</v>
      </c>
      <c r="R20" s="48" t="s">
        <v>3</v>
      </c>
      <c r="S20" s="48"/>
      <c r="T20" s="108" t="s">
        <v>4</v>
      </c>
      <c r="U20" s="23">
        <f>IF(F20="p",VLOOKUP($T20,PATISS!$A$2:$B$4,2,FALSE),0)</f>
        <v>0</v>
      </c>
      <c r="V20" s="11">
        <f>IF(I20="p",VLOOKUP($T20,PATISS!$A$2:$B$4,2,FALSE),0)</f>
        <v>0</v>
      </c>
      <c r="W20" s="11">
        <f>IF(L20="p",VLOOKUP($T20,PATISS!$A$2:$B$4,2,FALSE),0)</f>
        <v>0</v>
      </c>
      <c r="X20" s="11">
        <f>IF(O20="p",VLOOKUP($T20,PATISS!$A$2:$B$4,2,FALSE),0)</f>
        <v>0</v>
      </c>
      <c r="Y20" s="11">
        <f>IF(R20="p",VLOOKUP($T20,PATISS!$A$2:$B$4,2,FALSE),0)</f>
        <v>0</v>
      </c>
      <c r="Z20" s="12">
        <f>IF(U20+V20+W20+X20+Y20&lt;0.5,0,VLOOKUP(T20,PATISS!$A$16:$B$18,2,FALSE))</f>
        <v>0</v>
      </c>
      <c r="AA20" s="13">
        <f>IF(U20&lt;0.5,0,VLOOKUP($T20,PATISS!$C$2:$D$4,2,FALSE))</f>
        <v>0</v>
      </c>
      <c r="AB20" s="13">
        <f>IF(V20&lt;0.5,0,VLOOKUP($T20,PATISS!$C$2:$D$4,2,FALSE))</f>
        <v>0</v>
      </c>
      <c r="AC20" s="13">
        <f>IF(W20&lt;0.5,0,VLOOKUP($T20,PATISS!$C$2:$D$4,2,FALSE))</f>
        <v>0</v>
      </c>
      <c r="AD20" s="13">
        <f>IF(X20&lt;0.5,0,VLOOKUP($T20,PATISS!$C$2:$D$4,2,FALSE))</f>
        <v>0</v>
      </c>
      <c r="AE20" s="13">
        <f>IF(Y20&lt;0.5,0,VLOOKUP($T20,PATISS!$C$2:$D$4,2,FALSE))</f>
        <v>0</v>
      </c>
      <c r="AF20" s="14" t="e">
        <f>IF(U20&gt;0.5,0,VLOOKUP($T20,PATISS!$A$2:$B$4,2,FALSE))</f>
        <v>#N/A</v>
      </c>
      <c r="AG20" s="14" t="e">
        <f>IF(V20&gt;0.5,0,VLOOKUP($T20,PATISS!$A$2:$B$4,2,FALSE))</f>
        <v>#N/A</v>
      </c>
      <c r="AH20" s="14" t="e">
        <f>IF(W20&gt;0.5,0,VLOOKUP($T20,PATISS!$A$2:$B$4,2,FALSE))</f>
        <v>#N/A</v>
      </c>
      <c r="AI20" s="14" t="e">
        <f>IF(X20&gt;0.5,0,VLOOKUP($T20,PATISS!$A$2:$B$4,2,FALSE))</f>
        <v>#N/A</v>
      </c>
      <c r="AJ20" s="19">
        <f>IF(AA20=PATISS!$D$2,1,0)</f>
        <v>0</v>
      </c>
      <c r="AK20" s="10">
        <f>IF(AB20=PATISS!$D$2,1,0)</f>
        <v>0</v>
      </c>
      <c r="AL20" s="10">
        <f>IF(AC20=PATISS!$D$2,1,0)</f>
        <v>0</v>
      </c>
      <c r="AM20" s="10">
        <f>IF(AD20=PATISS!$D$2,1,0)</f>
        <v>0</v>
      </c>
      <c r="AN20" s="20">
        <f>IF(AE20=PATISS!$D$2,1,0)</f>
        <v>0</v>
      </c>
      <c r="AO20" s="19">
        <f>IF(AA20=PATISS!$D$4,1,0)</f>
        <v>0</v>
      </c>
      <c r="AP20" s="10">
        <f>IF(AB20=PATISS!$D$4,1,0)</f>
        <v>0</v>
      </c>
      <c r="AQ20" s="10">
        <f>IF(AC20=PATISS!$D$4,1,0)</f>
        <v>0</v>
      </c>
      <c r="AR20" s="10">
        <f>IF(AD20=PATISS!$D$4,1,0)</f>
        <v>0</v>
      </c>
      <c r="AS20" s="10">
        <f>IF(AE20=PATISS!$D$4,1,0)</f>
        <v>0</v>
      </c>
      <c r="AT20" s="19">
        <f>IF(AA20=PATISS!$D$3,1,0)</f>
        <v>1</v>
      </c>
      <c r="AU20" s="10">
        <f>IF(AB20=PATISS!$D$3,1,0)</f>
        <v>1</v>
      </c>
      <c r="AV20" s="10">
        <f>IF(AC20=PATISS!$D$3,1,0)</f>
        <v>1</v>
      </c>
      <c r="AW20" s="10">
        <f>IF(AD20=PATISS!$D$3,1,0)</f>
        <v>1</v>
      </c>
      <c r="AX20" s="20">
        <f>IF(AE20=PATISS!$D$3,1,0)</f>
        <v>1</v>
      </c>
    </row>
    <row r="21" spans="1:50" ht="15.5" thickTop="1" thickBot="1" x14ac:dyDescent="0.4">
      <c r="A21" s="76" t="e">
        <f>GEN!#REF!</f>
        <v>#REF!</v>
      </c>
      <c r="B21" s="80">
        <f t="shared" si="0"/>
        <v>3</v>
      </c>
      <c r="C21" s="79" t="s">
        <v>16</v>
      </c>
      <c r="D21" s="350"/>
      <c r="E21" s="9" t="e">
        <f>GEN!#REF!</f>
        <v>#REF!</v>
      </c>
      <c r="F21" s="48" t="s">
        <v>3</v>
      </c>
      <c r="G21" s="350"/>
      <c r="H21" s="9" t="e">
        <f>GEN!#REF!</f>
        <v>#REF!</v>
      </c>
      <c r="I21" s="48" t="str">
        <f>IF($C21="p","P",IF($C21="n/p","N/P"))</f>
        <v>P</v>
      </c>
      <c r="J21" s="350"/>
      <c r="K21" s="9" t="e">
        <f>GEN!#REF!</f>
        <v>#REF!</v>
      </c>
      <c r="L21" s="48" t="str">
        <f>IF($C21="p","P",IF($C21="n/p","N/P"))</f>
        <v>P</v>
      </c>
      <c r="M21" s="350"/>
      <c r="N21" s="5" t="e">
        <f>GEN!#REF!</f>
        <v>#REF!</v>
      </c>
      <c r="O21" s="48" t="str">
        <f>IF($C21="p","P",IF($C21="n/p","N/P"))</f>
        <v>P</v>
      </c>
      <c r="P21" s="353"/>
      <c r="Q21" s="5" t="e">
        <f>GEN!#REF!</f>
        <v>#REF!</v>
      </c>
      <c r="R21" s="48" t="s">
        <v>3</v>
      </c>
      <c r="S21" s="48"/>
      <c r="T21" s="108" t="s">
        <v>1</v>
      </c>
      <c r="U21" s="23">
        <f>IF(F21="p",VLOOKUP($T21,PATISS!$A$2:$B$4,2,FALSE),0)</f>
        <v>0</v>
      </c>
      <c r="V21" s="11" t="e">
        <f>IF(I21="p",VLOOKUP($T21,PATISS!$A$2:$B$4,2,FALSE),0)</f>
        <v>#N/A</v>
      </c>
      <c r="W21" s="11" t="e">
        <f>IF(L21="p",VLOOKUP($T21,PATISS!$A$2:$B$4,2,FALSE),0)</f>
        <v>#N/A</v>
      </c>
      <c r="X21" s="11" t="e">
        <f>IF(O21="p",VLOOKUP($T21,PATISS!$A$2:$B$4,2,FALSE),0)</f>
        <v>#N/A</v>
      </c>
      <c r="Y21" s="11">
        <f>IF(R21="p",VLOOKUP($T21,PATISS!$A$2:$B$4,2,FALSE),0)</f>
        <v>0</v>
      </c>
      <c r="Z21" s="12" t="e">
        <f>IF(U21+V21+W21+X21+Y21&lt;0.5,0,VLOOKUP(T21,PATISS!$A$16:$B$18,2,FALSE))</f>
        <v>#N/A</v>
      </c>
      <c r="AA21" s="13">
        <f>IF(U21&lt;0.5,0,VLOOKUP($T21,PATISS!$C$2:$D$4,2,FALSE))</f>
        <v>0</v>
      </c>
      <c r="AB21" s="13" t="e">
        <f>IF(V21&lt;0.5,0,VLOOKUP($T21,PATISS!$C$2:$D$4,2,FALSE))</f>
        <v>#N/A</v>
      </c>
      <c r="AC21" s="13" t="e">
        <f>IF(W21&lt;0.5,0,VLOOKUP($T21,PATISS!$C$2:$D$4,2,FALSE))</f>
        <v>#N/A</v>
      </c>
      <c r="AD21" s="13" t="e">
        <f>IF(X21&lt;0.5,0,VLOOKUP($T21,PATISS!$C$2:$D$4,2,FALSE))</f>
        <v>#N/A</v>
      </c>
      <c r="AE21" s="13">
        <f>IF(Y21&lt;0.5,0,VLOOKUP($T21,PATISS!$C$2:$D$4,2,FALSE))</f>
        <v>0</v>
      </c>
      <c r="AF21" s="14" t="e">
        <f>IF(U21&gt;0.5,0,VLOOKUP($T21,PATISS!$A$2:$B$4,2,FALSE))</f>
        <v>#N/A</v>
      </c>
      <c r="AG21" s="14" t="e">
        <f>IF(V21&gt;0.5,0,VLOOKUP($T21,PATISS!$A$2:$B$4,2,FALSE))</f>
        <v>#N/A</v>
      </c>
      <c r="AH21" s="14" t="e">
        <f>IF(W21&gt;0.5,0,VLOOKUP($T21,PATISS!$A$2:$B$4,2,FALSE))</f>
        <v>#N/A</v>
      </c>
      <c r="AI21" s="14" t="e">
        <f>IF(X21&gt;0.5,0,VLOOKUP($T21,PATISS!$A$2:$B$4,2,FALSE))</f>
        <v>#N/A</v>
      </c>
      <c r="AJ21" s="19">
        <f>IF(AA21=PATISS!$D$2,1,0)</f>
        <v>0</v>
      </c>
      <c r="AK21" s="10" t="e">
        <f>IF(AB21=PATISS!$D$2,1,0)</f>
        <v>#N/A</v>
      </c>
      <c r="AL21" s="10" t="e">
        <f>IF(AC21=PATISS!$D$2,1,0)</f>
        <v>#N/A</v>
      </c>
      <c r="AM21" s="10" t="e">
        <f>IF(AD21=PATISS!$D$2,1,0)</f>
        <v>#N/A</v>
      </c>
      <c r="AN21" s="20">
        <f>IF(AE21=PATISS!$D$2,1,0)</f>
        <v>0</v>
      </c>
      <c r="AO21" s="19">
        <f>IF(AA21=PATISS!$D$4,1,0)</f>
        <v>0</v>
      </c>
      <c r="AP21" s="10" t="e">
        <f>IF(AB21=PATISS!$D$4,1,0)</f>
        <v>#N/A</v>
      </c>
      <c r="AQ21" s="10" t="e">
        <f>IF(AC21=PATISS!$D$4,1,0)</f>
        <v>#N/A</v>
      </c>
      <c r="AR21" s="10" t="e">
        <f>IF(AD21=PATISS!$D$4,1,0)</f>
        <v>#N/A</v>
      </c>
      <c r="AS21" s="10">
        <f>IF(AE21=PATISS!$D$4,1,0)</f>
        <v>0</v>
      </c>
      <c r="AT21" s="19">
        <f>IF(AA21=PATISS!$D$3,1,0)</f>
        <v>1</v>
      </c>
      <c r="AU21" s="10" t="e">
        <f>IF(AB21=PATISS!$D$3,1,0)</f>
        <v>#N/A</v>
      </c>
      <c r="AV21" s="10" t="e">
        <f>IF(AC21=PATISS!$D$3,1,0)</f>
        <v>#N/A</v>
      </c>
      <c r="AW21" s="10" t="e">
        <f>IF(AD21=PATISS!$D$3,1,0)</f>
        <v>#N/A</v>
      </c>
      <c r="AX21" s="20">
        <f>IF(AE21=PATISS!$D$3,1,0)</f>
        <v>1</v>
      </c>
    </row>
    <row r="22" spans="1:50" ht="15.5" thickTop="1" thickBot="1" x14ac:dyDescent="0.4">
      <c r="A22" s="76" t="e">
        <f>GEN!#REF!</f>
        <v>#REF!</v>
      </c>
      <c r="B22" s="80">
        <f t="shared" si="0"/>
        <v>3</v>
      </c>
      <c r="C22" s="79" t="s">
        <v>16</v>
      </c>
      <c r="D22" s="350"/>
      <c r="E22" s="9" t="e">
        <f>GEN!#REF!</f>
        <v>#REF!</v>
      </c>
      <c r="F22" s="48" t="s">
        <v>3</v>
      </c>
      <c r="G22" s="350"/>
      <c r="H22" s="9" t="e">
        <f>GEN!#REF!</f>
        <v>#REF!</v>
      </c>
      <c r="I22" s="48" t="s">
        <v>16</v>
      </c>
      <c r="J22" s="350"/>
      <c r="K22" s="9" t="e">
        <f>GEN!#REF!</f>
        <v>#REF!</v>
      </c>
      <c r="L22" s="48" t="str">
        <f>IF($C22="p","P",IF($C22="n/p","N/P"))</f>
        <v>P</v>
      </c>
      <c r="M22" s="350"/>
      <c r="N22" s="5" t="e">
        <f>GEN!#REF!</f>
        <v>#REF!</v>
      </c>
      <c r="O22" s="48" t="str">
        <f>IF($C22="p","P",IF($C22="n/p","N/P"))</f>
        <v>P</v>
      </c>
      <c r="P22" s="353"/>
      <c r="Q22" s="5" t="e">
        <f>GEN!#REF!</f>
        <v>#REF!</v>
      </c>
      <c r="R22" s="48" t="s">
        <v>3</v>
      </c>
      <c r="S22" s="48"/>
      <c r="T22" s="108" t="s">
        <v>4</v>
      </c>
      <c r="U22" s="23">
        <f>IF(F22="p",VLOOKUP($T22,PATISS!$A$2:$B$4,2,FALSE),0)</f>
        <v>0</v>
      </c>
      <c r="V22" s="11" t="e">
        <f>IF(I22="p",VLOOKUP($T22,PATISS!$A$2:$B$4,2,FALSE),0)</f>
        <v>#N/A</v>
      </c>
      <c r="W22" s="11" t="e">
        <f>IF(L22="p",VLOOKUP($T22,PATISS!$A$2:$B$4,2,FALSE),0)</f>
        <v>#N/A</v>
      </c>
      <c r="X22" s="11" t="e">
        <f>IF(O22="p",VLOOKUP($T22,PATISS!$A$2:$B$4,2,FALSE),0)</f>
        <v>#N/A</v>
      </c>
      <c r="Y22" s="11">
        <f>IF(R22="p",VLOOKUP($T22,PATISS!$A$2:$B$4,2,FALSE),0)</f>
        <v>0</v>
      </c>
      <c r="Z22" s="12" t="e">
        <f>IF(U22+V22+W22+X22+Y22&lt;0.5,0,VLOOKUP(T22,PATISS!$A$16:$B$18,2,FALSE))</f>
        <v>#N/A</v>
      </c>
      <c r="AA22" s="13">
        <f>IF(U22&lt;0.5,0,VLOOKUP($T22,PATISS!$C$2:$D$4,2,FALSE))</f>
        <v>0</v>
      </c>
      <c r="AB22" s="13" t="e">
        <f>IF(V22&lt;0.5,0,VLOOKUP($T22,PATISS!$C$2:$D$4,2,FALSE))</f>
        <v>#N/A</v>
      </c>
      <c r="AC22" s="13" t="e">
        <f>IF(W22&lt;0.5,0,VLOOKUP($T22,PATISS!$C$2:$D$4,2,FALSE))</f>
        <v>#N/A</v>
      </c>
      <c r="AD22" s="13" t="e">
        <f>IF(X22&lt;0.5,0,VLOOKUP($T22,PATISS!$C$2:$D$4,2,FALSE))</f>
        <v>#N/A</v>
      </c>
      <c r="AE22" s="13">
        <f>IF(Y22&lt;0.5,0,VLOOKUP($T22,PATISS!$C$2:$D$4,2,FALSE))</f>
        <v>0</v>
      </c>
      <c r="AF22" s="14" t="e">
        <f>IF(U22&gt;0.5,0,VLOOKUP($T22,PATISS!$A$2:$B$4,2,FALSE))</f>
        <v>#N/A</v>
      </c>
      <c r="AG22" s="14" t="e">
        <f>IF(V22&gt;0.5,0,VLOOKUP($T22,PATISS!$A$2:$B$4,2,FALSE))</f>
        <v>#N/A</v>
      </c>
      <c r="AH22" s="14" t="e">
        <f>IF(W22&gt;0.5,0,VLOOKUP($T22,PATISS!$A$2:$B$4,2,FALSE))</f>
        <v>#N/A</v>
      </c>
      <c r="AI22" s="14" t="e">
        <f>IF(X22&gt;0.5,0,VLOOKUP($T22,PATISS!$A$2:$B$4,2,FALSE))</f>
        <v>#N/A</v>
      </c>
      <c r="AJ22" s="19">
        <f>IF(AA22=PATISS!$D$2,1,0)</f>
        <v>0</v>
      </c>
      <c r="AK22" s="10" t="e">
        <f>IF(AB22=PATISS!$D$2,1,0)</f>
        <v>#N/A</v>
      </c>
      <c r="AL22" s="10" t="e">
        <f>IF(AC22=PATISS!$D$2,1,0)</f>
        <v>#N/A</v>
      </c>
      <c r="AM22" s="10" t="e">
        <f>IF(AD22=PATISS!$D$2,1,0)</f>
        <v>#N/A</v>
      </c>
      <c r="AN22" s="20">
        <f>IF(AE22=PATISS!$D$2,1,0)</f>
        <v>0</v>
      </c>
      <c r="AO22" s="19">
        <f>IF(AA22=PATISS!$D$4,1,0)</f>
        <v>0</v>
      </c>
      <c r="AP22" s="10" t="e">
        <f>IF(AB22=PATISS!$D$4,1,0)</f>
        <v>#N/A</v>
      </c>
      <c r="AQ22" s="10" t="e">
        <f>IF(AC22=PATISS!$D$4,1,0)</f>
        <v>#N/A</v>
      </c>
      <c r="AR22" s="10" t="e">
        <f>IF(AD22=PATISS!$D$4,1,0)</f>
        <v>#N/A</v>
      </c>
      <c r="AS22" s="10">
        <f>IF(AE22=PATISS!$D$4,1,0)</f>
        <v>0</v>
      </c>
      <c r="AT22" s="19">
        <f>IF(AA22=PATISS!$D$3,1,0)</f>
        <v>1</v>
      </c>
      <c r="AU22" s="10" t="e">
        <f>IF(AB22=PATISS!$D$3,1,0)</f>
        <v>#N/A</v>
      </c>
      <c r="AV22" s="10" t="e">
        <f>IF(AC22=PATISS!$D$3,1,0)</f>
        <v>#N/A</v>
      </c>
      <c r="AW22" s="10" t="e">
        <f>IF(AD22=PATISS!$D$3,1,0)</f>
        <v>#N/A</v>
      </c>
      <c r="AX22" s="20">
        <f>IF(AE22=PATISS!$D$3,1,0)</f>
        <v>1</v>
      </c>
    </row>
    <row r="23" spans="1:50" ht="15.5" thickTop="1" thickBot="1" x14ac:dyDescent="0.4">
      <c r="A23" s="76" t="e">
        <f>GEN!#REF!</f>
        <v>#REF!</v>
      </c>
      <c r="B23" s="80">
        <f t="shared" si="0"/>
        <v>0</v>
      </c>
      <c r="C23" s="48" t="s">
        <v>39</v>
      </c>
      <c r="D23" s="350"/>
      <c r="E23" s="9" t="e">
        <f>GEN!#REF!</f>
        <v>#REF!</v>
      </c>
      <c r="F23" s="48" t="s">
        <v>39</v>
      </c>
      <c r="G23" s="350"/>
      <c r="H23" s="9" t="e">
        <f>GEN!#REF!</f>
        <v>#REF!</v>
      </c>
      <c r="I23" s="48" t="s">
        <v>39</v>
      </c>
      <c r="J23" s="350"/>
      <c r="K23" s="9" t="e">
        <f>GEN!#REF!</f>
        <v>#REF!</v>
      </c>
      <c r="L23" s="48" t="s">
        <v>39</v>
      </c>
      <c r="M23" s="350"/>
      <c r="N23" s="5" t="e">
        <f>GEN!#REF!</f>
        <v>#REF!</v>
      </c>
      <c r="O23" s="48" t="s">
        <v>39</v>
      </c>
      <c r="P23" s="353"/>
      <c r="Q23" s="5" t="e">
        <f>GEN!#REF!</f>
        <v>#REF!</v>
      </c>
      <c r="R23" s="48" t="s">
        <v>39</v>
      </c>
      <c r="S23" s="48"/>
      <c r="T23" s="108" t="s">
        <v>3</v>
      </c>
      <c r="U23" s="23">
        <f>IF(F23="p",VLOOKUP($T23,PATISS!$A$2:$B$4,2,FALSE),0)</f>
        <v>0</v>
      </c>
      <c r="V23" s="11">
        <f>IF(I23="p",VLOOKUP($T23,PATISS!$A$2:$B$4,2,FALSE),0)</f>
        <v>0</v>
      </c>
      <c r="W23" s="11">
        <f>IF(L23="p",VLOOKUP($T23,PATISS!$A$2:$B$4,2,FALSE),0)</f>
        <v>0</v>
      </c>
      <c r="X23" s="11">
        <f>IF(O23="p",VLOOKUP($T23,PATISS!$A$2:$B$4,2,FALSE),0)</f>
        <v>0</v>
      </c>
      <c r="Y23" s="11">
        <f>IF(R23="p",VLOOKUP($T23,PATISS!$A$2:$B$4,2,FALSE),0)</f>
        <v>0</v>
      </c>
      <c r="Z23" s="12">
        <f>IF(U23+V23+W23+X23+Y23&lt;0.5,0,VLOOKUP(T23,PATISS!$A$16:$B$18,2,FALSE))</f>
        <v>0</v>
      </c>
      <c r="AA23" s="13">
        <f>IF(U23&lt;0.5,0,VLOOKUP($T23,PATISS!$C$2:$D$4,2,FALSE))</f>
        <v>0</v>
      </c>
      <c r="AB23" s="13">
        <f>IF(V23&lt;0.5,0,VLOOKUP($T23,PATISS!$C$2:$D$4,2,FALSE))</f>
        <v>0</v>
      </c>
      <c r="AC23" s="13">
        <f>IF(W23&lt;0.5,0,VLOOKUP($T23,PATISS!$C$2:$D$4,2,FALSE))</f>
        <v>0</v>
      </c>
      <c r="AD23" s="13">
        <f>IF(X23&lt;0.5,0,VLOOKUP($T23,PATISS!$C$2:$D$4,2,FALSE))</f>
        <v>0</v>
      </c>
      <c r="AE23" s="13">
        <f>IF(Y23&lt;0.5,0,VLOOKUP($T23,PATISS!$C$2:$D$4,2,FALSE))</f>
        <v>0</v>
      </c>
      <c r="AF23" s="14" t="e">
        <f>IF(U23&gt;0.5,0,VLOOKUP($T23,PATISS!$A$2:$B$4,2,FALSE))</f>
        <v>#N/A</v>
      </c>
      <c r="AG23" s="14" t="e">
        <f>IF(V23&gt;0.5,0,VLOOKUP($T23,PATISS!$A$2:$B$4,2,FALSE))</f>
        <v>#N/A</v>
      </c>
      <c r="AH23" s="14" t="e">
        <f>IF(W23&gt;0.5,0,VLOOKUP($T23,PATISS!$A$2:$B$4,2,FALSE))</f>
        <v>#N/A</v>
      </c>
      <c r="AI23" s="14" t="e">
        <f>IF(X23&gt;0.5,0,VLOOKUP($T23,PATISS!$A$2:$B$4,2,FALSE))</f>
        <v>#N/A</v>
      </c>
      <c r="AJ23" s="19">
        <f>IF(AA23=PATISS!$D$2,1,0)</f>
        <v>0</v>
      </c>
      <c r="AK23" s="10">
        <f>IF(AB23=PATISS!$D$2,1,0)</f>
        <v>0</v>
      </c>
      <c r="AL23" s="10">
        <f>IF(AC23=PATISS!$D$2,1,0)</f>
        <v>0</v>
      </c>
      <c r="AM23" s="10">
        <f>IF(AD23=PATISS!$D$2,1,0)</f>
        <v>0</v>
      </c>
      <c r="AN23" s="20">
        <f>IF(AE23=PATISS!$D$2,1,0)</f>
        <v>0</v>
      </c>
      <c r="AO23" s="19">
        <f>IF(AA23=PATISS!$D$4,1,0)</f>
        <v>0</v>
      </c>
      <c r="AP23" s="10">
        <f>IF(AB23=PATISS!$D$4,1,0)</f>
        <v>0</v>
      </c>
      <c r="AQ23" s="10">
        <f>IF(AC23=PATISS!$D$4,1,0)</f>
        <v>0</v>
      </c>
      <c r="AR23" s="10">
        <f>IF(AD23=PATISS!$D$4,1,0)</f>
        <v>0</v>
      </c>
      <c r="AS23" s="10">
        <f>IF(AE23=PATISS!$D$4,1,0)</f>
        <v>0</v>
      </c>
      <c r="AT23" s="19">
        <f>IF(AA23=PATISS!$D$3,1,0)</f>
        <v>1</v>
      </c>
      <c r="AU23" s="10">
        <f>IF(AB23=PATISS!$D$3,1,0)</f>
        <v>1</v>
      </c>
      <c r="AV23" s="10">
        <f>IF(AC23=PATISS!$D$3,1,0)</f>
        <v>1</v>
      </c>
      <c r="AW23" s="10">
        <f>IF(AD23=PATISS!$D$3,1,0)</f>
        <v>1</v>
      </c>
      <c r="AX23" s="20">
        <f>IF(AE23=PATISS!$D$3,1,0)</f>
        <v>1</v>
      </c>
    </row>
    <row r="24" spans="1:50" ht="15.5" thickTop="1" thickBot="1" x14ac:dyDescent="0.4">
      <c r="A24" s="76" t="e">
        <f>GEN!#REF!</f>
        <v>#REF!</v>
      </c>
      <c r="B24" s="80">
        <f t="shared" si="0"/>
        <v>0</v>
      </c>
      <c r="C24" s="48" t="s">
        <v>39</v>
      </c>
      <c r="D24" s="350"/>
      <c r="E24" s="9" t="e">
        <f>GEN!#REF!</f>
        <v>#REF!</v>
      </c>
      <c r="F24" s="48" t="s">
        <v>39</v>
      </c>
      <c r="G24" s="350"/>
      <c r="H24" s="9" t="e">
        <f>GEN!#REF!</f>
        <v>#REF!</v>
      </c>
      <c r="I24" s="48" t="s">
        <v>39</v>
      </c>
      <c r="J24" s="350"/>
      <c r="K24" s="9" t="e">
        <f>GEN!#REF!</f>
        <v>#REF!</v>
      </c>
      <c r="L24" s="48" t="s">
        <v>39</v>
      </c>
      <c r="M24" s="350"/>
      <c r="N24" s="5" t="e">
        <f>GEN!#REF!</f>
        <v>#REF!</v>
      </c>
      <c r="O24" s="48" t="s">
        <v>39</v>
      </c>
      <c r="P24" s="353"/>
      <c r="Q24" s="5" t="e">
        <f>GEN!#REF!</f>
        <v>#REF!</v>
      </c>
      <c r="R24" s="48" t="s">
        <v>39</v>
      </c>
      <c r="S24" s="48"/>
      <c r="T24" s="108" t="s">
        <v>3</v>
      </c>
      <c r="U24" s="23">
        <f>IF(F24="p",VLOOKUP($T24,PATISS!$A$2:$B$4,2,FALSE),0)</f>
        <v>0</v>
      </c>
      <c r="V24" s="11">
        <f>IF(I24="p",VLOOKUP($T24,PATISS!$A$2:$B$4,2,FALSE),0)</f>
        <v>0</v>
      </c>
      <c r="W24" s="11">
        <f>IF(L24="p",VLOOKUP($T24,PATISS!$A$2:$B$4,2,FALSE),0)</f>
        <v>0</v>
      </c>
      <c r="X24" s="11">
        <f>IF(O24="p",VLOOKUP($T24,PATISS!$A$2:$B$4,2,FALSE),0)</f>
        <v>0</v>
      </c>
      <c r="Y24" s="11">
        <f>IF(R24="p",VLOOKUP($T24,PATISS!$A$2:$B$4,2,FALSE),0)</f>
        <v>0</v>
      </c>
      <c r="Z24" s="12">
        <f>IF(U24+V24+W24+X24+Y24&lt;0.5,0,VLOOKUP(T24,PATISS!$A$16:$B$18,2,FALSE))</f>
        <v>0</v>
      </c>
      <c r="AA24" s="13">
        <f>IF(U24&lt;0.5,0,VLOOKUP($T24,PATISS!$C$2:$D$4,2,FALSE))</f>
        <v>0</v>
      </c>
      <c r="AB24" s="13">
        <f>IF(V24&lt;0.5,0,VLOOKUP($T24,PATISS!$C$2:$D$4,2,FALSE))</f>
        <v>0</v>
      </c>
      <c r="AC24" s="13">
        <f>IF(W24&lt;0.5,0,VLOOKUP($T24,PATISS!$C$2:$D$4,2,FALSE))</f>
        <v>0</v>
      </c>
      <c r="AD24" s="13">
        <f>IF(X24&lt;0.5,0,VLOOKUP($T24,PATISS!$C$2:$D$4,2,FALSE))</f>
        <v>0</v>
      </c>
      <c r="AE24" s="13">
        <f>IF(Y24&lt;0.5,0,VLOOKUP($T24,PATISS!$C$2:$D$4,2,FALSE))</f>
        <v>0</v>
      </c>
      <c r="AF24" s="14" t="e">
        <f>IF(U24&gt;0.5,0,VLOOKUP($T24,PATISS!$A$2:$B$4,2,FALSE))</f>
        <v>#N/A</v>
      </c>
      <c r="AG24" s="14" t="e">
        <f>IF(V24&gt;0.5,0,VLOOKUP($T24,PATISS!$A$2:$B$4,2,FALSE))</f>
        <v>#N/A</v>
      </c>
      <c r="AH24" s="14" t="e">
        <f>IF(W24&gt;0.5,0,VLOOKUP($T24,PATISS!$A$2:$B$4,2,FALSE))</f>
        <v>#N/A</v>
      </c>
      <c r="AI24" s="14" t="e">
        <f>IF(X24&gt;0.5,0,VLOOKUP($T24,PATISS!$A$2:$B$4,2,FALSE))</f>
        <v>#N/A</v>
      </c>
      <c r="AJ24" s="21">
        <f>IF(AA24=PATISS!$D$2,1,0)</f>
        <v>0</v>
      </c>
      <c r="AK24" s="22">
        <f>IF(AB24=PATISS!$D$2,1,0)</f>
        <v>0</v>
      </c>
      <c r="AL24" s="22">
        <f>IF(AC24=PATISS!$D$2,1,0)</f>
        <v>0</v>
      </c>
      <c r="AM24" s="22">
        <f>IF(AD24=PATISS!$D$2,1,0)</f>
        <v>0</v>
      </c>
      <c r="AN24" s="20">
        <f>IF(AE24=PATISS!$D$2,1,0)</f>
        <v>0</v>
      </c>
      <c r="AO24" s="21">
        <f>IF(AA24=PATISS!$D$4,1,0)</f>
        <v>0</v>
      </c>
      <c r="AP24" s="22">
        <f>IF(AB24=PATISS!$D$4,1,0)</f>
        <v>0</v>
      </c>
      <c r="AQ24" s="22">
        <f>IF(AC24=PATISS!$D$4,1,0)</f>
        <v>0</v>
      </c>
      <c r="AR24" s="22">
        <f>IF(AD24=PATISS!$D$4,1,0)</f>
        <v>0</v>
      </c>
      <c r="AS24" s="10">
        <f>IF(AE24=PATISS!$D$4,1,0)</f>
        <v>0</v>
      </c>
      <c r="AT24" s="21">
        <f>IF(AA24=PATISS!$D$3,1,0)</f>
        <v>1</v>
      </c>
      <c r="AU24" s="22">
        <f>IF(AB24=PATISS!$D$3,1,0)</f>
        <v>1</v>
      </c>
      <c r="AV24" s="22">
        <f>IF(AC24=PATISS!$D$3,1,0)</f>
        <v>1</v>
      </c>
      <c r="AW24" s="10">
        <f>IF(AD24=PATISS!$D$3,1,0)</f>
        <v>1</v>
      </c>
      <c r="AX24" s="20">
        <f>IF(AE24=PATISS!$D$3,1,0)</f>
        <v>1</v>
      </c>
    </row>
    <row r="25" spans="1:50" ht="15.5" thickTop="1" thickBot="1" x14ac:dyDescent="0.4">
      <c r="A25" s="76" t="e">
        <f>GEN!#REF!</f>
        <v>#REF!</v>
      </c>
      <c r="B25" s="80">
        <f t="shared" si="0"/>
        <v>0</v>
      </c>
      <c r="C25" s="48" t="s">
        <v>39</v>
      </c>
      <c r="D25" s="350"/>
      <c r="E25" s="9" t="e">
        <f>GEN!#REF!</f>
        <v>#REF!</v>
      </c>
      <c r="F25" s="48" t="s">
        <v>39</v>
      </c>
      <c r="G25" s="350"/>
      <c r="H25" s="9" t="e">
        <f>GEN!#REF!</f>
        <v>#REF!</v>
      </c>
      <c r="I25" s="48" t="s">
        <v>39</v>
      </c>
      <c r="J25" s="350"/>
      <c r="K25" s="9" t="e">
        <f>GEN!#REF!</f>
        <v>#REF!</v>
      </c>
      <c r="L25" s="48" t="s">
        <v>39</v>
      </c>
      <c r="M25" s="350"/>
      <c r="N25" s="5" t="e">
        <f>GEN!#REF!</f>
        <v>#REF!</v>
      </c>
      <c r="O25" s="48" t="s">
        <v>39</v>
      </c>
      <c r="P25" s="353"/>
      <c r="Q25" s="5" t="e">
        <f>GEN!#REF!</f>
        <v>#REF!</v>
      </c>
      <c r="R25" s="48" t="s">
        <v>39</v>
      </c>
      <c r="S25" s="48"/>
      <c r="T25" s="108" t="s">
        <v>3</v>
      </c>
      <c r="U25" s="23">
        <f>IF(F25="p",VLOOKUP($T25,PATISS!$A$2:$B$4,2,FALSE),0)</f>
        <v>0</v>
      </c>
      <c r="V25" s="11">
        <f>IF(I25="p",VLOOKUP($T25,PATISS!$A$2:$B$4,2,FALSE),0)</f>
        <v>0</v>
      </c>
      <c r="W25" s="11">
        <f>IF(L25="p",VLOOKUP($T25,PATISS!$A$2:$B$4,2,FALSE),0)</f>
        <v>0</v>
      </c>
      <c r="X25" s="11">
        <f>IF(O25="p",VLOOKUP($T25,PATISS!$A$2:$B$4,2,FALSE),0)</f>
        <v>0</v>
      </c>
      <c r="Y25" s="11">
        <f>IF(R25="p",VLOOKUP($T25,PATISS!$A$2:$B$4,2,FALSE),0)</f>
        <v>0</v>
      </c>
      <c r="Z25" s="12">
        <f>IF(U25+V25+W25+X25+Y25&lt;0.5,0,VLOOKUP(T25,PATISS!$A$16:$B$18,2,FALSE))</f>
        <v>0</v>
      </c>
      <c r="AA25" s="13">
        <f>IF(U25&lt;0.5,0,VLOOKUP($T25,PATISS!$C$2:$D$4,2,FALSE))</f>
        <v>0</v>
      </c>
      <c r="AB25" s="13">
        <f>IF(V25&lt;0.5,0,VLOOKUP($T25,PATISS!$C$2:$D$4,2,FALSE))</f>
        <v>0</v>
      </c>
      <c r="AC25" s="13">
        <f>IF(W25&lt;0.5,0,VLOOKUP($T25,PATISS!$C$2:$D$4,2,FALSE))</f>
        <v>0</v>
      </c>
      <c r="AD25" s="13">
        <f>IF(X25&lt;0.5,0,VLOOKUP($T25,PATISS!$C$2:$D$4,2,FALSE))</f>
        <v>0</v>
      </c>
      <c r="AE25" s="13">
        <f>IF(Y25&lt;0.5,0,VLOOKUP($T25,PATISS!$C$2:$D$4,2,FALSE))</f>
        <v>0</v>
      </c>
      <c r="AF25" s="14" t="e">
        <f>IF(U25&gt;0.5,0,VLOOKUP($T25,PATISS!$A$2:$B$4,2,FALSE))</f>
        <v>#N/A</v>
      </c>
      <c r="AG25" s="14" t="e">
        <f>IF(V25&gt;0.5,0,VLOOKUP($T25,PATISS!$A$2:$B$4,2,FALSE))</f>
        <v>#N/A</v>
      </c>
      <c r="AH25" s="14" t="e">
        <f>IF(W25&gt;0.5,0,VLOOKUP($T25,PATISS!$A$2:$B$4,2,FALSE))</f>
        <v>#N/A</v>
      </c>
      <c r="AI25" s="14" t="e">
        <f>IF(X25&gt;0.5,0,VLOOKUP($T25,PATISS!$A$2:$B$4,2,FALSE))</f>
        <v>#N/A</v>
      </c>
      <c r="AJ25" s="19">
        <f>IF(AA25=PATISS!$D$2,1,0)</f>
        <v>0</v>
      </c>
      <c r="AK25" s="10">
        <f>IF(AB25=PATISS!$D$2,1,0)</f>
        <v>0</v>
      </c>
      <c r="AL25" s="10">
        <f>IF(AC25=PATISS!$D$2,1,0)</f>
        <v>0</v>
      </c>
      <c r="AM25" s="10">
        <f>IF(AD25=PATISS!$D$2,1,0)</f>
        <v>0</v>
      </c>
      <c r="AN25" s="20">
        <f>IF(AE25=PATISS!$D$2,1,0)</f>
        <v>0</v>
      </c>
      <c r="AO25" s="19">
        <f>IF(AA25=PATISS!$D$4,1,0)</f>
        <v>0</v>
      </c>
      <c r="AP25" s="10">
        <f>IF(AB25=PATISS!$D$4,1,0)</f>
        <v>0</v>
      </c>
      <c r="AQ25" s="10">
        <f>IF(AC25=PATISS!$D$4,1,0)</f>
        <v>0</v>
      </c>
      <c r="AR25" s="10">
        <f>IF(AD25=PATISS!$D$4,1,0)</f>
        <v>0</v>
      </c>
      <c r="AS25" s="10">
        <f>IF(AE25=PATISS!$D$4,1,0)</f>
        <v>0</v>
      </c>
      <c r="AT25" s="19">
        <f>IF(AA25=PATISS!$D$3,1,0)</f>
        <v>1</v>
      </c>
      <c r="AU25" s="10">
        <f>IF(AB25=PATISS!$D$3,1,0)</f>
        <v>1</v>
      </c>
      <c r="AV25" s="10">
        <f>IF(AC25=PATISS!$D$3,1,0)</f>
        <v>1</v>
      </c>
      <c r="AW25" s="10">
        <f>IF(AD25=PATISS!$D$3,1,0)</f>
        <v>1</v>
      </c>
      <c r="AX25" s="20">
        <f>IF(AE25=PATISS!$D$3,1,0)</f>
        <v>1</v>
      </c>
    </row>
    <row r="26" spans="1:50" ht="15.5" thickTop="1" thickBot="1" x14ac:dyDescent="0.4">
      <c r="A26" s="76" t="e">
        <f>GEN!#REF!</f>
        <v>#REF!</v>
      </c>
      <c r="B26" s="80">
        <f t="shared" si="0"/>
        <v>0</v>
      </c>
      <c r="C26" s="48" t="s">
        <v>39</v>
      </c>
      <c r="D26" s="350"/>
      <c r="E26" s="9" t="e">
        <f>GEN!#REF!</f>
        <v>#REF!</v>
      </c>
      <c r="F26" s="48" t="s">
        <v>39</v>
      </c>
      <c r="G26" s="350"/>
      <c r="H26" s="9" t="e">
        <f>GEN!#REF!</f>
        <v>#REF!</v>
      </c>
      <c r="I26" s="48" t="s">
        <v>39</v>
      </c>
      <c r="J26" s="350"/>
      <c r="K26" s="9" t="e">
        <f>GEN!#REF!</f>
        <v>#REF!</v>
      </c>
      <c r="L26" s="48" t="s">
        <v>39</v>
      </c>
      <c r="M26" s="350"/>
      <c r="N26" s="5" t="e">
        <f>GEN!#REF!</f>
        <v>#REF!</v>
      </c>
      <c r="O26" s="48" t="s">
        <v>39</v>
      </c>
      <c r="P26" s="353"/>
      <c r="Q26" s="5" t="e">
        <f>GEN!#REF!</f>
        <v>#REF!</v>
      </c>
      <c r="R26" s="48" t="s">
        <v>39</v>
      </c>
      <c r="S26" s="48"/>
      <c r="T26" s="108" t="s">
        <v>3</v>
      </c>
      <c r="U26" s="23">
        <f>IF(F26="p",VLOOKUP($T26,PATISS!$A$2:$B$4,2,FALSE),0)</f>
        <v>0</v>
      </c>
      <c r="V26" s="11">
        <f>IF(I26="p",VLOOKUP($T26,PATISS!$A$2:$B$4,2,FALSE),0)</f>
        <v>0</v>
      </c>
      <c r="W26" s="11">
        <f>IF(L26="p",VLOOKUP($T26,PATISS!$A$2:$B$4,2,FALSE),0)</f>
        <v>0</v>
      </c>
      <c r="X26" s="11">
        <f>IF(O26="p",VLOOKUP($T26,PATISS!$A$2:$B$4,2,FALSE),0)</f>
        <v>0</v>
      </c>
      <c r="Y26" s="11">
        <f>IF(R26="p",VLOOKUP($T26,PATISS!$A$2:$B$4,2,FALSE),0)</f>
        <v>0</v>
      </c>
      <c r="Z26" s="12">
        <f>IF(U26+V26+W26+X26+Y26&lt;0.5,0,VLOOKUP(T26,PATISS!$A$16:$B$18,2,FALSE))</f>
        <v>0</v>
      </c>
      <c r="AA26" s="13">
        <f>IF(U26&lt;0.5,0,VLOOKUP($T26,PATISS!$C$2:$D$4,2,FALSE))</f>
        <v>0</v>
      </c>
      <c r="AB26" s="13">
        <f>IF(V26&lt;0.5,0,VLOOKUP($T26,PATISS!$C$2:$D$4,2,FALSE))</f>
        <v>0</v>
      </c>
      <c r="AC26" s="13">
        <f>IF(W26&lt;0.5,0,VLOOKUP($T26,PATISS!$C$2:$D$4,2,FALSE))</f>
        <v>0</v>
      </c>
      <c r="AD26" s="13">
        <f>IF(X26&lt;0.5,0,VLOOKUP($T26,PATISS!$C$2:$D$4,2,FALSE))</f>
        <v>0</v>
      </c>
      <c r="AE26" s="13">
        <f>IF(Y26&lt;0.5,0,VLOOKUP($T26,PATISS!$C$2:$D$4,2,FALSE))</f>
        <v>0</v>
      </c>
      <c r="AF26" s="14" t="e">
        <f>IF(U26&gt;0.5,0,VLOOKUP($T26,PATISS!$A$2:$B$4,2,FALSE))</f>
        <v>#N/A</v>
      </c>
      <c r="AG26" s="14" t="e">
        <f>IF(V26&gt;0.5,0,VLOOKUP($T26,PATISS!$A$2:$B$4,2,FALSE))</f>
        <v>#N/A</v>
      </c>
      <c r="AH26" s="14" t="e">
        <f>IF(W26&gt;0.5,0,VLOOKUP($T26,PATISS!$A$2:$B$4,2,FALSE))</f>
        <v>#N/A</v>
      </c>
      <c r="AI26" s="14" t="e">
        <f>IF(X26&gt;0.5,0,VLOOKUP($T26,PATISS!$A$2:$B$4,2,FALSE))</f>
        <v>#N/A</v>
      </c>
      <c r="AJ26" s="21">
        <f>IF(AA26=PATISS!$D$2,1,0)</f>
        <v>0</v>
      </c>
      <c r="AK26" s="22">
        <f>IF(AB26=PATISS!$D$2,1,0)</f>
        <v>0</v>
      </c>
      <c r="AL26" s="22">
        <f>IF(AC26=PATISS!$D$2,1,0)</f>
        <v>0</v>
      </c>
      <c r="AM26" s="22">
        <f>IF(AD26=PATISS!$D$2,1,0)</f>
        <v>0</v>
      </c>
      <c r="AN26" s="20">
        <f>IF(AE26=PATISS!$D$2,1,0)</f>
        <v>0</v>
      </c>
      <c r="AO26" s="21">
        <f>IF(AA26=PATISS!$D$4,1,0)</f>
        <v>0</v>
      </c>
      <c r="AP26" s="22">
        <f>IF(AB26=PATISS!$D$4,1,0)</f>
        <v>0</v>
      </c>
      <c r="AQ26" s="22">
        <f>IF(AC26=PATISS!$D$4,1,0)</f>
        <v>0</v>
      </c>
      <c r="AR26" s="22">
        <f>IF(AD26=PATISS!$D$4,1,0)</f>
        <v>0</v>
      </c>
      <c r="AS26" s="10">
        <f>IF(AE26=PATISS!$D$4,1,0)</f>
        <v>0</v>
      </c>
      <c r="AT26" s="21">
        <f>IF(AA26=PATISS!$D$3,1,0)</f>
        <v>1</v>
      </c>
      <c r="AU26" s="22">
        <f>IF(AB26=PATISS!$D$3,1,0)</f>
        <v>1</v>
      </c>
      <c r="AV26" s="22">
        <f>IF(AC26=PATISS!$D$3,1,0)</f>
        <v>1</v>
      </c>
      <c r="AW26" s="10">
        <f>IF(AD26=PATISS!$D$3,1,0)</f>
        <v>1</v>
      </c>
      <c r="AX26" s="20">
        <f>IF(AE26=PATISS!$D$3,1,0)</f>
        <v>1</v>
      </c>
    </row>
    <row r="27" spans="1:50" ht="15.5" thickTop="1" thickBot="1" x14ac:dyDescent="0.4">
      <c r="A27" s="76" t="e">
        <f>GEN!#REF!</f>
        <v>#REF!</v>
      </c>
      <c r="B27" s="80">
        <f t="shared" si="0"/>
        <v>0</v>
      </c>
      <c r="C27" s="48" t="s">
        <v>39</v>
      </c>
      <c r="D27" s="350"/>
      <c r="E27" s="9" t="e">
        <f>GEN!#REF!</f>
        <v>#REF!</v>
      </c>
      <c r="F27" s="48" t="s">
        <v>39</v>
      </c>
      <c r="G27" s="350"/>
      <c r="H27" s="9" t="e">
        <f>GEN!#REF!</f>
        <v>#REF!</v>
      </c>
      <c r="I27" s="48" t="s">
        <v>39</v>
      </c>
      <c r="J27" s="350"/>
      <c r="K27" s="9" t="e">
        <f>GEN!#REF!</f>
        <v>#REF!</v>
      </c>
      <c r="L27" s="48" t="s">
        <v>39</v>
      </c>
      <c r="M27" s="350"/>
      <c r="N27" s="5" t="e">
        <f>GEN!#REF!</f>
        <v>#REF!</v>
      </c>
      <c r="O27" s="48" t="s">
        <v>39</v>
      </c>
      <c r="P27" s="353"/>
      <c r="Q27" s="5" t="e">
        <f>GEN!#REF!</f>
        <v>#REF!</v>
      </c>
      <c r="R27" s="48" t="s">
        <v>39</v>
      </c>
      <c r="S27" s="48"/>
      <c r="T27" s="108" t="s">
        <v>3</v>
      </c>
      <c r="U27" s="23">
        <f>IF(F27="p",VLOOKUP($T27,PATISS!$A$2:$B$4,2,FALSE),0)</f>
        <v>0</v>
      </c>
      <c r="V27" s="11">
        <f>IF(I27="p",VLOOKUP($T27,PATISS!$A$2:$B$4,2,FALSE),0)</f>
        <v>0</v>
      </c>
      <c r="W27" s="11">
        <f>IF(L27="p",VLOOKUP($T27,PATISS!$A$2:$B$4,2,FALSE),0)</f>
        <v>0</v>
      </c>
      <c r="X27" s="11">
        <f>IF(O27="p",VLOOKUP($T27,PATISS!$A$2:$B$4,2,FALSE),0)</f>
        <v>0</v>
      </c>
      <c r="Y27" s="11">
        <f>IF(R27="p",VLOOKUP($T27,PATISS!$A$2:$B$4,2,FALSE),0)</f>
        <v>0</v>
      </c>
      <c r="Z27" s="12">
        <f>IF(U27+V27+W27+X27+Y27&lt;0.5,0,VLOOKUP(T27,PATISS!$A$16:$B$18,2,FALSE))</f>
        <v>0</v>
      </c>
      <c r="AA27" s="13">
        <f>IF(U27&lt;0.5,0,VLOOKUP($T27,PATISS!$C$2:$D$4,2,FALSE))</f>
        <v>0</v>
      </c>
      <c r="AB27" s="13">
        <f>IF(V27&lt;0.5,0,VLOOKUP($T27,PATISS!$C$2:$D$4,2,FALSE))</f>
        <v>0</v>
      </c>
      <c r="AC27" s="13">
        <f>IF(W27&lt;0.5,0,VLOOKUP($T27,PATISS!$C$2:$D$4,2,FALSE))</f>
        <v>0</v>
      </c>
      <c r="AD27" s="13">
        <f>IF(X27&lt;0.5,0,VLOOKUP($T27,PATISS!$C$2:$D$4,2,FALSE))</f>
        <v>0</v>
      </c>
      <c r="AE27" s="13">
        <f>IF(Y27&lt;0.5,0,VLOOKUP($T27,PATISS!$C$2:$D$4,2,FALSE))</f>
        <v>0</v>
      </c>
      <c r="AF27" s="14" t="e">
        <f>IF(U27&gt;0.5,0,VLOOKUP($T27,PATISS!$A$2:$B$4,2,FALSE))</f>
        <v>#N/A</v>
      </c>
      <c r="AG27" s="14" t="e">
        <f>IF(V27&gt;0.5,0,VLOOKUP($T27,PATISS!$A$2:$B$4,2,FALSE))</f>
        <v>#N/A</v>
      </c>
      <c r="AH27" s="14" t="e">
        <f>IF(W27&gt;0.5,0,VLOOKUP($T27,PATISS!$A$2:$B$4,2,FALSE))</f>
        <v>#N/A</v>
      </c>
      <c r="AI27" s="14" t="e">
        <f>IF(X27&gt;0.5,0,VLOOKUP($T27,PATISS!$A$2:$B$4,2,FALSE))</f>
        <v>#N/A</v>
      </c>
      <c r="AJ27" s="19">
        <f>IF(AA27=PATISS!$D$2,1,0)</f>
        <v>0</v>
      </c>
      <c r="AK27" s="10">
        <f>IF(AB27=PATISS!$D$2,1,0)</f>
        <v>0</v>
      </c>
      <c r="AL27" s="10">
        <f>IF(AC27=PATISS!$D$2,1,0)</f>
        <v>0</v>
      </c>
      <c r="AM27" s="10">
        <f>IF(AD27=PATISS!$D$2,1,0)</f>
        <v>0</v>
      </c>
      <c r="AN27" s="20">
        <f>IF(AE27=PATISS!$D$2,1,0)</f>
        <v>0</v>
      </c>
      <c r="AO27" s="19">
        <f>IF(AA27=PATISS!$D$4,1,0)</f>
        <v>0</v>
      </c>
      <c r="AP27" s="10">
        <f>IF(AB27=PATISS!$D$4,1,0)</f>
        <v>0</v>
      </c>
      <c r="AQ27" s="10">
        <f>IF(AC27=PATISS!$D$4,1,0)</f>
        <v>0</v>
      </c>
      <c r="AR27" s="10">
        <f>IF(AD27=PATISS!$D$4,1,0)</f>
        <v>0</v>
      </c>
      <c r="AS27" s="10">
        <f>IF(AE27=PATISS!$D$4,1,0)</f>
        <v>0</v>
      </c>
      <c r="AT27" s="19">
        <f>IF(AA27=PATISS!$D$3,1,0)</f>
        <v>1</v>
      </c>
      <c r="AU27" s="10">
        <f>IF(AB27=PATISS!$D$3,1,0)</f>
        <v>1</v>
      </c>
      <c r="AV27" s="10">
        <f>IF(AC27=PATISS!$D$3,1,0)</f>
        <v>1</v>
      </c>
      <c r="AW27" s="10">
        <f>IF(AD27=PATISS!$D$3,1,0)</f>
        <v>1</v>
      </c>
      <c r="AX27" s="20">
        <f>IF(AE27=PATISS!$D$3,1,0)</f>
        <v>1</v>
      </c>
    </row>
    <row r="28" spans="1:50" ht="15.5" thickTop="1" thickBot="1" x14ac:dyDescent="0.4">
      <c r="A28" s="76" t="e">
        <f>GEN!#REF!</f>
        <v>#REF!</v>
      </c>
      <c r="B28" s="80">
        <f t="shared" si="0"/>
        <v>0</v>
      </c>
      <c r="C28" s="48" t="s">
        <v>39</v>
      </c>
      <c r="D28" s="350"/>
      <c r="E28" s="9" t="e">
        <f>GEN!#REF!</f>
        <v>#REF!</v>
      </c>
      <c r="F28" s="48" t="s">
        <v>39</v>
      </c>
      <c r="G28" s="350"/>
      <c r="H28" s="9" t="e">
        <f>GEN!#REF!</f>
        <v>#REF!</v>
      </c>
      <c r="I28" s="48" t="s">
        <v>39</v>
      </c>
      <c r="J28" s="350"/>
      <c r="K28" s="9" t="e">
        <f>GEN!#REF!</f>
        <v>#REF!</v>
      </c>
      <c r="L28" s="48" t="s">
        <v>39</v>
      </c>
      <c r="M28" s="350"/>
      <c r="N28" s="5" t="e">
        <f>GEN!#REF!</f>
        <v>#REF!</v>
      </c>
      <c r="O28" s="48" t="s">
        <v>39</v>
      </c>
      <c r="P28" s="353"/>
      <c r="Q28" s="5" t="e">
        <f>GEN!#REF!</f>
        <v>#REF!</v>
      </c>
      <c r="R28" s="48" t="s">
        <v>39</v>
      </c>
      <c r="S28" s="48"/>
      <c r="T28" s="108" t="s">
        <v>3</v>
      </c>
      <c r="U28" s="23">
        <f>IF(F28="p",VLOOKUP($T28,PATISS!$A$2:$B$4,2,FALSE),0)</f>
        <v>0</v>
      </c>
      <c r="V28" s="11">
        <f>IF(I28="p",VLOOKUP($T28,PATISS!$A$2:$B$4,2,FALSE),0)</f>
        <v>0</v>
      </c>
      <c r="W28" s="11">
        <f>IF(L28="p",VLOOKUP($T28,PATISS!$A$2:$B$4,2,FALSE),0)</f>
        <v>0</v>
      </c>
      <c r="X28" s="11">
        <f>IF(O28="p",VLOOKUP($T28,PATISS!$A$2:$B$4,2,FALSE),0)</f>
        <v>0</v>
      </c>
      <c r="Y28" s="11">
        <f>IF(R28="p",VLOOKUP($T28,PATISS!$A$2:$B$4,2,FALSE),0)</f>
        <v>0</v>
      </c>
      <c r="Z28" s="12">
        <f>IF(U28+V28+W28+X28+Y28&lt;0.5,0,VLOOKUP(T28,PATISS!$A$16:$B$18,2,FALSE))</f>
        <v>0</v>
      </c>
      <c r="AA28" s="13">
        <f>IF(U28&lt;0.5,0,VLOOKUP($T28,PATISS!$C$2:$D$4,2,FALSE))</f>
        <v>0</v>
      </c>
      <c r="AB28" s="13">
        <f>IF(V28&lt;0.5,0,VLOOKUP($T28,PATISS!$C$2:$D$4,2,FALSE))</f>
        <v>0</v>
      </c>
      <c r="AC28" s="13">
        <f>IF(W28&lt;0.5,0,VLOOKUP($T28,PATISS!$C$2:$D$4,2,FALSE))</f>
        <v>0</v>
      </c>
      <c r="AD28" s="13">
        <f>IF(X28&lt;0.5,0,VLOOKUP($T28,PATISS!$C$2:$D$4,2,FALSE))</f>
        <v>0</v>
      </c>
      <c r="AE28" s="13">
        <f>IF(Y28&lt;0.5,0,VLOOKUP($T28,PATISS!$C$2:$D$4,2,FALSE))</f>
        <v>0</v>
      </c>
      <c r="AF28" s="14" t="e">
        <f>IF(U28&gt;0.5,0,VLOOKUP($T28,PATISS!$A$2:$B$4,2,FALSE))</f>
        <v>#N/A</v>
      </c>
      <c r="AG28" s="14" t="e">
        <f>IF(V28&gt;0.5,0,VLOOKUP($T28,PATISS!$A$2:$B$4,2,FALSE))</f>
        <v>#N/A</v>
      </c>
      <c r="AH28" s="14" t="e">
        <f>IF(W28&gt;0.5,0,VLOOKUP($T28,PATISS!$A$2:$B$4,2,FALSE))</f>
        <v>#N/A</v>
      </c>
      <c r="AI28" s="14" t="e">
        <f>IF(X28&gt;0.5,0,VLOOKUP($T28,PATISS!$A$2:$B$4,2,FALSE))</f>
        <v>#N/A</v>
      </c>
      <c r="AJ28" s="21">
        <f>IF(AA28=PATISS!$D$2,1,0)</f>
        <v>0</v>
      </c>
      <c r="AK28" s="22">
        <f>IF(AB28=PATISS!$D$2,1,0)</f>
        <v>0</v>
      </c>
      <c r="AL28" s="22">
        <f>IF(AC28=PATISS!$D$2,1,0)</f>
        <v>0</v>
      </c>
      <c r="AM28" s="22">
        <f>IF(AD28=PATISS!$D$2,1,0)</f>
        <v>0</v>
      </c>
      <c r="AN28" s="20">
        <f>IF(AE28=PATISS!$D$2,1,0)</f>
        <v>0</v>
      </c>
      <c r="AO28" s="21">
        <f>IF(AA28=PATISS!$D$4,1,0)</f>
        <v>0</v>
      </c>
      <c r="AP28" s="22">
        <f>IF(AB28=PATISS!$D$4,1,0)</f>
        <v>0</v>
      </c>
      <c r="AQ28" s="22">
        <f>IF(AC28=PATISS!$D$4,1,0)</f>
        <v>0</v>
      </c>
      <c r="AR28" s="22">
        <f>IF(AD28=PATISS!$D$4,1,0)</f>
        <v>0</v>
      </c>
      <c r="AS28" s="10">
        <f>IF(AE28=PATISS!$D$4,1,0)</f>
        <v>0</v>
      </c>
      <c r="AT28" s="21">
        <f>IF(AA28=PATISS!$D$3,1,0)</f>
        <v>1</v>
      </c>
      <c r="AU28" s="22">
        <f>IF(AB28=PATISS!$D$3,1,0)</f>
        <v>1</v>
      </c>
      <c r="AV28" s="22">
        <f>IF(AC28=PATISS!$D$3,1,0)</f>
        <v>1</v>
      </c>
      <c r="AW28" s="10">
        <f>IF(AD28=PATISS!$D$3,1,0)</f>
        <v>1</v>
      </c>
      <c r="AX28" s="20">
        <f>IF(AE28=PATISS!$D$3,1,0)</f>
        <v>1</v>
      </c>
    </row>
    <row r="29" spans="1:50" ht="15.5" thickTop="1" thickBot="1" x14ac:dyDescent="0.4">
      <c r="A29" s="76" t="e">
        <f>GEN!#REF!</f>
        <v>#REF!</v>
      </c>
      <c r="B29" s="80">
        <f t="shared" si="0"/>
        <v>0</v>
      </c>
      <c r="C29" s="48" t="s">
        <v>39</v>
      </c>
      <c r="D29" s="350"/>
      <c r="E29" s="9" t="e">
        <f>GEN!#REF!</f>
        <v>#REF!</v>
      </c>
      <c r="F29" s="48" t="s">
        <v>39</v>
      </c>
      <c r="G29" s="350"/>
      <c r="H29" s="9" t="e">
        <f>GEN!#REF!</f>
        <v>#REF!</v>
      </c>
      <c r="I29" s="48" t="s">
        <v>39</v>
      </c>
      <c r="J29" s="350"/>
      <c r="K29" s="9" t="e">
        <f>GEN!#REF!</f>
        <v>#REF!</v>
      </c>
      <c r="L29" s="48" t="s">
        <v>39</v>
      </c>
      <c r="M29" s="350"/>
      <c r="N29" s="5" t="e">
        <f>GEN!#REF!</f>
        <v>#REF!</v>
      </c>
      <c r="O29" s="48" t="s">
        <v>39</v>
      </c>
      <c r="P29" s="353"/>
      <c r="Q29" s="5" t="e">
        <f>GEN!#REF!</f>
        <v>#REF!</v>
      </c>
      <c r="R29" s="48" t="s">
        <v>39</v>
      </c>
      <c r="S29" s="48"/>
      <c r="T29" s="108" t="s">
        <v>3</v>
      </c>
      <c r="U29" s="23">
        <f>IF(F29="p",VLOOKUP($T29,PATISS!$A$2:$B$4,2,FALSE),0)</f>
        <v>0</v>
      </c>
      <c r="V29" s="11">
        <f>IF(I29="p",VLOOKUP($T29,PATISS!$A$2:$B$4,2,FALSE),0)</f>
        <v>0</v>
      </c>
      <c r="W29" s="11">
        <f>IF(L29="p",VLOOKUP($T29,PATISS!$A$2:$B$4,2,FALSE),0)</f>
        <v>0</v>
      </c>
      <c r="X29" s="11">
        <f>IF(O29="p",VLOOKUP($T29,PATISS!$A$2:$B$4,2,FALSE),0)</f>
        <v>0</v>
      </c>
      <c r="Y29" s="11">
        <f>IF(R29="p",VLOOKUP($T29,PATISS!$A$2:$B$4,2,FALSE),0)</f>
        <v>0</v>
      </c>
      <c r="Z29" s="12">
        <f>IF(U29+V29+W29+X29+Y29&lt;0.5,0,VLOOKUP(T29,PATISS!$A$16:$B$18,2,FALSE))</f>
        <v>0</v>
      </c>
      <c r="AA29" s="13">
        <f>IF(U29&lt;0.5,0,VLOOKUP($T29,PATISS!$C$2:$D$4,2,FALSE))</f>
        <v>0</v>
      </c>
      <c r="AB29" s="13">
        <f>IF(V29&lt;0.5,0,VLOOKUP($T29,PATISS!$C$2:$D$4,2,FALSE))</f>
        <v>0</v>
      </c>
      <c r="AC29" s="13">
        <f>IF(W29&lt;0.5,0,VLOOKUP($T29,PATISS!$C$2:$D$4,2,FALSE))</f>
        <v>0</v>
      </c>
      <c r="AD29" s="13">
        <f>IF(X29&lt;0.5,0,VLOOKUP($T29,PATISS!$C$2:$D$4,2,FALSE))</f>
        <v>0</v>
      </c>
      <c r="AE29" s="13">
        <f>IF(Y29&lt;0.5,0,VLOOKUP($T29,PATISS!$C$2:$D$4,2,FALSE))</f>
        <v>0</v>
      </c>
      <c r="AF29" s="14" t="e">
        <f>IF(U29&gt;0.5,0,VLOOKUP($T29,PATISS!$A$2:$B$4,2,FALSE))</f>
        <v>#N/A</v>
      </c>
      <c r="AG29" s="14" t="e">
        <f>IF(V29&gt;0.5,0,VLOOKUP($T29,PATISS!$A$2:$B$4,2,FALSE))</f>
        <v>#N/A</v>
      </c>
      <c r="AH29" s="14" t="e">
        <f>IF(W29&gt;0.5,0,VLOOKUP($T29,PATISS!$A$2:$B$4,2,FALSE))</f>
        <v>#N/A</v>
      </c>
      <c r="AI29" s="14" t="e">
        <f>IF(X29&gt;0.5,0,VLOOKUP($T29,PATISS!$A$2:$B$4,2,FALSE))</f>
        <v>#N/A</v>
      </c>
      <c r="AJ29" s="19">
        <f>IF(AA29=PATISS!$D$2,1,0)</f>
        <v>0</v>
      </c>
      <c r="AK29" s="10">
        <f>IF(AB29=PATISS!$D$2,1,0)</f>
        <v>0</v>
      </c>
      <c r="AL29" s="10">
        <f>IF(AC29=PATISS!$D$2,1,0)</f>
        <v>0</v>
      </c>
      <c r="AM29" s="10">
        <f>IF(AD29=PATISS!$D$2,1,0)</f>
        <v>0</v>
      </c>
      <c r="AN29" s="20">
        <f>IF(AE29=PATISS!$D$2,1,0)</f>
        <v>0</v>
      </c>
      <c r="AO29" s="19">
        <f>IF(AA29=PATISS!$D$4,1,0)</f>
        <v>0</v>
      </c>
      <c r="AP29" s="10">
        <f>IF(AB29=PATISS!$D$4,1,0)</f>
        <v>0</v>
      </c>
      <c r="AQ29" s="10">
        <f>IF(AC29=PATISS!$D$4,1,0)</f>
        <v>0</v>
      </c>
      <c r="AR29" s="10">
        <f>IF(AD29=PATISS!$D$4,1,0)</f>
        <v>0</v>
      </c>
      <c r="AS29" s="10">
        <f>IF(AE29=PATISS!$D$4,1,0)</f>
        <v>0</v>
      </c>
      <c r="AT29" s="19">
        <f>IF(AA29=PATISS!$D$3,1,0)</f>
        <v>1</v>
      </c>
      <c r="AU29" s="10">
        <f>IF(AB29=PATISS!$D$3,1,0)</f>
        <v>1</v>
      </c>
      <c r="AV29" s="10">
        <f>IF(AC29=PATISS!$D$3,1,0)</f>
        <v>1</v>
      </c>
      <c r="AW29" s="10">
        <f>IF(AD29=PATISS!$D$3,1,0)</f>
        <v>1</v>
      </c>
      <c r="AX29" s="20">
        <f>IF(AE29=PATISS!$D$3,1,0)</f>
        <v>1</v>
      </c>
    </row>
    <row r="30" spans="1:50" ht="15.5" thickTop="1" thickBot="1" x14ac:dyDescent="0.4">
      <c r="A30" s="77" t="e">
        <f>GEN!#REF!</f>
        <v>#REF!</v>
      </c>
      <c r="B30" s="80">
        <f t="shared" si="0"/>
        <v>0</v>
      </c>
      <c r="C30" s="48" t="s">
        <v>39</v>
      </c>
      <c r="D30" s="351"/>
      <c r="E30" s="57" t="e">
        <f>GEN!#REF!</f>
        <v>#REF!</v>
      </c>
      <c r="F30" s="48" t="s">
        <v>39</v>
      </c>
      <c r="G30" s="351"/>
      <c r="H30" s="57" t="e">
        <f>GEN!#REF!</f>
        <v>#REF!</v>
      </c>
      <c r="I30" s="48" t="s">
        <v>39</v>
      </c>
      <c r="J30" s="351"/>
      <c r="K30" s="57" t="e">
        <f>GEN!#REF!</f>
        <v>#REF!</v>
      </c>
      <c r="L30" s="48" t="s">
        <v>39</v>
      </c>
      <c r="M30" s="351"/>
      <c r="N30" s="5" t="e">
        <f>GEN!#REF!</f>
        <v>#REF!</v>
      </c>
      <c r="O30" s="48" t="s">
        <v>39</v>
      </c>
      <c r="P30" s="354"/>
      <c r="Q30" s="5" t="e">
        <f>GEN!#REF!</f>
        <v>#REF!</v>
      </c>
      <c r="R30" s="48" t="s">
        <v>39</v>
      </c>
      <c r="S30" s="48"/>
      <c r="T30" s="109" t="s">
        <v>3</v>
      </c>
      <c r="U30" s="58">
        <f>IF(F30="p",VLOOKUP($T30,PATISS!$A$2:$B$4,2,FALSE),0)</f>
        <v>0</v>
      </c>
      <c r="V30" s="59">
        <f>IF(I30="p",VLOOKUP($T30,PATISS!$A$2:$B$4,2,FALSE),0)</f>
        <v>0</v>
      </c>
      <c r="W30" s="59">
        <f>IF(L30="p",VLOOKUP($T30,PATISS!$A$2:$B$4,2,FALSE),0)</f>
        <v>0</v>
      </c>
      <c r="X30" s="59">
        <f>IF(O30="p",VLOOKUP($T30,PATISS!$A$2:$B$4,2,FALSE),0)</f>
        <v>0</v>
      </c>
      <c r="Y30" s="59">
        <f>IF(R30="p",VLOOKUP($T30,PATISS!$A$2:$B$4,2,FALSE),0)</f>
        <v>0</v>
      </c>
      <c r="Z30" s="60">
        <f>IF(U30+V30+W30+X30+Y30&lt;0.5,0,VLOOKUP(T30,PATISS!$A$16:$B$18,2,FALSE))</f>
        <v>0</v>
      </c>
      <c r="AA30" s="61">
        <f>IF(U30&lt;0.5,0,VLOOKUP($T30,PATISS!$C$2:$D$4,2,FALSE))</f>
        <v>0</v>
      </c>
      <c r="AB30" s="61">
        <f>IF(V30&lt;0.5,0,VLOOKUP($T30,PATISS!$C$2:$D$4,2,FALSE))</f>
        <v>0</v>
      </c>
      <c r="AC30" s="61">
        <f>IF(W30&lt;0.5,0,VLOOKUP($T30,PATISS!$C$2:$D$4,2,FALSE))</f>
        <v>0</v>
      </c>
      <c r="AD30" s="61">
        <f>IF(X30&lt;0.5,0,VLOOKUP($T30,PATISS!$C$2:$D$4,2,FALSE))</f>
        <v>0</v>
      </c>
      <c r="AE30" s="61">
        <f>IF(Y30&lt;0.5,0,VLOOKUP($T30,PATISS!$C$2:$D$4,2,FALSE))</f>
        <v>0</v>
      </c>
      <c r="AF30" s="62" t="e">
        <f>IF(U30&gt;0.5,0,VLOOKUP($T30,PATISS!$A$2:$B$4,2,FALSE))</f>
        <v>#N/A</v>
      </c>
      <c r="AG30" s="62" t="e">
        <f>IF(V30&gt;0.5,0,VLOOKUP($T30,PATISS!$A$2:$B$4,2,FALSE))</f>
        <v>#N/A</v>
      </c>
      <c r="AH30" s="62" t="e">
        <f>IF(W30&gt;0.5,0,VLOOKUP($T30,PATISS!$A$2:$B$4,2,FALSE))</f>
        <v>#N/A</v>
      </c>
      <c r="AI30" s="62" t="e">
        <f>IF(X30&gt;0.5,0,VLOOKUP($T30,PATISS!$A$2:$B$4,2,FALSE))</f>
        <v>#N/A</v>
      </c>
      <c r="AJ30" s="63">
        <f>IF(AA30=PATISS!$D$2,1,0)</f>
        <v>0</v>
      </c>
      <c r="AK30" s="64">
        <f>IF(AB30=PATISS!$D$2,1,0)</f>
        <v>0</v>
      </c>
      <c r="AL30" s="64">
        <f>IF(AC30=PATISS!$D$2,1,0)</f>
        <v>0</v>
      </c>
      <c r="AM30" s="64">
        <f>IF(AD30=PATISS!$D$2,1,0)</f>
        <v>0</v>
      </c>
      <c r="AN30" s="65">
        <f>IF(AE30=PATISS!$D$2,1,0)</f>
        <v>0</v>
      </c>
      <c r="AO30" s="63">
        <f>IF(AA30=PATISS!$D$4,1,0)</f>
        <v>0</v>
      </c>
      <c r="AP30" s="64">
        <f>IF(AB30=PATISS!$D$4,1,0)</f>
        <v>0</v>
      </c>
      <c r="AQ30" s="64">
        <f>IF(AC30=PATISS!$D$4,1,0)</f>
        <v>0</v>
      </c>
      <c r="AR30" s="64">
        <f>IF(AD30=PATISS!$D$4,1,0)</f>
        <v>0</v>
      </c>
      <c r="AS30" s="64">
        <f>IF(AE30=PATISS!$D$4,1,0)</f>
        <v>0</v>
      </c>
      <c r="AT30" s="63">
        <f>IF(AA30=PATISS!$D$3,1,0)</f>
        <v>1</v>
      </c>
      <c r="AU30" s="64">
        <f>IF(AB30=PATISS!$D$3,1,0)</f>
        <v>1</v>
      </c>
      <c r="AV30" s="64">
        <f>IF(AC30=PATISS!$D$3,1,0)</f>
        <v>1</v>
      </c>
      <c r="AW30" s="64">
        <f>IF(AD30=PATISS!$D$3,1,0)</f>
        <v>1</v>
      </c>
      <c r="AX30" s="65">
        <f>IF(AE30=PATISS!$D$3,1,0)</f>
        <v>1</v>
      </c>
    </row>
    <row r="31" spans="1:50" s="68" customFormat="1" ht="15.5" thickTop="1" thickBot="1" x14ac:dyDescent="0.4">
      <c r="A31" s="66"/>
      <c r="B31" s="66"/>
      <c r="C31" s="66"/>
      <c r="D31" s="67"/>
      <c r="F31" s="66"/>
      <c r="G31" s="67"/>
      <c r="I31" s="66"/>
      <c r="J31" s="67"/>
      <c r="L31" s="66"/>
      <c r="M31" s="67"/>
      <c r="O31" s="66"/>
      <c r="P31" s="67"/>
      <c r="R31" s="66"/>
      <c r="S31" s="66"/>
      <c r="T31" s="66"/>
      <c r="U31" s="69"/>
      <c r="V31" s="69"/>
      <c r="W31" s="69"/>
      <c r="X31" s="69"/>
      <c r="Y31" s="69"/>
      <c r="Z31" s="70"/>
      <c r="AA31" s="69"/>
      <c r="AB31" s="69"/>
      <c r="AC31" s="69"/>
      <c r="AD31" s="69"/>
      <c r="AE31" s="69"/>
      <c r="AF31" s="71"/>
      <c r="AG31" s="71"/>
      <c r="AH31" s="71"/>
      <c r="AI31" s="71"/>
    </row>
    <row r="32" spans="1:50" s="68" customFormat="1" ht="15.5" thickTop="1" thickBot="1" x14ac:dyDescent="0.4">
      <c r="A32" s="357" t="s">
        <v>37</v>
      </c>
      <c r="B32" s="357"/>
      <c r="C32" s="113">
        <f>COUNTIF(C2:C30,"p")</f>
        <v>17</v>
      </c>
      <c r="D32" s="355" t="s">
        <v>19</v>
      </c>
      <c r="E32" s="356"/>
      <c r="F32" s="74">
        <f>COUNTIF(F2:F30,"p")</f>
        <v>0</v>
      </c>
      <c r="G32" s="355" t="s">
        <v>19</v>
      </c>
      <c r="H32" s="356"/>
      <c r="I32" s="74">
        <f>COUNTIF(I2:I30,"p")</f>
        <v>14</v>
      </c>
      <c r="J32" s="355" t="s">
        <v>19</v>
      </c>
      <c r="K32" s="356"/>
      <c r="L32" s="74">
        <f>COUNTIF(L2:L30,"p")</f>
        <v>14</v>
      </c>
      <c r="M32" s="355" t="s">
        <v>19</v>
      </c>
      <c r="N32" s="356"/>
      <c r="O32" s="74">
        <f>COUNTIF(O2:O30,"p")</f>
        <v>13</v>
      </c>
      <c r="P32" s="355" t="s">
        <v>19</v>
      </c>
      <c r="Q32" s="356"/>
      <c r="R32" s="74">
        <f>COUNTIF(R2:R30,"p")</f>
        <v>0</v>
      </c>
      <c r="S32" s="108" t="s">
        <v>4</v>
      </c>
      <c r="T32" s="74">
        <f>COUNTIF(T2:T30,"croissant")</f>
        <v>9</v>
      </c>
      <c r="U32" s="69"/>
      <c r="V32" s="69"/>
      <c r="W32" s="69"/>
      <c r="X32" s="69"/>
      <c r="Y32" s="69"/>
      <c r="Z32" s="70"/>
      <c r="AA32" s="69"/>
      <c r="AB32" s="69"/>
      <c r="AC32" s="69"/>
      <c r="AD32" s="69"/>
      <c r="AE32" s="69"/>
      <c r="AF32" s="71"/>
      <c r="AG32" s="71"/>
      <c r="AH32" s="71"/>
      <c r="AI32" s="71"/>
    </row>
    <row r="33" spans="1:35" s="68" customFormat="1" ht="15.5" thickTop="1" thickBot="1" x14ac:dyDescent="0.4">
      <c r="A33" s="357" t="s">
        <v>38</v>
      </c>
      <c r="B33" s="357"/>
      <c r="C33" s="114">
        <f>COUNTIF(C3:C31,"n/p")</f>
        <v>4</v>
      </c>
      <c r="D33" s="355" t="s">
        <v>35</v>
      </c>
      <c r="E33" s="356"/>
      <c r="F33" s="74">
        <f>COUNTIF(F3:F31,"n/p")</f>
        <v>20</v>
      </c>
      <c r="G33" s="355" t="s">
        <v>35</v>
      </c>
      <c r="H33" s="356"/>
      <c r="I33" s="74">
        <f>COUNTIF(I3:I31,"n/p")</f>
        <v>7</v>
      </c>
      <c r="J33" s="355" t="s">
        <v>35</v>
      </c>
      <c r="K33" s="356"/>
      <c r="L33" s="74">
        <f>COUNTIF(L3:L31,"n/p")</f>
        <v>7</v>
      </c>
      <c r="M33" s="355" t="s">
        <v>35</v>
      </c>
      <c r="N33" s="356"/>
      <c r="O33" s="74">
        <f>COUNTIF(O3:O31,"n/p")</f>
        <v>8</v>
      </c>
      <c r="P33" s="355" t="s">
        <v>35</v>
      </c>
      <c r="Q33" s="356"/>
      <c r="R33" s="74">
        <f>COUNTIF(R3:R31,"n/p")</f>
        <v>20</v>
      </c>
      <c r="S33" s="108" t="s">
        <v>1</v>
      </c>
      <c r="T33" s="74">
        <f>COUNTIF(T3:T31,"chocolat")</f>
        <v>12</v>
      </c>
      <c r="U33" s="69"/>
      <c r="V33" s="69"/>
      <c r="W33" s="69"/>
      <c r="X33" s="69"/>
      <c r="Y33" s="69"/>
      <c r="Z33" s="70"/>
      <c r="AA33" s="69"/>
      <c r="AB33" s="69"/>
      <c r="AC33" s="69"/>
      <c r="AD33" s="69"/>
      <c r="AE33" s="69"/>
      <c r="AF33" s="71"/>
      <c r="AG33" s="71"/>
      <c r="AH33" s="71"/>
      <c r="AI33" s="71"/>
    </row>
    <row r="34" spans="1:35" s="24" customFormat="1" ht="15.5" thickTop="1" thickBot="1" x14ac:dyDescent="0.4">
      <c r="B34" s="25"/>
      <c r="F34" s="25"/>
      <c r="G34" s="42"/>
      <c r="H34" s="42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U34" s="25"/>
      <c r="V34" s="25"/>
      <c r="W34" s="25"/>
    </row>
    <row r="35" spans="1:35" ht="15.75" hidden="1" customHeight="1" x14ac:dyDescent="0.35">
      <c r="A35" s="110" t="s">
        <v>9</v>
      </c>
      <c r="B35" s="73"/>
      <c r="C35" s="26"/>
      <c r="D35" s="347" t="s">
        <v>43</v>
      </c>
      <c r="E35" s="348"/>
      <c r="F35" s="28">
        <f>SUM(AJ2:AJ30)</f>
        <v>0</v>
      </c>
      <c r="G35" s="347" t="s">
        <v>44</v>
      </c>
      <c r="H35" s="348"/>
      <c r="I35" s="29" t="e">
        <f>SUM(AK2:AK30)</f>
        <v>#N/A</v>
      </c>
      <c r="J35" s="347" t="s">
        <v>41</v>
      </c>
      <c r="K35" s="348"/>
      <c r="L35" s="29" t="e">
        <f>SUM(AL2:AL30)</f>
        <v>#N/A</v>
      </c>
      <c r="M35" s="347" t="s">
        <v>45</v>
      </c>
      <c r="N35" s="348"/>
      <c r="O35" s="29" t="e">
        <f>SUM(AM2:AM30)</f>
        <v>#N/A</v>
      </c>
      <c r="P35" s="347" t="s">
        <v>46</v>
      </c>
      <c r="Q35" s="348"/>
      <c r="R35" s="29">
        <f>SUM(AN2:AN30)</f>
        <v>0</v>
      </c>
      <c r="S35" s="86"/>
      <c r="T35" s="30" t="e">
        <f t="shared" ref="T35:T43" si="3">SUM(F35:R35)</f>
        <v>#N/A</v>
      </c>
    </row>
    <row r="36" spans="1:35" ht="15.75" hidden="1" customHeight="1" thickBot="1" x14ac:dyDescent="0.4">
      <c r="A36" s="110" t="s">
        <v>11</v>
      </c>
      <c r="B36" s="73"/>
      <c r="C36" s="26"/>
      <c r="D36" s="347"/>
      <c r="E36" s="348"/>
      <c r="F36" s="31">
        <f>SUM(AO2:AO30)</f>
        <v>0</v>
      </c>
      <c r="G36" s="347"/>
      <c r="H36" s="348"/>
      <c r="I36" s="27" t="e">
        <f>SUM(AP2:AP30)</f>
        <v>#N/A</v>
      </c>
      <c r="J36" s="347"/>
      <c r="K36" s="348"/>
      <c r="L36" s="27" t="e">
        <f>SUM(AQ2:AQ30)</f>
        <v>#N/A</v>
      </c>
      <c r="M36" s="347"/>
      <c r="N36" s="348"/>
      <c r="O36" s="27" t="e">
        <f>SUM(AR2:AR30)</f>
        <v>#N/A</v>
      </c>
      <c r="P36" s="347"/>
      <c r="Q36" s="348"/>
      <c r="R36" s="27">
        <f>SUM(AS2:AS30)</f>
        <v>0</v>
      </c>
      <c r="S36" s="87"/>
      <c r="T36" s="32" t="e">
        <f t="shared" si="3"/>
        <v>#N/A</v>
      </c>
    </row>
    <row r="37" spans="1:35" ht="15.75" hidden="1" customHeight="1" thickBot="1" x14ac:dyDescent="0.4">
      <c r="A37" s="110" t="s">
        <v>13</v>
      </c>
      <c r="B37" s="73"/>
      <c r="C37" s="26"/>
      <c r="D37" s="347"/>
      <c r="E37" s="348"/>
      <c r="F37" s="33">
        <f>SUM(AT2:AT30)</f>
        <v>29</v>
      </c>
      <c r="G37" s="347"/>
      <c r="H37" s="348"/>
      <c r="I37" s="34" t="e">
        <f>SUM(AU2:AU30)</f>
        <v>#N/A</v>
      </c>
      <c r="J37" s="347"/>
      <c r="K37" s="348"/>
      <c r="L37" s="34" t="e">
        <f>SUM(AV2:AV30)</f>
        <v>#N/A</v>
      </c>
      <c r="M37" s="347"/>
      <c r="N37" s="348"/>
      <c r="O37" s="34" t="e">
        <f>SUM(AW2:AW30)</f>
        <v>#N/A</v>
      </c>
      <c r="P37" s="347"/>
      <c r="Q37" s="348"/>
      <c r="R37" s="34">
        <f>SUM(AX2:AX30)</f>
        <v>29</v>
      </c>
      <c r="S37" s="103"/>
      <c r="T37" s="35" t="e">
        <f t="shared" si="3"/>
        <v>#N/A</v>
      </c>
    </row>
    <row r="38" spans="1:35" ht="15" customHeight="1" x14ac:dyDescent="0.35">
      <c r="B38" s="112"/>
      <c r="C38" s="110" t="s">
        <v>23</v>
      </c>
      <c r="D38" s="347"/>
      <c r="E38" s="348"/>
      <c r="F38" s="28">
        <v>0</v>
      </c>
      <c r="G38" s="347"/>
      <c r="H38" s="348"/>
      <c r="I38" s="29">
        <v>0</v>
      </c>
      <c r="J38" s="347"/>
      <c r="K38" s="348"/>
      <c r="L38" s="29">
        <v>7</v>
      </c>
      <c r="M38" s="347"/>
      <c r="N38" s="348"/>
      <c r="O38" s="29">
        <v>0</v>
      </c>
      <c r="P38" s="347"/>
      <c r="Q38" s="348"/>
      <c r="R38" s="86">
        <v>0</v>
      </c>
      <c r="S38" s="347" t="s">
        <v>48</v>
      </c>
      <c r="T38" s="100">
        <f t="shared" si="3"/>
        <v>7</v>
      </c>
    </row>
    <row r="39" spans="1:35" x14ac:dyDescent="0.35">
      <c r="B39" s="112"/>
      <c r="C39" s="110" t="s">
        <v>24</v>
      </c>
      <c r="D39" s="347"/>
      <c r="E39" s="348"/>
      <c r="F39" s="31">
        <v>0</v>
      </c>
      <c r="G39" s="347"/>
      <c r="H39" s="348"/>
      <c r="I39" s="27">
        <v>0</v>
      </c>
      <c r="J39" s="347"/>
      <c r="K39" s="348"/>
      <c r="L39" s="27">
        <v>0</v>
      </c>
      <c r="M39" s="347"/>
      <c r="N39" s="348"/>
      <c r="O39" s="27">
        <v>0</v>
      </c>
      <c r="P39" s="347"/>
      <c r="Q39" s="348"/>
      <c r="R39" s="87">
        <v>0</v>
      </c>
      <c r="S39" s="347"/>
      <c r="T39" s="101">
        <f t="shared" si="3"/>
        <v>0</v>
      </c>
    </row>
    <row r="40" spans="1:35" ht="15" thickBot="1" x14ac:dyDescent="0.4">
      <c r="B40" s="112"/>
      <c r="C40" s="110" t="s">
        <v>25</v>
      </c>
      <c r="D40" s="347"/>
      <c r="E40" s="348"/>
      <c r="F40" s="33">
        <v>0</v>
      </c>
      <c r="G40" s="347"/>
      <c r="H40" s="348"/>
      <c r="I40" s="34">
        <v>0</v>
      </c>
      <c r="J40" s="347"/>
      <c r="K40" s="348"/>
      <c r="L40" s="34">
        <v>0</v>
      </c>
      <c r="M40" s="347"/>
      <c r="N40" s="348"/>
      <c r="O40" s="34">
        <v>0</v>
      </c>
      <c r="P40" s="347"/>
      <c r="Q40" s="348"/>
      <c r="R40" s="88">
        <v>0</v>
      </c>
      <c r="S40" s="347"/>
      <c r="T40" s="102">
        <f t="shared" si="3"/>
        <v>0</v>
      </c>
    </row>
    <row r="41" spans="1:35" x14ac:dyDescent="0.35">
      <c r="B41" s="68"/>
      <c r="C41" s="111" t="s">
        <v>26</v>
      </c>
      <c r="D41" s="347"/>
      <c r="E41" s="348"/>
      <c r="F41" s="83">
        <f>SUM(F35+F38)</f>
        <v>0</v>
      </c>
      <c r="G41" s="347"/>
      <c r="H41" s="348"/>
      <c r="I41" s="51" t="e">
        <f>SUM(I35+I38)</f>
        <v>#N/A</v>
      </c>
      <c r="J41" s="347"/>
      <c r="K41" s="348"/>
      <c r="L41" s="51" t="e">
        <f t="shared" ref="L41:R41" si="4">SUM(L35+L38)</f>
        <v>#N/A</v>
      </c>
      <c r="M41" s="347"/>
      <c r="N41" s="348"/>
      <c r="O41" s="51" t="e">
        <f t="shared" si="4"/>
        <v>#N/A</v>
      </c>
      <c r="P41" s="347"/>
      <c r="Q41" s="348"/>
      <c r="R41" s="89">
        <f t="shared" si="4"/>
        <v>0</v>
      </c>
      <c r="S41" s="347"/>
      <c r="T41" s="118" t="e">
        <f t="shared" si="3"/>
        <v>#N/A</v>
      </c>
    </row>
    <row r="42" spans="1:35" x14ac:dyDescent="0.35">
      <c r="B42" s="68"/>
      <c r="C42" s="111" t="s">
        <v>27</v>
      </c>
      <c r="D42" s="347"/>
      <c r="E42" s="348"/>
      <c r="F42" s="54">
        <f>SUM(F36+F39)</f>
        <v>0</v>
      </c>
      <c r="G42" s="347"/>
      <c r="H42" s="348"/>
      <c r="I42" s="52" t="e">
        <f>SUM(I36+I39)</f>
        <v>#N/A</v>
      </c>
      <c r="J42" s="347"/>
      <c r="K42" s="348"/>
      <c r="L42" s="52" t="e">
        <f>SUM(L36+L39)</f>
        <v>#N/A</v>
      </c>
      <c r="M42" s="347"/>
      <c r="N42" s="348"/>
      <c r="O42" s="52" t="e">
        <f>SUM(O36+O39)</f>
        <v>#N/A</v>
      </c>
      <c r="P42" s="347"/>
      <c r="Q42" s="348"/>
      <c r="R42" s="90">
        <f>SUM(R36+R39)</f>
        <v>0</v>
      </c>
      <c r="S42" s="347"/>
      <c r="T42" s="119" t="e">
        <f t="shared" si="3"/>
        <v>#N/A</v>
      </c>
    </row>
    <row r="43" spans="1:35" ht="15" thickBot="1" x14ac:dyDescent="0.4">
      <c r="B43" s="68"/>
      <c r="C43" s="111" t="s">
        <v>28</v>
      </c>
      <c r="D43" s="347"/>
      <c r="E43" s="348"/>
      <c r="F43" s="55">
        <f>SUM(F37+F40)</f>
        <v>29</v>
      </c>
      <c r="G43" s="347"/>
      <c r="H43" s="348"/>
      <c r="I43" s="53" t="e">
        <f>SUM(I37+I40)</f>
        <v>#N/A</v>
      </c>
      <c r="J43" s="347"/>
      <c r="K43" s="348"/>
      <c r="L43" s="53" t="e">
        <f>SUM(L37+L40)</f>
        <v>#N/A</v>
      </c>
      <c r="M43" s="347"/>
      <c r="N43" s="348"/>
      <c r="O43" s="53" t="e">
        <f>SUM(O37+O40)</f>
        <v>#N/A</v>
      </c>
      <c r="P43" s="347"/>
      <c r="Q43" s="348"/>
      <c r="R43" s="91">
        <f>SUM(R37+R40)</f>
        <v>29</v>
      </c>
      <c r="S43" s="347"/>
      <c r="T43" s="120" t="e">
        <f t="shared" si="3"/>
        <v>#N/A</v>
      </c>
    </row>
    <row r="44" spans="1:35" x14ac:dyDescent="0.35">
      <c r="B44" s="116"/>
    </row>
    <row r="45" spans="1:35" s="93" customFormat="1" ht="15.75" customHeight="1" x14ac:dyDescent="0.35">
      <c r="A45" s="96"/>
      <c r="B45" s="96"/>
      <c r="D45" s="338" t="s">
        <v>10</v>
      </c>
      <c r="E45" s="339"/>
      <c r="F45" s="104">
        <f>SUM(AA2:AA30)+(F38*2.65+F39*1.05+F40*1.15)</f>
        <v>0</v>
      </c>
      <c r="G45" s="338" t="s">
        <v>10</v>
      </c>
      <c r="H45" s="339"/>
      <c r="I45" s="104">
        <v>16.55</v>
      </c>
      <c r="J45" s="338" t="s">
        <v>10</v>
      </c>
      <c r="K45" s="339"/>
      <c r="L45" s="104" t="e">
        <f>SUM(AC2:AC30)+(L38*2.65+L39*1.05+L40*1.15)</f>
        <v>#N/A</v>
      </c>
      <c r="M45" s="338" t="s">
        <v>10</v>
      </c>
      <c r="N45" s="339"/>
      <c r="O45" s="104" t="e">
        <f>SUM(AD2:AD30)+(O38*2.65+O39*1.05+O40*1.15)</f>
        <v>#N/A</v>
      </c>
      <c r="P45" s="338" t="s">
        <v>10</v>
      </c>
      <c r="Q45" s="339"/>
      <c r="R45" s="104">
        <f>SUM(AE2:AE30)+(R38*2.65+R39*1.05+R40*1.15)</f>
        <v>0</v>
      </c>
      <c r="S45" s="333" t="s">
        <v>48</v>
      </c>
      <c r="T45" s="104">
        <v>0</v>
      </c>
      <c r="V45" s="92"/>
      <c r="W45" s="92"/>
    </row>
    <row r="46" spans="1:35" s="93" customFormat="1" ht="15.5" x14ac:dyDescent="0.35">
      <c r="A46" s="97"/>
      <c r="B46" s="97"/>
      <c r="D46" s="340" t="s">
        <v>14</v>
      </c>
      <c r="E46" s="341"/>
      <c r="F46" s="105">
        <f>F45-F47</f>
        <v>0</v>
      </c>
      <c r="G46" s="340" t="s">
        <v>14</v>
      </c>
      <c r="H46" s="341"/>
      <c r="I46" s="105">
        <f>I45-I47</f>
        <v>1.6549999999999994</v>
      </c>
      <c r="J46" s="340" t="s">
        <v>14</v>
      </c>
      <c r="K46" s="341"/>
      <c r="L46" s="105" t="e">
        <f>L45-L47</f>
        <v>#N/A</v>
      </c>
      <c r="M46" s="340" t="s">
        <v>14</v>
      </c>
      <c r="N46" s="341"/>
      <c r="O46" s="105" t="e">
        <f>O45-O47</f>
        <v>#N/A</v>
      </c>
      <c r="P46" s="340" t="s">
        <v>14</v>
      </c>
      <c r="Q46" s="341"/>
      <c r="R46" s="105">
        <f>R45-R47</f>
        <v>0</v>
      </c>
      <c r="S46" s="333"/>
      <c r="T46" s="105">
        <v>0</v>
      </c>
      <c r="V46" s="92"/>
      <c r="W46" s="92"/>
    </row>
    <row r="47" spans="1:35" s="93" customFormat="1" ht="15.5" x14ac:dyDescent="0.35">
      <c r="A47" s="98"/>
      <c r="B47" s="98"/>
      <c r="D47" s="334" t="s">
        <v>12</v>
      </c>
      <c r="E47" s="335"/>
      <c r="F47" s="106">
        <f>F45-F45*10/100</f>
        <v>0</v>
      </c>
      <c r="G47" s="334" t="s">
        <v>12</v>
      </c>
      <c r="H47" s="335"/>
      <c r="I47" s="106">
        <f>I45-I45*10/100</f>
        <v>14.895000000000001</v>
      </c>
      <c r="J47" s="334" t="s">
        <v>12</v>
      </c>
      <c r="K47" s="335"/>
      <c r="L47" s="106" t="e">
        <f>L45-L45*10/100</f>
        <v>#N/A</v>
      </c>
      <c r="M47" s="334" t="s">
        <v>12</v>
      </c>
      <c r="N47" s="335"/>
      <c r="O47" s="106" t="e">
        <f>O45-O45*10/100</f>
        <v>#N/A</v>
      </c>
      <c r="P47" s="334" t="s">
        <v>12</v>
      </c>
      <c r="Q47" s="335"/>
      <c r="R47" s="106">
        <f>R45-R45*10/100</f>
        <v>0</v>
      </c>
      <c r="S47" s="333"/>
      <c r="T47" s="106">
        <v>0</v>
      </c>
      <c r="V47" s="92"/>
      <c r="W47" s="92"/>
    </row>
    <row r="48" spans="1:35" s="93" customFormat="1" ht="15.5" x14ac:dyDescent="0.35">
      <c r="A48" s="92"/>
      <c r="B48" s="92"/>
      <c r="D48" s="336" t="s">
        <v>29</v>
      </c>
      <c r="E48" s="337"/>
      <c r="F48" s="117">
        <f>(F38*2.65+F39*1.05+F40*1.15)</f>
        <v>0</v>
      </c>
      <c r="G48" s="336" t="s">
        <v>29</v>
      </c>
      <c r="H48" s="337"/>
      <c r="I48" s="117">
        <f>(I38*2.65+I39*1.05+I40*1.15)</f>
        <v>0</v>
      </c>
      <c r="J48" s="336" t="s">
        <v>29</v>
      </c>
      <c r="K48" s="337"/>
      <c r="L48" s="117">
        <f t="shared" ref="L48:R48" si="5">(L38*2.65+L39*1.05+L40*1.15)</f>
        <v>18.55</v>
      </c>
      <c r="M48" s="336" t="s">
        <v>29</v>
      </c>
      <c r="N48" s="337"/>
      <c r="O48" s="117">
        <f t="shared" si="5"/>
        <v>0</v>
      </c>
      <c r="P48" s="336" t="s">
        <v>29</v>
      </c>
      <c r="Q48" s="337"/>
      <c r="R48" s="117">
        <f t="shared" si="5"/>
        <v>0</v>
      </c>
      <c r="S48" s="333"/>
      <c r="T48" s="99">
        <v>0</v>
      </c>
      <c r="V48" s="92"/>
      <c r="W48" s="92"/>
    </row>
    <row r="49" spans="1:23" s="95" customFormat="1" ht="23.5" x14ac:dyDescent="0.55000000000000004">
      <c r="A49" s="94"/>
      <c r="B49" s="94"/>
      <c r="D49" s="342"/>
      <c r="E49" s="343"/>
      <c r="F49" s="122" t="e">
        <f>+T49-F47</f>
        <v>#N/A</v>
      </c>
      <c r="G49" s="342"/>
      <c r="H49" s="343"/>
      <c r="I49" s="122" t="e">
        <f>+F49-I45</f>
        <v>#N/A</v>
      </c>
      <c r="J49" s="342"/>
      <c r="K49" s="343"/>
      <c r="L49" s="122" t="e">
        <f>+I49-L47</f>
        <v>#N/A</v>
      </c>
      <c r="M49" s="342"/>
      <c r="N49" s="343"/>
      <c r="O49" s="122" t="e">
        <f>+L49-O47</f>
        <v>#N/A</v>
      </c>
      <c r="P49" s="342"/>
      <c r="Q49" s="343"/>
      <c r="R49" s="122" t="e">
        <f>+O49-R47</f>
        <v>#N/A</v>
      </c>
      <c r="S49" s="333"/>
      <c r="T49" s="121" t="e">
        <f>GEN!A35+6.95</f>
        <v>#N/A</v>
      </c>
      <c r="V49" s="94"/>
      <c r="W49" s="94"/>
    </row>
    <row r="50" spans="1:23" x14ac:dyDescent="0.35">
      <c r="A50" s="8"/>
      <c r="B50" s="8"/>
    </row>
    <row r="51" spans="1:23" x14ac:dyDescent="0.35">
      <c r="A51" s="8"/>
      <c r="B51" s="8"/>
    </row>
  </sheetData>
  <sheetProtection sort="0" autoFilter="0"/>
  <protectedRanges>
    <protectedRange password="C724" sqref="F45:F49 I45:I49 G45:G48 G49:H49 L45:L49 J45:J48 J49:K49 O45:O49 M45:M48 M49:N49 R45:R49 P45:P48 P49:Q49 D45:D48 D49:E49 T45:T49" name="Plage1"/>
  </protectedRanges>
  <dataConsolidate function="countNums"/>
  <mergeCells count="52">
    <mergeCell ref="A33:B33"/>
    <mergeCell ref="A32:B32"/>
    <mergeCell ref="G32:H32"/>
    <mergeCell ref="G33:H33"/>
    <mergeCell ref="J33:K33"/>
    <mergeCell ref="J32:K32"/>
    <mergeCell ref="M48:N48"/>
    <mergeCell ref="P48:Q48"/>
    <mergeCell ref="D45:E45"/>
    <mergeCell ref="D46:E46"/>
    <mergeCell ref="D47:E47"/>
    <mergeCell ref="D48:E48"/>
    <mergeCell ref="P32:Q32"/>
    <mergeCell ref="P33:Q33"/>
    <mergeCell ref="D32:E32"/>
    <mergeCell ref="D33:E33"/>
    <mergeCell ref="J47:K47"/>
    <mergeCell ref="M47:N47"/>
    <mergeCell ref="P47:Q47"/>
    <mergeCell ref="M33:N33"/>
    <mergeCell ref="D49:E49"/>
    <mergeCell ref="AT1:AX1"/>
    <mergeCell ref="D35:E43"/>
    <mergeCell ref="M35:N43"/>
    <mergeCell ref="P35:Q43"/>
    <mergeCell ref="AJ1:AN1"/>
    <mergeCell ref="AO1:AS1"/>
    <mergeCell ref="D1:D30"/>
    <mergeCell ref="P1:P30"/>
    <mergeCell ref="M1:M30"/>
    <mergeCell ref="J1:J30"/>
    <mergeCell ref="G1:G30"/>
    <mergeCell ref="S38:S43"/>
    <mergeCell ref="G35:H43"/>
    <mergeCell ref="J35:K43"/>
    <mergeCell ref="M32:N32"/>
    <mergeCell ref="S45:S49"/>
    <mergeCell ref="G47:H47"/>
    <mergeCell ref="G48:H48"/>
    <mergeCell ref="J45:K45"/>
    <mergeCell ref="P45:Q45"/>
    <mergeCell ref="J46:K46"/>
    <mergeCell ref="M46:N46"/>
    <mergeCell ref="P46:Q46"/>
    <mergeCell ref="G45:H45"/>
    <mergeCell ref="G46:H46"/>
    <mergeCell ref="J49:K49"/>
    <mergeCell ref="M49:N49"/>
    <mergeCell ref="P49:Q49"/>
    <mergeCell ref="G49:H49"/>
    <mergeCell ref="M45:N45"/>
    <mergeCell ref="J48:K48"/>
  </mergeCells>
  <conditionalFormatting sqref="T35:T43">
    <cfRule type="iconSet" priority="63">
      <iconSet iconSet="3TrafficLights2">
        <cfvo type="percent" val="0"/>
        <cfvo type="percent" val="33"/>
        <cfvo type="percent" val="67"/>
      </iconSet>
    </cfRule>
  </conditionalFormatting>
  <conditionalFormatting sqref="T2:T30">
    <cfRule type="containsText" dxfId="52" priority="59" operator="containsText" text="croissant">
      <formula>NOT(ISERROR(SEARCH("croissant",T2)))</formula>
    </cfRule>
    <cfRule type="containsText" dxfId="51" priority="60" operator="containsText" text="chocolat">
      <formula>NOT(ISERROR(SEARCH("chocolat",T2)))</formula>
    </cfRule>
  </conditionalFormatting>
  <conditionalFormatting sqref="I2:I30 F2:F30 L2:L30 O2:O30 R2:S30">
    <cfRule type="notContainsText" dxfId="50" priority="57" operator="notContains" text="n/p">
      <formula>ISERROR(SEARCH("n/p",F2))</formula>
    </cfRule>
    <cfRule type="containsText" dxfId="49" priority="58" operator="containsText" text="n/p">
      <formula>NOT(ISERROR(SEARCH("n/p",F2)))</formula>
    </cfRule>
  </conditionalFormatting>
  <conditionalFormatting sqref="A2:B30">
    <cfRule type="expression" dxfId="48" priority="48">
      <formula>C2="n/p"</formula>
    </cfRule>
    <cfRule type="expression" dxfId="47" priority="49">
      <formula>C2="p"</formula>
    </cfRule>
  </conditionalFormatting>
  <conditionalFormatting sqref="E2:E30">
    <cfRule type="expression" dxfId="46" priority="43">
      <formula>F2="n/p"</formula>
    </cfRule>
    <cfRule type="expression" dxfId="45" priority="44">
      <formula>F2="p"</formula>
    </cfRule>
  </conditionalFormatting>
  <conditionalFormatting sqref="H2:H30">
    <cfRule type="expression" dxfId="44" priority="31">
      <formula>I2="n/p"</formula>
    </cfRule>
    <cfRule type="expression" dxfId="43" priority="32">
      <formula>I2="p"</formula>
    </cfRule>
  </conditionalFormatting>
  <conditionalFormatting sqref="K2:K30">
    <cfRule type="expression" dxfId="42" priority="29">
      <formula>L2="n/p"</formula>
    </cfRule>
    <cfRule type="expression" dxfId="41" priority="30">
      <formula>L2="p"</formula>
    </cfRule>
  </conditionalFormatting>
  <conditionalFormatting sqref="N2:N30">
    <cfRule type="expression" dxfId="40" priority="27">
      <formula>O2="n/p"</formula>
    </cfRule>
    <cfRule type="expression" dxfId="39" priority="28">
      <formula>O2="p"</formula>
    </cfRule>
  </conditionalFormatting>
  <conditionalFormatting sqref="Q2:Q30">
    <cfRule type="expression" dxfId="38" priority="25">
      <formula>R2="n/p"</formula>
    </cfRule>
    <cfRule type="expression" dxfId="37" priority="26">
      <formula>R2="p"</formula>
    </cfRule>
  </conditionalFormatting>
  <conditionalFormatting sqref="I2:I30 F2:F30 L2:L30 O2:O30 R2:S30">
    <cfRule type="containsText" dxfId="36" priority="21" operator="containsText" text="n/c">
      <formula>NOT(ISERROR(SEARCH("n/c",F2)))</formula>
    </cfRule>
  </conditionalFormatting>
  <conditionalFormatting sqref="B2:B30">
    <cfRule type="iconSet" priority="20">
      <iconSet iconSet="5Quarters">
        <cfvo type="percent" val="0"/>
        <cfvo type="num" val="0.5" gte="0"/>
        <cfvo type="num" val="1" gte="0"/>
        <cfvo type="num" val="2" gte="0"/>
        <cfvo type="num" val="4" gte="0"/>
      </iconSet>
    </cfRule>
  </conditionalFormatting>
  <conditionalFormatting sqref="S33">
    <cfRule type="containsText" dxfId="35" priority="4" operator="containsText" text="croissant">
      <formula>NOT(ISERROR(SEARCH("croissant",S33)))</formula>
    </cfRule>
    <cfRule type="containsText" dxfId="34" priority="5" operator="containsText" text="chocolat">
      <formula>NOT(ISERROR(SEARCH("chocolat",S33)))</formula>
    </cfRule>
  </conditionalFormatting>
  <conditionalFormatting sqref="S32">
    <cfRule type="containsText" dxfId="33" priority="6" operator="containsText" text="croissant">
      <formula>NOT(ISERROR(SEARCH("croissant",S32)))</formula>
    </cfRule>
    <cfRule type="containsText" dxfId="32" priority="7" operator="containsText" text="chocolat">
      <formula>NOT(ISERROR(SEARCH("chocolat",S32)))</formula>
    </cfRule>
  </conditionalFormatting>
  <conditionalFormatting sqref="A32">
    <cfRule type="expression" dxfId="31" priority="72">
      <formula>#REF!="n/p"</formula>
    </cfRule>
    <cfRule type="expression" dxfId="30" priority="73">
      <formula>#REF!="p"</formula>
    </cfRule>
  </conditionalFormatting>
  <conditionalFormatting sqref="C23:C30">
    <cfRule type="notContainsText" dxfId="29" priority="2" operator="notContains" text="n/p">
      <formula>ISERROR(SEARCH("n/p",C23))</formula>
    </cfRule>
  </conditionalFormatting>
  <conditionalFormatting sqref="C23:C30">
    <cfRule type="containsText" dxfId="28" priority="1" operator="containsText" text="n/c">
      <formula>NOT(ISERROR(SEARCH("n/c",C23)))</formula>
    </cfRule>
  </conditionalFormatting>
  <dataValidations count="3">
    <dataValidation type="list" allowBlank="1" showInputMessage="1" showErrorMessage="1" sqref="AY2:AY4 T2:T31 S32:S33">
      <formula1>PATISSERIE</formula1>
    </dataValidation>
    <dataValidation type="list" allowBlank="1" showInputMessage="1" showErrorMessage="1" sqref="L2:L30 I2:I30 F2:F30 R2:S30 O2:O30 C2:C31">
      <formula1>INVENTAIRE</formula1>
    </dataValidation>
    <dataValidation type="list" allowBlank="1" showInputMessage="1" showErrorMessage="1" sqref="F38:F40 L38:L40 O38:O40 I38:I40 R38:R40">
      <formula1>SUPPCONFISERIE</formula1>
    </dataValidation>
  </dataValidations>
  <pageMargins left="0.7" right="0.7" top="0.75" bottom="0.75" header="0.3" footer="0.3"/>
  <pageSetup paperSize="9" orientation="portrait" horizontalDpi="4294967293" r:id="rId1"/>
  <ignoredErrors>
    <ignoredError sqref="M2:M8 J2:J30 M9 M10:M30 L1:M1 I1:J1 I2 K1 N1:N30 O1:O17 K2:L12 E19:F21 I4 I32:I33 L32:L33 O32:O33 T33 K23:K30 T23:T30 I19:I22 E22:E30 B31 A2:B23 I6:I17 K14:L22 K13 F33 R32:R33 O19:O22 F32 A25:B30 B24" unlockedFormula="1"/>
  </ignoredErrors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9" id="{8504DA1A-CA74-4F85-8EC9-C3F5DCE66FE9}">
            <x14:iconSet custom="1">
              <x14:cfvo type="percent">
                <xm:f>0</xm:f>
              </x14:cfvo>
              <x14:cfvo type="num" gte="0">
                <xm:f>1</xm:f>
              </x14:cfvo>
              <x14:cfvo type="num">
                <xm:f>100</xm:f>
              </x14:cfvo>
              <x14:cfIcon iconSet="3TrafficLights1" iconId="0"/>
              <x14:cfIcon iconSet="3TrafficLights1" iconId="2"/>
              <x14:cfIcon iconSet="4TrafficLights" iconId="0"/>
            </x14:iconSet>
          </x14:cfRule>
          <xm:sqref>L35:L43 F35:F43 I35:I43 O35:O43 R35:T37 R38:R43 T38:T43</xm:sqref>
        </x14:conditionalFormatting>
        <x14:conditionalFormatting xmlns:xm="http://schemas.microsoft.com/office/excel/2006/main">
          <x14:cfRule type="containsText" priority="3" operator="containsText" text="n/p" id="{824DF18E-CB1D-4038-9F32-16D9776A691B}">
            <xm:f>NOT(ISERROR(SEARCH("n/p",GEN!A23)))</xm:f>
            <x14:dxf>
              <font>
                <b/>
                <i val="0"/>
                <color rgb="FFCC3300"/>
              </font>
              <fill>
                <patternFill patternType="lightVertical">
                  <fgColor theme="5" tint="0.59996337778862885"/>
                  <bgColor theme="5" tint="0.39994506668294322"/>
                </patternFill>
              </fill>
            </x14:dxf>
          </x14:cfRule>
          <xm:sqref>C23:C30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M30"/>
  <sheetViews>
    <sheetView showZeros="0" topLeftCell="C1" zoomScale="85" zoomScaleNormal="85" workbookViewId="0">
      <selection activeCell="G39" sqref="G39"/>
    </sheetView>
  </sheetViews>
  <sheetFormatPr baseColWidth="10" defaultColWidth="10.7265625" defaultRowHeight="14.5" x14ac:dyDescent="0.35"/>
  <cols>
    <col min="1" max="1" width="20" style="249" bestFit="1" customWidth="1"/>
    <col min="2" max="2" width="14.453125" style="249" bestFit="1" customWidth="1"/>
    <col min="3" max="3" width="13.54296875" style="249" bestFit="1" customWidth="1"/>
    <col min="4" max="5" width="15" style="249" bestFit="1" customWidth="1"/>
    <col min="6" max="6" width="12.26953125" style="249" bestFit="1" customWidth="1"/>
    <col min="7" max="7" width="13.1796875" style="249" bestFit="1" customWidth="1"/>
    <col min="8" max="8" width="16.81640625" style="249" bestFit="1" customWidth="1"/>
    <col min="9" max="9" width="14.54296875" style="249" bestFit="1" customWidth="1"/>
    <col min="10" max="10" width="14.81640625" style="249" bestFit="1" customWidth="1"/>
    <col min="11" max="11" width="10.7265625" style="249"/>
    <col min="12" max="12" width="10.7265625" style="263"/>
    <col min="13" max="16384" width="10.7265625" style="249"/>
  </cols>
  <sheetData>
    <row r="1" spans="1:13" ht="19.5" customHeight="1" x14ac:dyDescent="0.35">
      <c r="A1" s="265"/>
      <c r="B1" s="253" t="s">
        <v>2</v>
      </c>
      <c r="C1" s="254" t="s">
        <v>66</v>
      </c>
      <c r="D1" s="255" t="s">
        <v>65</v>
      </c>
      <c r="E1" s="256" t="s">
        <v>64</v>
      </c>
      <c r="F1" s="257" t="s">
        <v>60</v>
      </c>
      <c r="G1" s="258" t="s">
        <v>61</v>
      </c>
      <c r="H1" s="259" t="s">
        <v>62</v>
      </c>
      <c r="I1" s="260" t="s">
        <v>67</v>
      </c>
      <c r="J1" s="261" t="s">
        <v>63</v>
      </c>
      <c r="K1" s="264" t="s">
        <v>39</v>
      </c>
      <c r="L1" s="262" t="s">
        <v>3</v>
      </c>
      <c r="M1" s="266" t="s">
        <v>93</v>
      </c>
    </row>
    <row r="2" spans="1:13" x14ac:dyDescent="0.35">
      <c r="A2" s="267" t="s">
        <v>87</v>
      </c>
      <c r="B2" s="265">
        <f>COUNTIF(GEN!4:4,"PATES LORRAIN")</f>
        <v>0</v>
      </c>
      <c r="C2" s="265">
        <f>COUNTIF(GEN!4:4,"PATES  POULET")</f>
        <v>0</v>
      </c>
      <c r="D2" s="265">
        <f>COUNTIF(GEN!4:4,"PAIN CHOCOLAT")</f>
        <v>0</v>
      </c>
      <c r="E2" s="265">
        <f>COUNTIF(GEN!4:4,"ESCA CHOCOLAT")</f>
        <v>0</v>
      </c>
      <c r="F2" s="265">
        <f>COUNTIF(GEN!4:4,"CROI BEURRE")</f>
        <v>6</v>
      </c>
      <c r="G2" s="265">
        <f>COUNTIF(GEN!4:4,"CROI NUTELLA")</f>
        <v>0</v>
      </c>
      <c r="H2" s="265">
        <f>COUNTIF(GEN!4:4,"CROI FRAMBOISES")</f>
        <v>0</v>
      </c>
      <c r="I2" s="265">
        <f>COUNTIF(GEN!4:4,"CROI AMANDES")</f>
        <v>0</v>
      </c>
      <c r="J2" s="265">
        <f>COUNTIF(GEN!4:4,"CROI CHOCOLAT")</f>
        <v>0</v>
      </c>
      <c r="K2" s="265">
        <f>COUNTIF(GEN!4:4,"N/C")</f>
        <v>0</v>
      </c>
      <c r="L2" s="268">
        <f>COUNTIF(GEN!4:4,"N/P")/2</f>
        <v>3</v>
      </c>
      <c r="M2" s="268">
        <f>COUNTIF(GEN!4:4,"N/E")/2</f>
        <v>9</v>
      </c>
    </row>
    <row r="3" spans="1:13" x14ac:dyDescent="0.35">
      <c r="A3" s="267" t="s">
        <v>68</v>
      </c>
      <c r="B3" s="265">
        <f ca="1">COUNTIF(GEN!5:5,"PATES LORRAIN")</f>
        <v>0</v>
      </c>
      <c r="C3" s="265">
        <f ca="1">COUNTIF(GEN!5:5,"PATES  POULET")</f>
        <v>0</v>
      </c>
      <c r="D3" s="265">
        <f ca="1">COUNTIF(GEN!5:5,"PAIN CHOCOLAT")</f>
        <v>2</v>
      </c>
      <c r="E3" s="265">
        <f ca="1">COUNTIF(GEN!5:5,"ESCA CHOCOLAT")</f>
        <v>0</v>
      </c>
      <c r="F3" s="265">
        <f ca="1">COUNTIF(GEN!5:5,"CROI BEURRE")</f>
        <v>2</v>
      </c>
      <c r="G3" s="265">
        <f ca="1">COUNTIF(GEN!5:5,"CROI NUTELLA")</f>
        <v>0</v>
      </c>
      <c r="H3" s="265">
        <f ca="1">COUNTIF(GEN!5:5,"CROI FRAMBOISES")</f>
        <v>0</v>
      </c>
      <c r="I3" s="265">
        <f ca="1">COUNTIF(GEN!5:5,"CROI AMANDES")</f>
        <v>0</v>
      </c>
      <c r="J3" s="265">
        <f ca="1">COUNTIF(GEN!5:5,"CROI CHOCOLAT")</f>
        <v>0</v>
      </c>
      <c r="K3" s="265">
        <f ca="1">COUNTIF(GEN!5:5,"N/C")</f>
        <v>2</v>
      </c>
      <c r="L3" s="268">
        <f ca="1">COUNTIF(GEN!5:5,"N/P")/2</f>
        <v>3</v>
      </c>
      <c r="M3" s="268">
        <f ca="1">COUNTIF(GEN!5:5,"N/E")/2</f>
        <v>9</v>
      </c>
    </row>
    <row r="4" spans="1:13" x14ac:dyDescent="0.35">
      <c r="A4" s="267" t="s">
        <v>69</v>
      </c>
      <c r="B4" s="265">
        <f ca="1">COUNTIF(GEN!6:6,"PATES LORRAIN")</f>
        <v>0</v>
      </c>
      <c r="C4" s="265">
        <f ca="1">COUNTIF(GEN!6:6,"PATES  POULET")</f>
        <v>0</v>
      </c>
      <c r="D4" s="265">
        <f ca="1">COUNTIF(GEN!6:6,"PAIN CHOCOLAT")</f>
        <v>0</v>
      </c>
      <c r="E4" s="265">
        <f ca="1">COUNTIF(GEN!6:6,"ESCA CHOCOLAT")</f>
        <v>0</v>
      </c>
      <c r="F4" s="265">
        <f ca="1">COUNTIF(GEN!6:6,"CROI BEURRE")</f>
        <v>5</v>
      </c>
      <c r="G4" s="265">
        <f ca="1">COUNTIF(GEN!6:6,"CROI NUTELLA")</f>
        <v>0</v>
      </c>
      <c r="H4" s="265">
        <f ca="1">COUNTIF(GEN!6:6,"CROI FRAMBOISES")</f>
        <v>0</v>
      </c>
      <c r="I4" s="265">
        <f ca="1">COUNTIF(GEN!6:6,"CROI AMANDES")</f>
        <v>0</v>
      </c>
      <c r="J4" s="265">
        <f ca="1">COUNTIF(GEN!6:6,"CROI CHOCOLAT")</f>
        <v>0</v>
      </c>
      <c r="K4" s="265">
        <f ca="1">COUNTIF(GEN!6:6,"N/C")</f>
        <v>0</v>
      </c>
      <c r="L4" s="268">
        <f ca="1">COUNTIF(GEN!6:6,"N/P")/2</f>
        <v>4</v>
      </c>
      <c r="M4" s="268">
        <f ca="1">COUNTIF(GEN!6:6,"N/E")/2</f>
        <v>9</v>
      </c>
    </row>
    <row r="5" spans="1:13" x14ac:dyDescent="0.35">
      <c r="A5" s="267" t="s">
        <v>70</v>
      </c>
      <c r="B5" s="265">
        <f ca="1">COUNTIF(GEN!7:7,"PATES LORRAIN")</f>
        <v>0</v>
      </c>
      <c r="C5" s="265">
        <f ca="1">COUNTIF(GEN!7:7,"PATES  POULET")</f>
        <v>0</v>
      </c>
      <c r="D5" s="265">
        <f ca="1">COUNTIF(GEN!7:7,"PAIN CHOCOLAT")</f>
        <v>4</v>
      </c>
      <c r="E5" s="265">
        <f ca="1">COUNTIF(GEN!7:7,"ESCA CHOCOLAT")</f>
        <v>0</v>
      </c>
      <c r="F5" s="265">
        <f ca="1">COUNTIF(GEN!7:7,"CROI BEURRE")</f>
        <v>0</v>
      </c>
      <c r="G5" s="265">
        <f ca="1">COUNTIF(GEN!7:7,"CROI NUTELLA")</f>
        <v>1</v>
      </c>
      <c r="H5" s="265">
        <f ca="1">COUNTIF(GEN!7:7,"CROI FRAMBOISES")</f>
        <v>0</v>
      </c>
      <c r="I5" s="265">
        <f ca="1">COUNTIF(GEN!7:7,"CROI AMANDES")</f>
        <v>0</v>
      </c>
      <c r="J5" s="265">
        <f ca="1">COUNTIF(GEN!7:7,"CROI CHOCOLAT")</f>
        <v>0</v>
      </c>
      <c r="K5" s="265">
        <f ca="1">COUNTIF(GEN!7:7,"N/C")</f>
        <v>1</v>
      </c>
      <c r="L5" s="268">
        <f ca="1">COUNTIF(GEN!7:7,"N/P")/2</f>
        <v>3</v>
      </c>
      <c r="M5" s="268">
        <f ca="1">COUNTIF(GEN!7:7,"N/E")/2</f>
        <v>9</v>
      </c>
    </row>
    <row r="6" spans="1:13" x14ac:dyDescent="0.35">
      <c r="A6" s="267" t="s">
        <v>71</v>
      </c>
      <c r="B6" s="265">
        <f ca="1">COUNTIF(GEN!8:8,"PATES LORRAIN")</f>
        <v>5</v>
      </c>
      <c r="C6" s="265">
        <f ca="1">COUNTIF(GEN!8:8,"PATES  POULET")</f>
        <v>0</v>
      </c>
      <c r="D6" s="265">
        <f ca="1">COUNTIF(GEN!8:8,"PAIN CHOCOLAT")</f>
        <v>1</v>
      </c>
      <c r="E6" s="265">
        <f ca="1">COUNTIF(GEN!8:8,"ESCA CHOCOLAT")</f>
        <v>0</v>
      </c>
      <c r="F6" s="265">
        <f ca="1">COUNTIF(GEN!8:8,"CROI BEURRE")</f>
        <v>0</v>
      </c>
      <c r="G6" s="265">
        <f ca="1">COUNTIF(GEN!8:8,"CROI NUTELLA")</f>
        <v>0</v>
      </c>
      <c r="H6" s="265">
        <f ca="1">COUNTIF(GEN!8:8,"CROI FRAMBOISES")</f>
        <v>0</v>
      </c>
      <c r="I6" s="265">
        <f ca="1">COUNTIF(GEN!8:8,"CROI AMANDES")</f>
        <v>0</v>
      </c>
      <c r="J6" s="265">
        <f ca="1">COUNTIF(GEN!8:8,"CROI CHOCOLAT")</f>
        <v>0</v>
      </c>
      <c r="K6" s="265">
        <f ca="1">COUNTIF(GEN!8:8,"N/C")</f>
        <v>0</v>
      </c>
      <c r="L6" s="268">
        <f ca="1">COUNTIF(GEN!8:8,"N/P")/2</f>
        <v>3</v>
      </c>
      <c r="M6" s="268">
        <f ca="1">COUNTIF(GEN!8:8,"N/E")/2</f>
        <v>9</v>
      </c>
    </row>
    <row r="7" spans="1:13" x14ac:dyDescent="0.35">
      <c r="A7" s="267" t="s">
        <v>72</v>
      </c>
      <c r="B7" s="265">
        <f ca="1">COUNTIF(GEN!9:9,"PATES LORRAIN")</f>
        <v>0</v>
      </c>
      <c r="C7" s="265">
        <f ca="1">COUNTIF(GEN!9:9,"PATES  POULET")</f>
        <v>0</v>
      </c>
      <c r="D7" s="265">
        <f ca="1">COUNTIF(GEN!9:9,"PAIN CHOCOLAT")</f>
        <v>4</v>
      </c>
      <c r="E7" s="265">
        <f ca="1">COUNTIF(GEN!9:9,"ESCA CHOCOLAT")</f>
        <v>0</v>
      </c>
      <c r="F7" s="265">
        <f ca="1">COUNTIF(GEN!9:9,"CROI BEURRE")</f>
        <v>0</v>
      </c>
      <c r="G7" s="265">
        <f ca="1">COUNTIF(GEN!9:9,"CROI NUTELLA")</f>
        <v>3</v>
      </c>
      <c r="H7" s="265">
        <f ca="1">COUNTIF(GEN!9:9,"CROI FRAMBOISES")</f>
        <v>0</v>
      </c>
      <c r="I7" s="265">
        <f ca="1">COUNTIF(GEN!9:9,"CROI AMANDES")</f>
        <v>0</v>
      </c>
      <c r="J7" s="265">
        <f ca="1">COUNTIF(GEN!9:9,"CROI CHOCOLAT")</f>
        <v>0</v>
      </c>
      <c r="K7" s="265">
        <f ca="1">COUNTIF(GEN!9:9,"N/C")</f>
        <v>1</v>
      </c>
      <c r="L7" s="268">
        <f ca="1">COUNTIF(GEN!9:9,"N/P")/2</f>
        <v>1</v>
      </c>
      <c r="M7" s="268">
        <f ca="1">COUNTIF(GEN!9:9,"N/E")/2</f>
        <v>9</v>
      </c>
    </row>
    <row r="8" spans="1:13" x14ac:dyDescent="0.35">
      <c r="A8" s="267" t="s">
        <v>73</v>
      </c>
      <c r="B8" s="265">
        <f ca="1">COUNTIF(GEN!10:10,"PATES LORRAIN")</f>
        <v>1</v>
      </c>
      <c r="C8" s="265">
        <f ca="1">COUNTIF(GEN!10:10,"PATES  POULET")</f>
        <v>0</v>
      </c>
      <c r="D8" s="265">
        <f ca="1">COUNTIF(GEN!10:10,"PAIN CHOCOLAT")</f>
        <v>3</v>
      </c>
      <c r="E8" s="265">
        <f ca="1">COUNTIF(GEN!10:10,"ESCA CHOCOLAT")</f>
        <v>0</v>
      </c>
      <c r="F8" s="265">
        <f ca="1">COUNTIF(GEN!10:10,"CROI BEURRE")</f>
        <v>0</v>
      </c>
      <c r="G8" s="265">
        <f ca="1">COUNTIF(GEN!10:10,"CROI NUTELLA")</f>
        <v>3</v>
      </c>
      <c r="H8" s="265">
        <f ca="1">COUNTIF(GEN!10:10,"CROI FRAMBOISES")</f>
        <v>0</v>
      </c>
      <c r="I8" s="265">
        <f ca="1">COUNTIF(GEN!10:10,"CROI AMANDES")</f>
        <v>0</v>
      </c>
      <c r="J8" s="265">
        <f ca="1">COUNTIF(GEN!10:10,"CROI CHOCOLAT")</f>
        <v>0</v>
      </c>
      <c r="K8" s="265">
        <f ca="1">COUNTIF(GEN!10:10,"N/C")</f>
        <v>0</v>
      </c>
      <c r="L8" s="268">
        <f ca="1">COUNTIF(GEN!10:10,"N/P")/2</f>
        <v>2</v>
      </c>
      <c r="M8" s="268">
        <f ca="1">COUNTIF(GEN!10:10,"N/E")/2</f>
        <v>9</v>
      </c>
    </row>
    <row r="9" spans="1:13" x14ac:dyDescent="0.35">
      <c r="A9" s="267" t="s">
        <v>74</v>
      </c>
      <c r="B9" s="265">
        <f ca="1">COUNTIF(GEN!11:11,"PATES LORRAIN")</f>
        <v>0</v>
      </c>
      <c r="C9" s="265">
        <f ca="1">COUNTIF(GEN!11:11,"PATES  POULET")</f>
        <v>0</v>
      </c>
      <c r="D9" s="265">
        <f ca="1">COUNTIF(GEN!11:11,"PAIN CHOCOLAT")</f>
        <v>0</v>
      </c>
      <c r="E9" s="265">
        <f ca="1">COUNTIF(GEN!11:11,"ESCA CHOCOLAT")</f>
        <v>1</v>
      </c>
      <c r="F9" s="265">
        <f ca="1">COUNTIF(GEN!11:11,"CROI BEURRE")</f>
        <v>0</v>
      </c>
      <c r="G9" s="265">
        <f ca="1">COUNTIF(GEN!11:11,"CROI NUTELLA")</f>
        <v>2</v>
      </c>
      <c r="H9" s="265">
        <f ca="1">COUNTIF(GEN!11:11,"CROI FRAMBOISES")</f>
        <v>0</v>
      </c>
      <c r="I9" s="265">
        <f ca="1">COUNTIF(GEN!11:11,"CROI AMANDES")</f>
        <v>0</v>
      </c>
      <c r="J9" s="265">
        <f ca="1">COUNTIF(GEN!11:11,"CROI CHOCOLAT")</f>
        <v>0</v>
      </c>
      <c r="K9" s="265">
        <f ca="1">COUNTIF(GEN!11:11,"N/C")</f>
        <v>1</v>
      </c>
      <c r="L9" s="268">
        <f ca="1">COUNTIF(GEN!11:11,"N/P")/2</f>
        <v>5</v>
      </c>
      <c r="M9" s="268">
        <f ca="1">COUNTIF(GEN!11:11,"N/E")/2</f>
        <v>9</v>
      </c>
    </row>
    <row r="10" spans="1:13" x14ac:dyDescent="0.35">
      <c r="A10" s="267" t="s">
        <v>75</v>
      </c>
      <c r="B10" s="265">
        <f ca="1">COUNTIF(GEN!12:12,"PATES LORRAIN")</f>
        <v>0</v>
      </c>
      <c r="C10" s="265">
        <f ca="1">COUNTIF(GEN!12:12,"PATES  POULET")</f>
        <v>0</v>
      </c>
      <c r="D10" s="265">
        <f ca="1">COUNTIF(GEN!12:12,"PAIN CHOCOLAT")</f>
        <v>4</v>
      </c>
      <c r="E10" s="265">
        <f ca="1">COUNTIF(GEN!12:12,"ESCA CHOCOLAT")</f>
        <v>0</v>
      </c>
      <c r="F10" s="265">
        <f ca="1">COUNTIF(GEN!12:12,"CROI BEURRE")</f>
        <v>0</v>
      </c>
      <c r="G10" s="265">
        <f ca="1">COUNTIF(GEN!12:12,"CROI NUTELLA")</f>
        <v>3</v>
      </c>
      <c r="H10" s="265">
        <f ca="1">COUNTIF(GEN!12:12,"CROI FRAMBOISES")</f>
        <v>0</v>
      </c>
      <c r="I10" s="265">
        <f ca="1">COUNTIF(GEN!12:12,"CROI AMANDES")</f>
        <v>0</v>
      </c>
      <c r="J10" s="265">
        <f ca="1">COUNTIF(GEN!12:12,"CROI CHOCOLAT")</f>
        <v>0</v>
      </c>
      <c r="K10" s="265">
        <f ca="1">COUNTIF(GEN!12:12,"N/C")</f>
        <v>0</v>
      </c>
      <c r="L10" s="268">
        <f ca="1">COUNTIF(GEN!12:12,"N/P")/2</f>
        <v>2</v>
      </c>
      <c r="M10" s="268">
        <f ca="1">COUNTIF(GEN!12:12,"N/E")/2</f>
        <v>9</v>
      </c>
    </row>
    <row r="11" spans="1:13" x14ac:dyDescent="0.35">
      <c r="A11" s="267" t="s">
        <v>76</v>
      </c>
      <c r="B11" s="265">
        <f ca="1">COUNTIF(GEN!13:13,"PATES LORRAIN")</f>
        <v>0</v>
      </c>
      <c r="C11" s="265">
        <f ca="1">COUNTIF(GEN!13:13,"PATES  POULET")</f>
        <v>0</v>
      </c>
      <c r="D11" s="265">
        <f ca="1">COUNTIF(GEN!13:13,"PAIN CHOCOLAT")</f>
        <v>3</v>
      </c>
      <c r="E11" s="265">
        <f ca="1">COUNTIF(GEN!13:13,"ESCA CHOCOLAT")</f>
        <v>0</v>
      </c>
      <c r="F11" s="265">
        <f ca="1">COUNTIF(GEN!13:13,"CROI BEURRE")</f>
        <v>0</v>
      </c>
      <c r="G11" s="265">
        <f ca="1">COUNTIF(GEN!13:13,"CROI NUTELLA")</f>
        <v>0</v>
      </c>
      <c r="H11" s="265">
        <f ca="1">COUNTIF(GEN!13:13,"CROI FRAMBOISES")</f>
        <v>0</v>
      </c>
      <c r="I11" s="265">
        <f ca="1">COUNTIF(GEN!13:13,"CROI AMANDES")</f>
        <v>2</v>
      </c>
      <c r="J11" s="265">
        <f ca="1">COUNTIF(GEN!13:13,"CROI CHOCOLAT")</f>
        <v>0</v>
      </c>
      <c r="K11" s="265">
        <f ca="1">COUNTIF(GEN!13:13,"N/C")</f>
        <v>2</v>
      </c>
      <c r="L11" s="268">
        <f ca="1">COUNTIF(GEN!13:13,"N/P")/2</f>
        <v>2</v>
      </c>
      <c r="M11" s="268">
        <f ca="1">COUNTIF(GEN!13:13,"N/E")/2</f>
        <v>9</v>
      </c>
    </row>
    <row r="12" spans="1:13" x14ac:dyDescent="0.35">
      <c r="A12" s="267" t="s">
        <v>77</v>
      </c>
      <c r="B12" s="265">
        <f ca="1">COUNTIF(GEN!14:14,"PATES LORRAIN")</f>
        <v>0</v>
      </c>
      <c r="C12" s="265">
        <f ca="1">COUNTIF(GEN!14:14,"PATES  POULET")</f>
        <v>0</v>
      </c>
      <c r="D12" s="265">
        <f ca="1">COUNTIF(GEN!14:14,"PAIN CHOCOLAT")</f>
        <v>4</v>
      </c>
      <c r="E12" s="265">
        <f ca="1">COUNTIF(GEN!14:14,"ESCA CHOCOLAT")</f>
        <v>0</v>
      </c>
      <c r="F12" s="265">
        <f ca="1">COUNTIF(GEN!14:14,"CROI BEURRE")</f>
        <v>0</v>
      </c>
      <c r="G12" s="265">
        <f ca="1">COUNTIF(GEN!14:14,"CROI NUTELLA")</f>
        <v>0</v>
      </c>
      <c r="H12" s="265">
        <f ca="1">COUNTIF(GEN!14:14,"CROI FRAMBOISES")</f>
        <v>0</v>
      </c>
      <c r="I12" s="265">
        <f ca="1">COUNTIF(GEN!14:14,"CROI AMANDES")</f>
        <v>0</v>
      </c>
      <c r="J12" s="265">
        <f ca="1">COUNTIF(GEN!14:14,"CROI CHOCOLAT")</f>
        <v>1</v>
      </c>
      <c r="K12" s="265">
        <f ca="1">COUNTIF(GEN!14:14,"N/C")</f>
        <v>0</v>
      </c>
      <c r="L12" s="268">
        <f ca="1">COUNTIF(GEN!14:14,"N/P")/2</f>
        <v>4</v>
      </c>
      <c r="M12" s="268">
        <f ca="1">COUNTIF(GEN!14:14,"N/E")/2</f>
        <v>9</v>
      </c>
    </row>
    <row r="13" spans="1:13" x14ac:dyDescent="0.35">
      <c r="A13" s="267" t="s">
        <v>78</v>
      </c>
      <c r="B13" s="265">
        <f ca="1">COUNTIF(GEN!15:15,"PATES LORRAIN")</f>
        <v>0</v>
      </c>
      <c r="C13" s="265">
        <f ca="1">COUNTIF(GEN!15:15,"PATES  POULET")</f>
        <v>0</v>
      </c>
      <c r="D13" s="265">
        <f ca="1">COUNTIF(GEN!15:15,"PAIN CHOCOLAT")</f>
        <v>1</v>
      </c>
      <c r="E13" s="265">
        <f ca="1">COUNTIF(GEN!15:15,"ESCA CHOCOLAT")</f>
        <v>0</v>
      </c>
      <c r="F13" s="265">
        <f ca="1">COUNTIF(GEN!15:15,"CROI BEURRE")</f>
        <v>3</v>
      </c>
      <c r="G13" s="265">
        <f ca="1">COUNTIF(GEN!15:15,"CROI NUTELLA")</f>
        <v>0</v>
      </c>
      <c r="H13" s="265">
        <f ca="1">COUNTIF(GEN!15:15,"CROI FRAMBOISES")</f>
        <v>0</v>
      </c>
      <c r="I13" s="265">
        <f ca="1">COUNTIF(GEN!15:15,"CROI AMANDES")</f>
        <v>0</v>
      </c>
      <c r="J13" s="265">
        <f ca="1">COUNTIF(GEN!15:15,"CROI CHOCOLAT")</f>
        <v>0</v>
      </c>
      <c r="K13" s="265">
        <f ca="1">COUNTIF(GEN!15:15,"N/C")</f>
        <v>1</v>
      </c>
      <c r="L13" s="268">
        <f ca="1">COUNTIF(GEN!15:15,"N/P")/2</f>
        <v>4</v>
      </c>
      <c r="M13" s="268">
        <f ca="1">COUNTIF(GEN!15:15,"N/E")/2</f>
        <v>9</v>
      </c>
    </row>
    <row r="14" spans="1:13" x14ac:dyDescent="0.35">
      <c r="A14" s="267" t="s">
        <v>79</v>
      </c>
      <c r="B14" s="265">
        <f ca="1">COUNTIF(GEN!16:16,"PATES LORRAIN")</f>
        <v>0</v>
      </c>
      <c r="C14" s="265">
        <f ca="1">COUNTIF(GEN!16:16,"PATES  POULET")</f>
        <v>0</v>
      </c>
      <c r="D14" s="265">
        <f ca="1">COUNTIF(GEN!16:16,"PAIN CHOCOLAT")</f>
        <v>0</v>
      </c>
      <c r="E14" s="265">
        <f ca="1">COUNTIF(GEN!16:16,"ESCA CHOCOLAT")</f>
        <v>0</v>
      </c>
      <c r="F14" s="265">
        <f ca="1">COUNTIF(GEN!16:16,"CROI BEURRE")</f>
        <v>4</v>
      </c>
      <c r="G14" s="265">
        <f ca="1">COUNTIF(GEN!16:16,"CROI NUTELLA")</f>
        <v>0</v>
      </c>
      <c r="H14" s="265">
        <f ca="1">COUNTIF(GEN!16:16,"CROI FRAMBOISES")</f>
        <v>0</v>
      </c>
      <c r="I14" s="265">
        <f ca="1">COUNTIF(GEN!16:16,"CROI AMANDES")</f>
        <v>0</v>
      </c>
      <c r="J14" s="265">
        <f ca="1">COUNTIF(GEN!16:16,"CROI CHOCOLAT")</f>
        <v>0</v>
      </c>
      <c r="K14" s="265">
        <f ca="1">COUNTIF(GEN!16:16,"N/C")</f>
        <v>1</v>
      </c>
      <c r="L14" s="268">
        <f ca="1">COUNTIF(GEN!16:16,"N/P")/2</f>
        <v>4</v>
      </c>
      <c r="M14" s="268">
        <f ca="1">COUNTIF(GEN!16:16,"N/E")/2</f>
        <v>9</v>
      </c>
    </row>
    <row r="15" spans="1:13" x14ac:dyDescent="0.35">
      <c r="A15" s="267" t="s">
        <v>88</v>
      </c>
      <c r="B15" s="265">
        <f ca="1">COUNTIF(GEN!17:17,"PATES LORRAIN")</f>
        <v>0</v>
      </c>
      <c r="C15" s="265">
        <f ca="1">COUNTIF(GEN!17:17,"PATES  POULET")</f>
        <v>0</v>
      </c>
      <c r="D15" s="265">
        <f ca="1">COUNTIF(GEN!17:17,"PAIN CHOCOLAT")</f>
        <v>2</v>
      </c>
      <c r="E15" s="265">
        <f ca="1">COUNTIF(GEN!17:17,"ESCA CHOCOLAT")</f>
        <v>0</v>
      </c>
      <c r="F15" s="265">
        <f ca="1">COUNTIF(GEN!17:17,"CROI BEURRE")</f>
        <v>4</v>
      </c>
      <c r="G15" s="265">
        <f ca="1">COUNTIF(GEN!17:17,"CROI NUTELLA")</f>
        <v>0</v>
      </c>
      <c r="H15" s="265">
        <f ca="1">COUNTIF(GEN!17:17,"CROI FRAMBOISES")</f>
        <v>0</v>
      </c>
      <c r="I15" s="265">
        <f ca="1">COUNTIF(GEN!17:17,"CROI AMANDES")</f>
        <v>0</v>
      </c>
      <c r="J15" s="265">
        <f ca="1">COUNTIF(GEN!17:17,"CROI CHOCOLAT")</f>
        <v>0</v>
      </c>
      <c r="K15" s="265">
        <f ca="1">COUNTIF(GEN!17:17,"N/C")</f>
        <v>0</v>
      </c>
      <c r="L15" s="268">
        <f ca="1">COUNTIF(GEN!17:17,"N/P")/2</f>
        <v>3</v>
      </c>
      <c r="M15" s="268">
        <f ca="1">COUNTIF(GEN!17:17,"N/E")/2</f>
        <v>9</v>
      </c>
    </row>
    <row r="16" spans="1:13" x14ac:dyDescent="0.35">
      <c r="A16" s="267" t="s">
        <v>81</v>
      </c>
      <c r="B16" s="265">
        <f ca="1">COUNTIF(GEN!18:18,"PATES LORRAIN")</f>
        <v>0</v>
      </c>
      <c r="C16" s="265">
        <f ca="1">COUNTIF(GEN!18:18,"PATES  POULET")</f>
        <v>0</v>
      </c>
      <c r="D16" s="265">
        <f ca="1">COUNTIF(GEN!18:18,"PAIN CHOCOLAT")</f>
        <v>0</v>
      </c>
      <c r="E16" s="265">
        <f ca="1">COUNTIF(GEN!18:18,"ESCA CHOCOLAT")</f>
        <v>0</v>
      </c>
      <c r="F16" s="265">
        <f ca="1">COUNTIF(GEN!18:18,"CROI BEURRE")</f>
        <v>1</v>
      </c>
      <c r="G16" s="265">
        <f ca="1">COUNTIF(GEN!18:18,"CROI NUTELLA")</f>
        <v>0</v>
      </c>
      <c r="H16" s="265">
        <f ca="1">COUNTIF(GEN!18:18,"CROI FRAMBOISES")</f>
        <v>0</v>
      </c>
      <c r="I16" s="265">
        <f ca="1">COUNTIF(GEN!18:18,"CROI AMANDES")</f>
        <v>1</v>
      </c>
      <c r="J16" s="265">
        <f ca="1">COUNTIF(GEN!18:18,"CROI CHOCOLAT")</f>
        <v>0</v>
      </c>
      <c r="K16" s="265">
        <f ca="1">COUNTIF(GEN!18:18,"N/C")</f>
        <v>1</v>
      </c>
      <c r="L16" s="268">
        <f ca="1">COUNTIF(GEN!18:18,"N/P")/2</f>
        <v>6</v>
      </c>
      <c r="M16" s="268">
        <f ca="1">COUNTIF(GEN!18:18,"N/E")/2</f>
        <v>9</v>
      </c>
    </row>
    <row r="17" spans="1:13" x14ac:dyDescent="0.35">
      <c r="A17" s="267" t="s">
        <v>82</v>
      </c>
      <c r="B17" s="265">
        <f ca="1">COUNTIF(GEN!19:19,"PATES LORRAIN")</f>
        <v>0</v>
      </c>
      <c r="C17" s="265">
        <f ca="1">COUNTIF(GEN!19:19,"PATES  POULET")</f>
        <v>0</v>
      </c>
      <c r="D17" s="265">
        <f ca="1">COUNTIF(GEN!19:19,"PAIN CHOCOLAT")</f>
        <v>1</v>
      </c>
      <c r="E17" s="265">
        <f ca="1">COUNTIF(GEN!19:19,"ESCA CHOCOLAT")</f>
        <v>0</v>
      </c>
      <c r="F17" s="265">
        <f ca="1">COUNTIF(GEN!19:19,"CROI BEURRE")</f>
        <v>1</v>
      </c>
      <c r="G17" s="265">
        <f ca="1">COUNTIF(GEN!19:19,"CROI NUTELLA")</f>
        <v>0</v>
      </c>
      <c r="H17" s="265">
        <f ca="1">COUNTIF(GEN!19:19,"CROI FRAMBOISES")</f>
        <v>0</v>
      </c>
      <c r="I17" s="265">
        <f ca="1">COUNTIF(GEN!19:19,"CROI AMANDES")</f>
        <v>0</v>
      </c>
      <c r="J17" s="265">
        <f ca="1">COUNTIF(GEN!19:19,"CROI CHOCOLAT")</f>
        <v>0</v>
      </c>
      <c r="K17" s="265">
        <f ca="1">COUNTIF(GEN!19:19,"N/C")</f>
        <v>0</v>
      </c>
      <c r="L17" s="268">
        <f ca="1">COUNTIF(GEN!19:19,"N/P")/2</f>
        <v>7</v>
      </c>
      <c r="M17" s="268">
        <f ca="1">COUNTIF(GEN!19:19,"N/E")/2</f>
        <v>9</v>
      </c>
    </row>
    <row r="18" spans="1:13" x14ac:dyDescent="0.35">
      <c r="A18" s="267" t="s">
        <v>5</v>
      </c>
      <c r="B18" s="265">
        <f ca="1">COUNTIF(GEN!20:20,"PATES LORRAIN")</f>
        <v>0</v>
      </c>
      <c r="C18" s="265">
        <f ca="1">COUNTIF(GEN!20:20,"PATES  POULET")</f>
        <v>0</v>
      </c>
      <c r="D18" s="265">
        <f ca="1">COUNTIF(GEN!20:20,"PAIN CHOCOLAT")</f>
        <v>1</v>
      </c>
      <c r="E18" s="265">
        <f ca="1">COUNTIF(GEN!20:20,"ESCA CHOCOLAT")</f>
        <v>0</v>
      </c>
      <c r="F18" s="265">
        <f ca="1">COUNTIF(GEN!20:20,"CROI BEURRE")</f>
        <v>0</v>
      </c>
      <c r="G18" s="265">
        <f ca="1">COUNTIF(GEN!20:20,"CROI NUTELLA")</f>
        <v>0</v>
      </c>
      <c r="H18" s="265">
        <f ca="1">COUNTIF(GEN!20:20,"CROI FRAMBOISES")</f>
        <v>0</v>
      </c>
      <c r="I18" s="265">
        <f ca="1">COUNTIF(GEN!20:20,"CROI AMANDES")</f>
        <v>0</v>
      </c>
      <c r="J18" s="265">
        <f ca="1">COUNTIF(GEN!20:20,"CROI CHOCOLAT")</f>
        <v>0</v>
      </c>
      <c r="K18" s="265">
        <f ca="1">COUNTIF(GEN!20:20,"N/C")</f>
        <v>0</v>
      </c>
      <c r="L18" s="268">
        <f ca="1">COUNTIF(GEN!20:20,"N/P")/2</f>
        <v>0</v>
      </c>
      <c r="M18" s="268">
        <f ca="1">COUNTIF(GEN!20:20,"N/E")/2</f>
        <v>17</v>
      </c>
    </row>
    <row r="19" spans="1:13" x14ac:dyDescent="0.35">
      <c r="A19" s="267" t="s">
        <v>83</v>
      </c>
      <c r="B19" s="265">
        <f ca="1">COUNTIF(GEN!21:21,"PATES LORRAIN")</f>
        <v>0</v>
      </c>
      <c r="C19" s="265">
        <f ca="1">COUNTIF(GEN!21:21,"PATES  POULET")</f>
        <v>0</v>
      </c>
      <c r="D19" s="265">
        <f ca="1">COUNTIF(GEN!21:21,"PAIN CHOCOLAT")</f>
        <v>1</v>
      </c>
      <c r="E19" s="265">
        <f ca="1">COUNTIF(GEN!21:21,"ESCA CHOCOLAT")</f>
        <v>0</v>
      </c>
      <c r="F19" s="265">
        <f ca="1">COUNTIF(GEN!21:21,"CROI BEURRE")</f>
        <v>0</v>
      </c>
      <c r="G19" s="265">
        <f ca="1">COUNTIF(GEN!21:21,"CROI NUTELLA")</f>
        <v>0</v>
      </c>
      <c r="H19" s="265">
        <f ca="1">COUNTIF(GEN!21:21,"CROI FRAMBOISES")</f>
        <v>0</v>
      </c>
      <c r="I19" s="265">
        <f ca="1">COUNTIF(GEN!21:21,"CROI AMANDES")</f>
        <v>0</v>
      </c>
      <c r="J19" s="265">
        <f ca="1">COUNTIF(GEN!21:21,"CROI CHOCOLAT")</f>
        <v>0</v>
      </c>
      <c r="K19" s="265">
        <f ca="1">COUNTIF(GEN!21:21,"N/C")</f>
        <v>0</v>
      </c>
      <c r="L19" s="268">
        <f ca="1">COUNTIF(GEN!21:21,"N/P")/2</f>
        <v>8</v>
      </c>
      <c r="M19" s="268">
        <f ca="1">COUNTIF(GEN!21:21,"N/E")/2</f>
        <v>9</v>
      </c>
    </row>
    <row r="20" spans="1:13" x14ac:dyDescent="0.35">
      <c r="A20" s="267" t="s">
        <v>84</v>
      </c>
      <c r="B20" s="265">
        <f ca="1">COUNTIF(GEN!22:22,"PATES LORRAIN")</f>
        <v>0</v>
      </c>
      <c r="C20" s="265">
        <f ca="1">COUNTIF(GEN!22:22,"PATES  POULET")</f>
        <v>0</v>
      </c>
      <c r="D20" s="265">
        <f ca="1">COUNTIF(GEN!22:22,"PAIN CHOCOLAT")</f>
        <v>3</v>
      </c>
      <c r="E20" s="265">
        <f ca="1">COUNTIF(GEN!22:22,"ESCA CHOCOLAT")</f>
        <v>1</v>
      </c>
      <c r="F20" s="265">
        <f ca="1">COUNTIF(GEN!22:22,"CROI BEURRE")</f>
        <v>0</v>
      </c>
      <c r="G20" s="265">
        <f ca="1">COUNTIF(GEN!22:22,"CROI NUTELLA")</f>
        <v>2</v>
      </c>
      <c r="H20" s="265">
        <f ca="1">COUNTIF(GEN!22:22,"CROI FRAMBOISES")</f>
        <v>1</v>
      </c>
      <c r="I20" s="265">
        <f ca="1">COUNTIF(GEN!22:22,"CROI AMANDES")</f>
        <v>0</v>
      </c>
      <c r="J20" s="265">
        <f ca="1">COUNTIF(GEN!22:22,"CROI CHOCOLAT")</f>
        <v>0</v>
      </c>
      <c r="K20" s="265">
        <f ca="1">COUNTIF(GEN!22:22,"N/C")</f>
        <v>0</v>
      </c>
      <c r="L20" s="268">
        <f ca="1">COUNTIF(GEN!22:22,"N/P")/2</f>
        <v>2</v>
      </c>
      <c r="M20" s="268">
        <f ca="1">COUNTIF(GEN!22:22,"N/E")/2</f>
        <v>9</v>
      </c>
    </row>
    <row r="21" spans="1:13" x14ac:dyDescent="0.35">
      <c r="A21" s="267" t="s">
        <v>86</v>
      </c>
      <c r="B21" s="265">
        <f ca="1">COUNTIF(GEN!23:23,"PATES LORRAIN")</f>
        <v>0</v>
      </c>
      <c r="C21" s="265">
        <f ca="1">COUNTIF(GEN!23:23,"PATES  POULET")</f>
        <v>0</v>
      </c>
      <c r="D21" s="265">
        <f ca="1">COUNTIF(GEN!23:23,"PAIN CHOCOLAT")</f>
        <v>6</v>
      </c>
      <c r="E21" s="265">
        <f ca="1">COUNTIF(GEN!23:23,"ESCA CHOCOLAT")</f>
        <v>0</v>
      </c>
      <c r="F21" s="265">
        <f ca="1">COUNTIF(GEN!23:23,"CROI BEURRE")</f>
        <v>0</v>
      </c>
      <c r="G21" s="265">
        <f ca="1">COUNTIF(GEN!23:23,"CROI NUTELLA")</f>
        <v>0</v>
      </c>
      <c r="H21" s="265">
        <f ca="1">COUNTIF(GEN!23:23,"CROI FRAMBOISES")</f>
        <v>0</v>
      </c>
      <c r="I21" s="265">
        <f ca="1">COUNTIF(GEN!23:23,"CROI AMANDES")</f>
        <v>0</v>
      </c>
      <c r="J21" s="265">
        <f ca="1">COUNTIF(GEN!23:23,"CROI CHOCOLAT")</f>
        <v>0</v>
      </c>
      <c r="K21" s="265">
        <f ca="1">COUNTIF(GEN!23:23,"N/C")</f>
        <v>0</v>
      </c>
      <c r="L21" s="268">
        <f ca="1">COUNTIF(GEN!23:23,"N/P")/2</f>
        <v>3</v>
      </c>
      <c r="M21" s="268">
        <f ca="1">COUNTIF(GEN!23:23,"N/E")/2</f>
        <v>9</v>
      </c>
    </row>
    <row r="22" spans="1:13" x14ac:dyDescent="0.35">
      <c r="A22" s="267" t="s">
        <v>85</v>
      </c>
      <c r="B22" s="265">
        <f ca="1">COUNTIF(GEN!24:24,"PATES LORRAIN")</f>
        <v>1</v>
      </c>
      <c r="C22" s="265">
        <f ca="1">COUNTIF(GEN!24:24,"PATES  POULET")</f>
        <v>1</v>
      </c>
      <c r="D22" s="265">
        <f ca="1">COUNTIF(GEN!24:24,"PAIN CHOCOLAT")</f>
        <v>3</v>
      </c>
      <c r="E22" s="265">
        <f ca="1">COUNTIF(GEN!24:24,"ESCA CHOCOLAT")</f>
        <v>0</v>
      </c>
      <c r="F22" s="265">
        <f ca="1">COUNTIF(GEN!24:24,"CROI BEURRE")</f>
        <v>0</v>
      </c>
      <c r="G22" s="265">
        <f ca="1">COUNTIF(GEN!24:24,"CROI NUTELLA")</f>
        <v>1</v>
      </c>
      <c r="H22" s="265">
        <f ca="1">COUNTIF(GEN!24:24,"CROI FRAMBOISES")</f>
        <v>1</v>
      </c>
      <c r="I22" s="265">
        <f ca="1">COUNTIF(GEN!24:24,"CROI AMANDES")</f>
        <v>1</v>
      </c>
      <c r="J22" s="265">
        <f ca="1">COUNTIF(GEN!24:24,"CROI CHOCOLAT")</f>
        <v>0</v>
      </c>
      <c r="K22" s="265">
        <f ca="1">COUNTIF(GEN!24:24,"N/C")</f>
        <v>0</v>
      </c>
      <c r="L22" s="268">
        <f ca="1">COUNTIF(GEN!24:24,"N/P")/2</f>
        <v>1</v>
      </c>
      <c r="M22" s="268">
        <f ca="1">COUNTIF(GEN!24:24,"N/E")/2</f>
        <v>9</v>
      </c>
    </row>
    <row r="23" spans="1:13" x14ac:dyDescent="0.35">
      <c r="A23" s="267" t="s">
        <v>80</v>
      </c>
      <c r="B23" s="265">
        <f ca="1">COUNTIF(GEN!25:25,"PATES LORRAIN")</f>
        <v>0</v>
      </c>
      <c r="C23" s="265">
        <f ca="1">COUNTIF(GEN!25:25,"PATES  POULET")</f>
        <v>0</v>
      </c>
      <c r="D23" s="265">
        <f ca="1">COUNTIF(GEN!25:25,"PAIN CHOCOLAT")</f>
        <v>4</v>
      </c>
      <c r="E23" s="265">
        <f ca="1">COUNTIF(GEN!25:25,"ESCA CHOCOLAT")</f>
        <v>0</v>
      </c>
      <c r="F23" s="265">
        <f ca="1">COUNTIF(GEN!25:25,"CROI BEURRE")</f>
        <v>3</v>
      </c>
      <c r="G23" s="265">
        <f ca="1">COUNTIF(GEN!25:25,"CROI NUTELLA")</f>
        <v>0</v>
      </c>
      <c r="H23" s="265">
        <f ca="1">COUNTIF(GEN!25:25,"CROI FRAMBOISES")</f>
        <v>0</v>
      </c>
      <c r="I23" s="265">
        <f ca="1">COUNTIF(GEN!25:25,"CROI AMANDES")</f>
        <v>0</v>
      </c>
      <c r="J23" s="265">
        <f ca="1">COUNTIF(GEN!25:25,"CROI CHOCOLAT")</f>
        <v>0</v>
      </c>
      <c r="K23" s="265">
        <f ca="1">COUNTIF(GEN!25:25,"N/C")</f>
        <v>0</v>
      </c>
      <c r="L23" s="268">
        <f ca="1">COUNTIF(GEN!25:25,"N/P")/2</f>
        <v>2</v>
      </c>
      <c r="M23" s="268">
        <f ca="1">COUNTIF(GEN!25:25,"N/E")/2</f>
        <v>9</v>
      </c>
    </row>
    <row r="24" spans="1:13" x14ac:dyDescent="0.35">
      <c r="A24" s="267" t="s">
        <v>53</v>
      </c>
      <c r="B24" s="265">
        <f ca="1">COUNTIF(GEN!26:26,"PATES LORRAIN")</f>
        <v>0</v>
      </c>
      <c r="C24" s="265">
        <f ca="1">COUNTIF(GEN!26:26,"PATES  POULET")</f>
        <v>0</v>
      </c>
      <c r="D24" s="265">
        <f ca="1">COUNTIF(GEN!26:26,"PAIN CHOCOLAT")</f>
        <v>0</v>
      </c>
      <c r="E24" s="265">
        <f ca="1">COUNTIF(GEN!26:26,"ESCA CHOCOLAT")</f>
        <v>0</v>
      </c>
      <c r="F24" s="265">
        <f ca="1">COUNTIF(GEN!26:26,"CROI BEURRE")</f>
        <v>5</v>
      </c>
      <c r="G24" s="265">
        <f ca="1">COUNTIF(GEN!26:26,"CROI NUTELLA")</f>
        <v>0</v>
      </c>
      <c r="H24" s="265">
        <f ca="1">COUNTIF(GEN!26:26,"CROI FRAMBOISES")</f>
        <v>0</v>
      </c>
      <c r="I24" s="265">
        <f ca="1">COUNTIF(GEN!26:26,"CROI AMANDES")</f>
        <v>0</v>
      </c>
      <c r="J24" s="265">
        <f ca="1">COUNTIF(GEN!26:26,"CROI CHOCOLAT")</f>
        <v>0</v>
      </c>
      <c r="K24" s="265">
        <f ca="1">COUNTIF(GEN!26:26,"N/C")</f>
        <v>0</v>
      </c>
      <c r="L24" s="268">
        <f ca="1">COUNTIF(GEN!26:26,"N/P")/2</f>
        <v>4</v>
      </c>
      <c r="M24" s="268">
        <f ca="1">COUNTIF(GEN!26:26,"N/E")/2</f>
        <v>9</v>
      </c>
    </row>
    <row r="25" spans="1:13" x14ac:dyDescent="0.35">
      <c r="A25" s="267" t="s">
        <v>52</v>
      </c>
      <c r="B25" s="265">
        <f ca="1">COUNTIF(GEN!27:27,"PATES LORRAIN")</f>
        <v>0</v>
      </c>
      <c r="C25" s="265">
        <f ca="1">COUNTIF(GEN!27:27,"PATES  POULET")</f>
        <v>0</v>
      </c>
      <c r="D25" s="265">
        <f ca="1">COUNTIF(GEN!27:27,"PAIN CHOCOLAT")</f>
        <v>1</v>
      </c>
      <c r="E25" s="265">
        <f ca="1">COUNTIF(GEN!27:27,"ESCA CHOCOLAT")</f>
        <v>0</v>
      </c>
      <c r="F25" s="265">
        <f ca="1">COUNTIF(GEN!27:27,"CROI BEURRE")</f>
        <v>0</v>
      </c>
      <c r="G25" s="265">
        <f ca="1">COUNTIF(GEN!27:27,"CROI NUTELLA")</f>
        <v>2</v>
      </c>
      <c r="H25" s="265">
        <f ca="1">COUNTIF(GEN!27:27,"CROI FRAMBOISES")</f>
        <v>2</v>
      </c>
      <c r="I25" s="265">
        <f ca="1">COUNTIF(GEN!27:27,"CROI AMANDES")</f>
        <v>0</v>
      </c>
      <c r="J25" s="265">
        <f ca="1">COUNTIF(GEN!27:27,"CROI CHOCOLAT")</f>
        <v>0</v>
      </c>
      <c r="K25" s="265">
        <f ca="1">COUNTIF(GEN!27:27,"N/C")</f>
        <v>0</v>
      </c>
      <c r="L25" s="268">
        <f ca="1">COUNTIF(GEN!27:27,"N/P")/2</f>
        <v>4</v>
      </c>
      <c r="M25" s="268">
        <f ca="1">COUNTIF(GEN!27:27,"N/E")/2</f>
        <v>9</v>
      </c>
    </row>
    <row r="26" spans="1:13" x14ac:dyDescent="0.35">
      <c r="A26" s="267" t="s">
        <v>17</v>
      </c>
      <c r="B26" s="265">
        <f ca="1">COUNTIF(GEN!28:28,"PATES LORRAIN")</f>
        <v>0</v>
      </c>
      <c r="C26" s="265">
        <f ca="1">COUNTIF(GEN!28:28,"PATES  POULET")</f>
        <v>0</v>
      </c>
      <c r="D26" s="265">
        <f ca="1">COUNTIF(GEN!28:28,"PAIN CHOCOLAT")</f>
        <v>0</v>
      </c>
      <c r="E26" s="265">
        <f ca="1">COUNTIF(GEN!28:28,"ESCA CHOCOLAT")</f>
        <v>0</v>
      </c>
      <c r="F26" s="265">
        <f ca="1">COUNTIF(GEN!28:28,"CROI BEURRE")</f>
        <v>0</v>
      </c>
      <c r="G26" s="265">
        <f ca="1">COUNTIF(GEN!28:28,"CROI NUTELLA")</f>
        <v>0</v>
      </c>
      <c r="H26" s="265">
        <f ca="1">COUNTIF(GEN!28:28,"CROI FRAMBOISES")</f>
        <v>0</v>
      </c>
      <c r="I26" s="265">
        <f ca="1">COUNTIF(GEN!28:28,"CROI AMANDES")</f>
        <v>0</v>
      </c>
      <c r="J26" s="265">
        <f ca="1">COUNTIF(GEN!28:28,"CROI CHOCOLAT")</f>
        <v>0</v>
      </c>
      <c r="K26" s="265">
        <f ca="1">COUNTIF(GEN!28:28,"N/C")</f>
        <v>0</v>
      </c>
      <c r="L26" s="268">
        <f ca="1">COUNTIF(GEN!28:28,"N/P")/2</f>
        <v>0</v>
      </c>
      <c r="M26" s="268">
        <f ca="1">COUNTIF(GEN!28:28,"N/E")/2</f>
        <v>18</v>
      </c>
    </row>
    <row r="27" spans="1:13" x14ac:dyDescent="0.35">
      <c r="A27" s="267" t="s">
        <v>17</v>
      </c>
      <c r="B27" s="265">
        <f ca="1">COUNTIF(GEN!29:29,"PATES LORRAIN")</f>
        <v>0</v>
      </c>
      <c r="C27" s="265">
        <f ca="1">COUNTIF(GEN!29:29,"PATES  POULET")</f>
        <v>0</v>
      </c>
      <c r="D27" s="265">
        <f ca="1">COUNTIF(GEN!29:29,"PAIN CHOCOLAT")</f>
        <v>0</v>
      </c>
      <c r="E27" s="265">
        <f ca="1">COUNTIF(GEN!29:29,"ESCA CHOCOLAT")</f>
        <v>0</v>
      </c>
      <c r="F27" s="265">
        <f ca="1">COUNTIF(GEN!29:29,"CROI BEURRE")</f>
        <v>0</v>
      </c>
      <c r="G27" s="265">
        <f ca="1">COUNTIF(GEN!29:29,"CROI NUTELLA")</f>
        <v>0</v>
      </c>
      <c r="H27" s="265">
        <f ca="1">COUNTIF(GEN!29:29,"CROI FRAMBOISES")</f>
        <v>0</v>
      </c>
      <c r="I27" s="265">
        <f ca="1">COUNTIF(GEN!29:29,"CROI AMANDES")</f>
        <v>0</v>
      </c>
      <c r="J27" s="265">
        <f ca="1">COUNTIF(GEN!29:29,"CROI CHOCOLAT")</f>
        <v>0</v>
      </c>
      <c r="K27" s="265">
        <f ca="1">COUNTIF(GEN!29:29,"N/C")</f>
        <v>0</v>
      </c>
      <c r="L27" s="268">
        <f ca="1">COUNTIF(GEN!29:29,"N/P")/2</f>
        <v>0</v>
      </c>
      <c r="M27" s="268">
        <f ca="1">COUNTIF(GEN!29:29,"N/E")/2</f>
        <v>18</v>
      </c>
    </row>
    <row r="28" spans="1:13" x14ac:dyDescent="0.35">
      <c r="A28" s="267" t="s">
        <v>17</v>
      </c>
      <c r="B28" s="265">
        <f ca="1">COUNTIF(GEN!30:30,"PATES LORRAIN")</f>
        <v>0</v>
      </c>
      <c r="C28" s="265">
        <f ca="1">COUNTIF(GEN!30:30,"PATES  POULET")</f>
        <v>0</v>
      </c>
      <c r="D28" s="265">
        <f ca="1">COUNTIF(GEN!30:30,"PAIN CHOCOLAT")</f>
        <v>0</v>
      </c>
      <c r="E28" s="265">
        <f ca="1">COUNTIF(GEN!30:30,"ESCA CHOCOLAT")</f>
        <v>0</v>
      </c>
      <c r="F28" s="265">
        <f ca="1">COUNTIF(GEN!30:30,"CROI BEURRE")</f>
        <v>0</v>
      </c>
      <c r="G28" s="265">
        <f ca="1">COUNTIF(GEN!30:30,"CROI NUTELLA")</f>
        <v>0</v>
      </c>
      <c r="H28" s="265">
        <f ca="1">COUNTIF(GEN!30:30,"CROI FRAMBOISES")</f>
        <v>0</v>
      </c>
      <c r="I28" s="265">
        <f ca="1">COUNTIF(GEN!30:30,"CROI AMANDES")</f>
        <v>0</v>
      </c>
      <c r="J28" s="265">
        <f ca="1">COUNTIF(GEN!30:30,"CROI CHOCOLAT")</f>
        <v>0</v>
      </c>
      <c r="K28" s="265">
        <f ca="1">COUNTIF(GEN!30:30,"N/C")</f>
        <v>0</v>
      </c>
      <c r="L28" s="268">
        <f ca="1">COUNTIF(GEN!30:30,"N/P")/2</f>
        <v>0</v>
      </c>
      <c r="M28" s="268">
        <f ca="1">COUNTIF(GEN!30:30,"N/E")/2</f>
        <v>18</v>
      </c>
    </row>
    <row r="29" spans="1:13" x14ac:dyDescent="0.35">
      <c r="A29" s="267" t="s">
        <v>17</v>
      </c>
      <c r="B29" s="265">
        <f ca="1">COUNTIF(GEN!31:31,"PATES LORRAIN")</f>
        <v>0</v>
      </c>
      <c r="C29" s="265">
        <f ca="1">COUNTIF(GEN!31:31,"PATES  POULET")</f>
        <v>0</v>
      </c>
      <c r="D29" s="265">
        <f ca="1">COUNTIF(GEN!31:31,"PAIN CHOCOLAT")</f>
        <v>0</v>
      </c>
      <c r="E29" s="265">
        <f ca="1">COUNTIF(GEN!31:31,"ESCA CHOCOLAT")</f>
        <v>0</v>
      </c>
      <c r="F29" s="265">
        <f ca="1">COUNTIF(GEN!31:31,"CROI BEURRE")</f>
        <v>0</v>
      </c>
      <c r="G29" s="265">
        <f ca="1">COUNTIF(GEN!31:31,"CROI NUTELLA")</f>
        <v>0</v>
      </c>
      <c r="H29" s="265">
        <f ca="1">COUNTIF(GEN!31:31,"CROI FRAMBOISES")</f>
        <v>0</v>
      </c>
      <c r="I29" s="265">
        <f ca="1">COUNTIF(GEN!31:31,"CROI AMANDES")</f>
        <v>0</v>
      </c>
      <c r="J29" s="265">
        <f ca="1">COUNTIF(GEN!31:31,"CROI CHOCOLAT")</f>
        <v>0</v>
      </c>
      <c r="K29" s="265">
        <f ca="1">COUNTIF(GEN!31:31,"N/C")</f>
        <v>0</v>
      </c>
      <c r="L29" s="268">
        <f ca="1">COUNTIF(GEN!31:31,"N/P")/2</f>
        <v>0</v>
      </c>
      <c r="M29" s="268">
        <f ca="1">COUNTIF(GEN!31:31,"N/E")/2</f>
        <v>18</v>
      </c>
    </row>
    <row r="30" spans="1:13" x14ac:dyDescent="0.35">
      <c r="A30" s="267" t="s">
        <v>17</v>
      </c>
      <c r="B30" s="265">
        <f ca="1">COUNTIF(GEN!32:32,"PATES LORRAIN")</f>
        <v>0</v>
      </c>
      <c r="C30" s="265">
        <f ca="1">COUNTIF(GEN!32:32,"PATES  POULET")</f>
        <v>0</v>
      </c>
      <c r="D30" s="265">
        <f ca="1">COUNTIF(GEN!32:32,"PAIN CHOCOLAT")</f>
        <v>0</v>
      </c>
      <c r="E30" s="265">
        <f ca="1">COUNTIF(GEN!32:32,"ESCA CHOCOLAT")</f>
        <v>0</v>
      </c>
      <c r="F30" s="265">
        <f ca="1">COUNTIF(GEN!32:32,"CROI BEURRE")</f>
        <v>0</v>
      </c>
      <c r="G30" s="265">
        <f ca="1">COUNTIF(GEN!32:32,"CROI NUTELLA")</f>
        <v>0</v>
      </c>
      <c r="H30" s="265">
        <f ca="1">COUNTIF(GEN!32:32,"CROI FRAMBOISES")</f>
        <v>0</v>
      </c>
      <c r="I30" s="265">
        <f ca="1">COUNTIF(GEN!32:32,"CROI AMANDES")</f>
        <v>0</v>
      </c>
      <c r="J30" s="265">
        <f ca="1">COUNTIF(GEN!32:32,"CROI CHOCOLAT")</f>
        <v>0</v>
      </c>
      <c r="K30" s="265">
        <f ca="1">COUNTIF(GEN!32:32,"N/C")</f>
        <v>0</v>
      </c>
      <c r="L30" s="268">
        <f ca="1">COUNTIF(GEN!32:32,"N/P")</f>
        <v>0</v>
      </c>
      <c r="M30" s="268">
        <f ca="1">COUNTIF(GEN!32:32,"N/E")/2</f>
        <v>18</v>
      </c>
    </row>
  </sheetData>
  <conditionalFormatting sqref="A2:A30">
    <cfRule type="containsText" dxfId="26" priority="16" operator="containsText" text="N/P">
      <formula>NOT(ISERROR(SEARCH("N/P",A2)))</formula>
    </cfRule>
  </conditionalFormatting>
  <conditionalFormatting sqref="A2:A30">
    <cfRule type="iconSet" priority="29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A2:A30">
    <cfRule type="expression" dxfId="25" priority="14">
      <formula>E3&lt;2.65</formula>
    </cfRule>
    <cfRule type="expression" dxfId="24" priority="15">
      <formula>E3&gt;10</formula>
    </cfRule>
  </conditionalFormatting>
  <conditionalFormatting sqref="C1:C1048576">
    <cfRule type="top10" dxfId="23" priority="13" rank="1"/>
  </conditionalFormatting>
  <conditionalFormatting sqref="B1:B1048576">
    <cfRule type="top10" dxfId="22" priority="12" rank="1"/>
  </conditionalFormatting>
  <conditionalFormatting sqref="D1:D1048576">
    <cfRule type="top10" dxfId="21" priority="11" rank="1"/>
  </conditionalFormatting>
  <conditionalFormatting sqref="E1:E1048576">
    <cfRule type="top10" dxfId="20" priority="10" rank="1"/>
  </conditionalFormatting>
  <conditionalFormatting sqref="F1:F1048576">
    <cfRule type="top10" dxfId="19" priority="9" rank="1"/>
  </conditionalFormatting>
  <conditionalFormatting sqref="G1:G1048576">
    <cfRule type="top10" dxfId="18" priority="8" rank="1"/>
  </conditionalFormatting>
  <conditionalFormatting sqref="H1:H1048576">
    <cfRule type="top10" dxfId="17" priority="6" rank="1"/>
  </conditionalFormatting>
  <conditionalFormatting sqref="I1:I1048576">
    <cfRule type="top10" dxfId="16" priority="5" rank="1"/>
  </conditionalFormatting>
  <conditionalFormatting sqref="J1:J1048576">
    <cfRule type="top10" dxfId="15" priority="4" rank="1"/>
  </conditionalFormatting>
  <conditionalFormatting sqref="K1:K1048576">
    <cfRule type="top10" dxfId="14" priority="3" rank="1"/>
  </conditionalFormatting>
  <conditionalFormatting sqref="L1:L1048576">
    <cfRule type="top10" dxfId="13" priority="2" rank="1"/>
  </conditionalFormatting>
  <conditionalFormatting sqref="M1:M1048576">
    <cfRule type="top10" dxfId="12" priority="1" rank="1"/>
  </conditionalFormatting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7" operator="equal" id="{F61021C7-0200-4D25-AF13-0B485329214C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18" operator="equal" id="{A1F69FA8-4C94-4F12-9CD2-1C1828BE97C8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19" operator="equal" id="{7D821777-F530-413C-AA75-FBAB22E710F4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20" operator="equal" id="{FE141CC1-A997-4EB9-B9A9-D597CCC98CA5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21" operator="equal" id="{4EE3947E-420E-4DCF-A57C-4B6BDE729B9E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22" operator="equal" id="{60C1CFBE-0755-40A8-AC96-38EA3D31502D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23" operator="equal" id="{C8BDE25C-2B02-47B1-AE8D-B9911547C8CB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24" operator="equal" id="{B201F494-48D8-4A1B-A7DE-B6ACCD4F9C1B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25" operator="equal" id="{8A1FDF01-7A75-47E2-859E-890D8EB2502A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26" operator="equal" id="{F1DAAD26-8732-4DA0-81C9-DEFE00B497DD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27" operator="equal" id="{5403EE7D-5B2C-4E96-9D02-3800CFFE0D53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28" operator="equal" id="{0DFFAB23-C823-4B0F-86F6-596964929DF3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A2:A30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opLeftCell="C1" zoomScale="85" zoomScaleNormal="85" workbookViewId="0">
      <selection activeCell="Q16" sqref="Q16"/>
    </sheetView>
  </sheetViews>
  <sheetFormatPr baseColWidth="10" defaultColWidth="10.7265625" defaultRowHeight="14.5" x14ac:dyDescent="0.35"/>
  <sheetData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AS488"/>
  <sheetViews>
    <sheetView topLeftCell="A92" workbookViewId="0">
      <selection activeCell="A123" sqref="A123:A153"/>
    </sheetView>
  </sheetViews>
  <sheetFormatPr baseColWidth="10" defaultColWidth="11.453125" defaultRowHeight="14.5" x14ac:dyDescent="0.35"/>
  <cols>
    <col min="1" max="1" width="27.1796875" style="188" bestFit="1" customWidth="1"/>
    <col min="2" max="2" width="27.1796875" style="188" customWidth="1"/>
    <col min="3" max="3" width="27.1796875" style="182" customWidth="1"/>
    <col min="4" max="4" width="22.453125" style="6" bestFit="1" customWidth="1"/>
    <col min="5" max="7" width="23.453125" style="6" bestFit="1" customWidth="1"/>
    <col min="8" max="9" width="24.7265625" style="6" bestFit="1" customWidth="1"/>
    <col min="10" max="12" width="25.7265625" style="6" bestFit="1" customWidth="1"/>
    <col min="13" max="13" width="24.453125" style="6" bestFit="1" customWidth="1"/>
    <col min="14" max="16" width="25.54296875" style="6" bestFit="1" customWidth="1"/>
    <col min="17" max="17" width="21.54296875" style="6" bestFit="1" customWidth="1"/>
    <col min="18" max="20" width="22.7265625" style="6" bestFit="1" customWidth="1"/>
    <col min="21" max="22" width="21.54296875" style="6" bestFit="1" customWidth="1"/>
    <col min="23" max="24" width="22.54296875" style="6" bestFit="1" customWidth="1"/>
    <col min="25" max="26" width="19.7265625" style="6" bestFit="1" customWidth="1"/>
    <col min="27" max="29" width="20.7265625" style="6" customWidth="1"/>
    <col min="30" max="30" width="19.26953125" style="6" bestFit="1" customWidth="1"/>
    <col min="31" max="33" width="20.26953125" style="6" bestFit="1" customWidth="1"/>
    <col min="34" max="34" width="18.7265625" style="6" bestFit="1" customWidth="1"/>
    <col min="35" max="38" width="19.7265625" style="6" bestFit="1" customWidth="1"/>
    <col min="39" max="39" width="18.81640625" style="6" bestFit="1" customWidth="1"/>
    <col min="40" max="42" width="19.7265625" style="6" bestFit="1" customWidth="1"/>
    <col min="43" max="43" width="20.7265625" style="6" customWidth="1"/>
    <col min="44" max="45" width="21.81640625" style="6" bestFit="1" customWidth="1"/>
    <col min="46" max="16384" width="11.453125" style="6"/>
  </cols>
  <sheetData>
    <row r="1" spans="1:45" x14ac:dyDescent="0.35">
      <c r="A1" s="188">
        <v>43344</v>
      </c>
    </row>
    <row r="2" spans="1:45" x14ac:dyDescent="0.35">
      <c r="A2" s="188">
        <v>43345</v>
      </c>
      <c r="B2" s="188" t="s">
        <v>89</v>
      </c>
      <c r="C2" s="183">
        <v>43371</v>
      </c>
      <c r="D2" s="183">
        <v>43378</v>
      </c>
      <c r="E2" s="183">
        <f t="shared" ref="E2:AS2" si="0">D2+7</f>
        <v>43385</v>
      </c>
      <c r="F2" s="183">
        <f t="shared" si="0"/>
        <v>43392</v>
      </c>
      <c r="G2" s="183">
        <f t="shared" si="0"/>
        <v>43399</v>
      </c>
      <c r="H2" s="183">
        <f t="shared" si="0"/>
        <v>43406</v>
      </c>
      <c r="I2" s="183">
        <f t="shared" si="0"/>
        <v>43413</v>
      </c>
      <c r="J2" s="183">
        <f t="shared" si="0"/>
        <v>43420</v>
      </c>
      <c r="K2" s="183">
        <f t="shared" si="0"/>
        <v>43427</v>
      </c>
      <c r="L2" s="183">
        <f t="shared" si="0"/>
        <v>43434</v>
      </c>
      <c r="M2" s="183">
        <f t="shared" si="0"/>
        <v>43441</v>
      </c>
      <c r="N2" s="183">
        <f t="shared" si="0"/>
        <v>43448</v>
      </c>
      <c r="O2" s="183">
        <f t="shared" si="0"/>
        <v>43455</v>
      </c>
      <c r="P2" s="183">
        <f t="shared" si="0"/>
        <v>43462</v>
      </c>
      <c r="Q2" s="183">
        <f t="shared" si="0"/>
        <v>43469</v>
      </c>
      <c r="R2" s="183">
        <f t="shared" si="0"/>
        <v>43476</v>
      </c>
      <c r="S2" s="183">
        <f t="shared" si="0"/>
        <v>43483</v>
      </c>
      <c r="T2" s="183">
        <f t="shared" si="0"/>
        <v>43490</v>
      </c>
      <c r="U2" s="183">
        <f t="shared" si="0"/>
        <v>43497</v>
      </c>
      <c r="V2" s="183">
        <f t="shared" si="0"/>
        <v>43504</v>
      </c>
      <c r="W2" s="183">
        <f t="shared" si="0"/>
        <v>43511</v>
      </c>
      <c r="X2" s="183">
        <f t="shared" si="0"/>
        <v>43518</v>
      </c>
      <c r="Y2" s="183">
        <f t="shared" si="0"/>
        <v>43525</v>
      </c>
      <c r="Z2" s="183">
        <f t="shared" si="0"/>
        <v>43532</v>
      </c>
      <c r="AA2" s="183">
        <f t="shared" si="0"/>
        <v>43539</v>
      </c>
      <c r="AB2" s="183">
        <f t="shared" si="0"/>
        <v>43546</v>
      </c>
      <c r="AC2" s="183">
        <f t="shared" si="0"/>
        <v>43553</v>
      </c>
      <c r="AD2" s="183">
        <f t="shared" si="0"/>
        <v>43560</v>
      </c>
      <c r="AE2" s="183">
        <f t="shared" si="0"/>
        <v>43567</v>
      </c>
      <c r="AF2" s="183">
        <f t="shared" si="0"/>
        <v>43574</v>
      </c>
      <c r="AG2" s="183">
        <f t="shared" si="0"/>
        <v>43581</v>
      </c>
      <c r="AH2" s="183">
        <f t="shared" si="0"/>
        <v>43588</v>
      </c>
      <c r="AI2" s="183">
        <f t="shared" si="0"/>
        <v>43595</v>
      </c>
      <c r="AJ2" s="183">
        <f t="shared" si="0"/>
        <v>43602</v>
      </c>
      <c r="AK2" s="183">
        <f t="shared" si="0"/>
        <v>43609</v>
      </c>
      <c r="AL2" s="183">
        <f t="shared" si="0"/>
        <v>43616</v>
      </c>
      <c r="AM2" s="183">
        <f t="shared" si="0"/>
        <v>43623</v>
      </c>
      <c r="AN2" s="183">
        <f t="shared" si="0"/>
        <v>43630</v>
      </c>
      <c r="AO2" s="183">
        <f t="shared" si="0"/>
        <v>43637</v>
      </c>
      <c r="AP2" s="183">
        <f t="shared" si="0"/>
        <v>43644</v>
      </c>
      <c r="AQ2" s="183">
        <f t="shared" si="0"/>
        <v>43651</v>
      </c>
      <c r="AR2" s="183">
        <f t="shared" si="0"/>
        <v>43658</v>
      </c>
      <c r="AS2" s="183">
        <f t="shared" si="0"/>
        <v>43665</v>
      </c>
    </row>
    <row r="3" spans="1:45" x14ac:dyDescent="0.35">
      <c r="A3" s="188">
        <v>43346</v>
      </c>
      <c r="B3" s="188" t="s">
        <v>90</v>
      </c>
      <c r="C3" s="182" t="s">
        <v>91</v>
      </c>
      <c r="D3" s="182" t="s">
        <v>92</v>
      </c>
    </row>
    <row r="4" spans="1:45" x14ac:dyDescent="0.35">
      <c r="A4" s="188">
        <v>43347</v>
      </c>
    </row>
    <row r="5" spans="1:45" x14ac:dyDescent="0.35">
      <c r="A5" s="188">
        <v>43348</v>
      </c>
    </row>
    <row r="6" spans="1:45" x14ac:dyDescent="0.35">
      <c r="A6" s="188">
        <v>43349</v>
      </c>
    </row>
    <row r="7" spans="1:45" x14ac:dyDescent="0.35">
      <c r="A7" s="188">
        <v>43350</v>
      </c>
    </row>
    <row r="8" spans="1:45" x14ac:dyDescent="0.35">
      <c r="A8" s="188">
        <v>43351</v>
      </c>
    </row>
    <row r="9" spans="1:45" x14ac:dyDescent="0.35">
      <c r="A9" s="188">
        <v>43352</v>
      </c>
    </row>
    <row r="10" spans="1:45" x14ac:dyDescent="0.35">
      <c r="A10" s="188">
        <v>43353</v>
      </c>
    </row>
    <row r="11" spans="1:45" x14ac:dyDescent="0.35">
      <c r="A11" s="188">
        <v>43354</v>
      </c>
    </row>
    <row r="12" spans="1:45" x14ac:dyDescent="0.35">
      <c r="A12" s="188">
        <v>43355</v>
      </c>
    </row>
    <row r="13" spans="1:45" x14ac:dyDescent="0.35">
      <c r="A13" s="188">
        <v>43356</v>
      </c>
    </row>
    <row r="14" spans="1:45" x14ac:dyDescent="0.35">
      <c r="A14" s="188">
        <v>43357</v>
      </c>
    </row>
    <row r="15" spans="1:45" x14ac:dyDescent="0.35">
      <c r="A15" s="188">
        <v>43358</v>
      </c>
    </row>
    <row r="16" spans="1:45" x14ac:dyDescent="0.35">
      <c r="A16" s="188">
        <v>43359</v>
      </c>
    </row>
    <row r="17" spans="1:1" x14ac:dyDescent="0.35">
      <c r="A17" s="188">
        <v>43360</v>
      </c>
    </row>
    <row r="18" spans="1:1" x14ac:dyDescent="0.35">
      <c r="A18" s="188">
        <v>43361</v>
      </c>
    </row>
    <row r="19" spans="1:1" x14ac:dyDescent="0.35">
      <c r="A19" s="188">
        <v>43362</v>
      </c>
    </row>
    <row r="20" spans="1:1" x14ac:dyDescent="0.35">
      <c r="A20" s="188">
        <v>43363</v>
      </c>
    </row>
    <row r="21" spans="1:1" x14ac:dyDescent="0.35">
      <c r="A21" s="188">
        <v>43364</v>
      </c>
    </row>
    <row r="22" spans="1:1" x14ac:dyDescent="0.35">
      <c r="A22" s="188">
        <v>43365</v>
      </c>
    </row>
    <row r="23" spans="1:1" x14ac:dyDescent="0.35">
      <c r="A23" s="188">
        <v>43366</v>
      </c>
    </row>
    <row r="24" spans="1:1" x14ac:dyDescent="0.35">
      <c r="A24" s="188">
        <v>43367</v>
      </c>
    </row>
    <row r="25" spans="1:1" x14ac:dyDescent="0.35">
      <c r="A25" s="188">
        <v>43368</v>
      </c>
    </row>
    <row r="26" spans="1:1" x14ac:dyDescent="0.35">
      <c r="A26" s="188">
        <v>43369</v>
      </c>
    </row>
    <row r="27" spans="1:1" x14ac:dyDescent="0.35">
      <c r="A27" s="188">
        <v>43370</v>
      </c>
    </row>
    <row r="28" spans="1:1" x14ac:dyDescent="0.35">
      <c r="A28" s="188">
        <v>43371</v>
      </c>
    </row>
    <row r="29" spans="1:1" x14ac:dyDescent="0.35">
      <c r="A29" s="188">
        <v>43372</v>
      </c>
    </row>
    <row r="30" spans="1:1" x14ac:dyDescent="0.35">
      <c r="A30" s="188">
        <v>43373</v>
      </c>
    </row>
    <row r="31" spans="1:1" x14ac:dyDescent="0.35">
      <c r="A31" s="188">
        <v>43374</v>
      </c>
    </row>
    <row r="32" spans="1:1" x14ac:dyDescent="0.35">
      <c r="A32" s="188">
        <v>43375</v>
      </c>
    </row>
    <row r="33" spans="1:1" x14ac:dyDescent="0.35">
      <c r="A33" s="188">
        <v>43376</v>
      </c>
    </row>
    <row r="34" spans="1:1" x14ac:dyDescent="0.35">
      <c r="A34" s="188">
        <v>43377</v>
      </c>
    </row>
    <row r="35" spans="1:1" x14ac:dyDescent="0.35">
      <c r="A35" s="188">
        <v>43378</v>
      </c>
    </row>
    <row r="36" spans="1:1" x14ac:dyDescent="0.35">
      <c r="A36" s="188">
        <v>43379</v>
      </c>
    </row>
    <row r="37" spans="1:1" x14ac:dyDescent="0.35">
      <c r="A37" s="188">
        <v>43380</v>
      </c>
    </row>
    <row r="38" spans="1:1" x14ac:dyDescent="0.35">
      <c r="A38" s="188">
        <v>43381</v>
      </c>
    </row>
    <row r="39" spans="1:1" x14ac:dyDescent="0.35">
      <c r="A39" s="188">
        <v>43382</v>
      </c>
    </row>
    <row r="40" spans="1:1" x14ac:dyDescent="0.35">
      <c r="A40" s="188">
        <v>43383</v>
      </c>
    </row>
    <row r="41" spans="1:1" x14ac:dyDescent="0.35">
      <c r="A41" s="188">
        <v>43384</v>
      </c>
    </row>
    <row r="42" spans="1:1" x14ac:dyDescent="0.35">
      <c r="A42" s="188">
        <v>43385</v>
      </c>
    </row>
    <row r="43" spans="1:1" x14ac:dyDescent="0.35">
      <c r="A43" s="188">
        <v>43386</v>
      </c>
    </row>
    <row r="44" spans="1:1" x14ac:dyDescent="0.35">
      <c r="A44" s="188">
        <v>43387</v>
      </c>
    </row>
    <row r="45" spans="1:1" x14ac:dyDescent="0.35">
      <c r="A45" s="188">
        <v>43388</v>
      </c>
    </row>
    <row r="46" spans="1:1" x14ac:dyDescent="0.35">
      <c r="A46" s="188">
        <v>43389</v>
      </c>
    </row>
    <row r="47" spans="1:1" x14ac:dyDescent="0.35">
      <c r="A47" s="188">
        <v>43390</v>
      </c>
    </row>
    <row r="48" spans="1:1" x14ac:dyDescent="0.35">
      <c r="A48" s="188">
        <v>43391</v>
      </c>
    </row>
    <row r="49" spans="1:1" x14ac:dyDescent="0.35">
      <c r="A49" s="188">
        <v>43392</v>
      </c>
    </row>
    <row r="50" spans="1:1" x14ac:dyDescent="0.35">
      <c r="A50" s="188">
        <v>43393</v>
      </c>
    </row>
    <row r="51" spans="1:1" x14ac:dyDescent="0.35">
      <c r="A51" s="188">
        <v>43394</v>
      </c>
    </row>
    <row r="52" spans="1:1" x14ac:dyDescent="0.35">
      <c r="A52" s="188">
        <v>43395</v>
      </c>
    </row>
    <row r="53" spans="1:1" x14ac:dyDescent="0.35">
      <c r="A53" s="188">
        <v>43396</v>
      </c>
    </row>
    <row r="54" spans="1:1" x14ac:dyDescent="0.35">
      <c r="A54" s="188">
        <v>43397</v>
      </c>
    </row>
    <row r="55" spans="1:1" x14ac:dyDescent="0.35">
      <c r="A55" s="188">
        <v>43398</v>
      </c>
    </row>
    <row r="56" spans="1:1" x14ac:dyDescent="0.35">
      <c r="A56" s="188">
        <v>43399</v>
      </c>
    </row>
    <row r="57" spans="1:1" x14ac:dyDescent="0.35">
      <c r="A57" s="188">
        <v>43400</v>
      </c>
    </row>
    <row r="58" spans="1:1" x14ac:dyDescent="0.35">
      <c r="A58" s="188">
        <v>43401</v>
      </c>
    </row>
    <row r="59" spans="1:1" x14ac:dyDescent="0.35">
      <c r="A59" s="188">
        <v>43402</v>
      </c>
    </row>
    <row r="60" spans="1:1" x14ac:dyDescent="0.35">
      <c r="A60" s="188">
        <v>43403</v>
      </c>
    </row>
    <row r="61" spans="1:1" x14ac:dyDescent="0.35">
      <c r="A61" s="188">
        <v>43404</v>
      </c>
    </row>
    <row r="62" spans="1:1" x14ac:dyDescent="0.35">
      <c r="A62" s="188">
        <v>43405</v>
      </c>
    </row>
    <row r="63" spans="1:1" x14ac:dyDescent="0.35">
      <c r="A63" s="188">
        <v>43406</v>
      </c>
    </row>
    <row r="64" spans="1:1" x14ac:dyDescent="0.35">
      <c r="A64" s="188">
        <v>43407</v>
      </c>
    </row>
    <row r="65" spans="1:1" x14ac:dyDescent="0.35">
      <c r="A65" s="188">
        <v>43408</v>
      </c>
    </row>
    <row r="66" spans="1:1" x14ac:dyDescent="0.35">
      <c r="A66" s="188">
        <v>43409</v>
      </c>
    </row>
    <row r="67" spans="1:1" x14ac:dyDescent="0.35">
      <c r="A67" s="188">
        <v>43410</v>
      </c>
    </row>
    <row r="68" spans="1:1" x14ac:dyDescent="0.35">
      <c r="A68" s="188">
        <v>43411</v>
      </c>
    </row>
    <row r="69" spans="1:1" x14ac:dyDescent="0.35">
      <c r="A69" s="188">
        <v>43412</v>
      </c>
    </row>
    <row r="70" spans="1:1" x14ac:dyDescent="0.35">
      <c r="A70" s="188">
        <v>43413</v>
      </c>
    </row>
    <row r="71" spans="1:1" x14ac:dyDescent="0.35">
      <c r="A71" s="188">
        <v>43414</v>
      </c>
    </row>
    <row r="72" spans="1:1" x14ac:dyDescent="0.35">
      <c r="A72" s="188">
        <v>43415</v>
      </c>
    </row>
    <row r="73" spans="1:1" x14ac:dyDescent="0.35">
      <c r="A73" s="188">
        <v>43416</v>
      </c>
    </row>
    <row r="74" spans="1:1" x14ac:dyDescent="0.35">
      <c r="A74" s="188">
        <v>43417</v>
      </c>
    </row>
    <row r="75" spans="1:1" x14ac:dyDescent="0.35">
      <c r="A75" s="188">
        <v>43418</v>
      </c>
    </row>
    <row r="76" spans="1:1" x14ac:dyDescent="0.35">
      <c r="A76" s="188">
        <v>43419</v>
      </c>
    </row>
    <row r="77" spans="1:1" x14ac:dyDescent="0.35">
      <c r="A77" s="188">
        <v>43420</v>
      </c>
    </row>
    <row r="78" spans="1:1" x14ac:dyDescent="0.35">
      <c r="A78" s="188">
        <v>43421</v>
      </c>
    </row>
    <row r="79" spans="1:1" x14ac:dyDescent="0.35">
      <c r="A79" s="188">
        <v>43422</v>
      </c>
    </row>
    <row r="80" spans="1:1" x14ac:dyDescent="0.35">
      <c r="A80" s="188">
        <v>43423</v>
      </c>
    </row>
    <row r="81" spans="1:1" x14ac:dyDescent="0.35">
      <c r="A81" s="188">
        <v>43424</v>
      </c>
    </row>
    <row r="82" spans="1:1" x14ac:dyDescent="0.35">
      <c r="A82" s="188">
        <v>43425</v>
      </c>
    </row>
    <row r="83" spans="1:1" x14ac:dyDescent="0.35">
      <c r="A83" s="188">
        <v>43426</v>
      </c>
    </row>
    <row r="84" spans="1:1" x14ac:dyDescent="0.35">
      <c r="A84" s="188">
        <v>43427</v>
      </c>
    </row>
    <row r="85" spans="1:1" x14ac:dyDescent="0.35">
      <c r="A85" s="188">
        <v>43428</v>
      </c>
    </row>
    <row r="86" spans="1:1" x14ac:dyDescent="0.35">
      <c r="A86" s="188">
        <v>43429</v>
      </c>
    </row>
    <row r="87" spans="1:1" x14ac:dyDescent="0.35">
      <c r="A87" s="188">
        <v>43430</v>
      </c>
    </row>
    <row r="88" spans="1:1" x14ac:dyDescent="0.35">
      <c r="A88" s="188">
        <v>43431</v>
      </c>
    </row>
    <row r="89" spans="1:1" x14ac:dyDescent="0.35">
      <c r="A89" s="188">
        <v>43432</v>
      </c>
    </row>
    <row r="90" spans="1:1" x14ac:dyDescent="0.35">
      <c r="A90" s="188">
        <v>43433</v>
      </c>
    </row>
    <row r="91" spans="1:1" x14ac:dyDescent="0.35">
      <c r="A91" s="188">
        <v>43434</v>
      </c>
    </row>
    <row r="92" spans="1:1" x14ac:dyDescent="0.35">
      <c r="A92" s="188">
        <v>43435</v>
      </c>
    </row>
    <row r="93" spans="1:1" x14ac:dyDescent="0.35">
      <c r="A93" s="188">
        <v>43436</v>
      </c>
    </row>
    <row r="94" spans="1:1" x14ac:dyDescent="0.35">
      <c r="A94" s="188">
        <v>43437</v>
      </c>
    </row>
    <row r="95" spans="1:1" x14ac:dyDescent="0.35">
      <c r="A95" s="188">
        <v>43438</v>
      </c>
    </row>
    <row r="96" spans="1:1" x14ac:dyDescent="0.35">
      <c r="A96" s="188">
        <v>43439</v>
      </c>
    </row>
    <row r="97" spans="1:1" x14ac:dyDescent="0.35">
      <c r="A97" s="188">
        <v>43440</v>
      </c>
    </row>
    <row r="98" spans="1:1" x14ac:dyDescent="0.35">
      <c r="A98" s="188">
        <v>43441</v>
      </c>
    </row>
    <row r="99" spans="1:1" x14ac:dyDescent="0.35">
      <c r="A99" s="188">
        <v>43442</v>
      </c>
    </row>
    <row r="100" spans="1:1" x14ac:dyDescent="0.35">
      <c r="A100" s="188">
        <v>43443</v>
      </c>
    </row>
    <row r="101" spans="1:1" x14ac:dyDescent="0.35">
      <c r="A101" s="188">
        <v>43444</v>
      </c>
    </row>
    <row r="102" spans="1:1" x14ac:dyDescent="0.35">
      <c r="A102" s="188">
        <v>43445</v>
      </c>
    </row>
    <row r="103" spans="1:1" x14ac:dyDescent="0.35">
      <c r="A103" s="188">
        <v>43446</v>
      </c>
    </row>
    <row r="104" spans="1:1" x14ac:dyDescent="0.35">
      <c r="A104" s="188">
        <v>43447</v>
      </c>
    </row>
    <row r="105" spans="1:1" x14ac:dyDescent="0.35">
      <c r="A105" s="188">
        <v>43448</v>
      </c>
    </row>
    <row r="106" spans="1:1" x14ac:dyDescent="0.35">
      <c r="A106" s="188">
        <v>43449</v>
      </c>
    </row>
    <row r="107" spans="1:1" x14ac:dyDescent="0.35">
      <c r="A107" s="188">
        <v>43450</v>
      </c>
    </row>
    <row r="108" spans="1:1" x14ac:dyDescent="0.35">
      <c r="A108" s="188">
        <v>43451</v>
      </c>
    </row>
    <row r="109" spans="1:1" x14ac:dyDescent="0.35">
      <c r="A109" s="188">
        <v>43452</v>
      </c>
    </row>
    <row r="110" spans="1:1" x14ac:dyDescent="0.35">
      <c r="A110" s="188">
        <v>43453</v>
      </c>
    </row>
    <row r="111" spans="1:1" x14ac:dyDescent="0.35">
      <c r="A111" s="188">
        <v>43454</v>
      </c>
    </row>
    <row r="112" spans="1:1" x14ac:dyDescent="0.35">
      <c r="A112" s="188">
        <v>43455</v>
      </c>
    </row>
    <row r="113" spans="1:1" x14ac:dyDescent="0.35">
      <c r="A113" s="188">
        <v>43456</v>
      </c>
    </row>
    <row r="114" spans="1:1" x14ac:dyDescent="0.35">
      <c r="A114" s="188">
        <v>43457</v>
      </c>
    </row>
    <row r="115" spans="1:1" x14ac:dyDescent="0.35">
      <c r="A115" s="188">
        <v>43458</v>
      </c>
    </row>
    <row r="116" spans="1:1" x14ac:dyDescent="0.35">
      <c r="A116" s="188">
        <v>43459</v>
      </c>
    </row>
    <row r="117" spans="1:1" x14ac:dyDescent="0.35">
      <c r="A117" s="188">
        <v>43460</v>
      </c>
    </row>
    <row r="118" spans="1:1" x14ac:dyDescent="0.35">
      <c r="A118" s="188">
        <v>43461</v>
      </c>
    </row>
    <row r="119" spans="1:1" x14ac:dyDescent="0.35">
      <c r="A119" s="188">
        <v>43462</v>
      </c>
    </row>
    <row r="120" spans="1:1" x14ac:dyDescent="0.35">
      <c r="A120" s="188">
        <v>43463</v>
      </c>
    </row>
    <row r="121" spans="1:1" x14ac:dyDescent="0.35">
      <c r="A121" s="188">
        <v>43464</v>
      </c>
    </row>
    <row r="122" spans="1:1" x14ac:dyDescent="0.35">
      <c r="A122" s="188">
        <v>43465</v>
      </c>
    </row>
    <row r="123" spans="1:1" x14ac:dyDescent="0.35">
      <c r="A123" s="188">
        <v>43466</v>
      </c>
    </row>
    <row r="124" spans="1:1" x14ac:dyDescent="0.35">
      <c r="A124" s="188">
        <v>43467</v>
      </c>
    </row>
    <row r="125" spans="1:1" x14ac:dyDescent="0.35">
      <c r="A125" s="188">
        <v>43468</v>
      </c>
    </row>
    <row r="126" spans="1:1" x14ac:dyDescent="0.35">
      <c r="A126" s="188">
        <v>43469</v>
      </c>
    </row>
    <row r="127" spans="1:1" x14ac:dyDescent="0.35">
      <c r="A127" s="188">
        <v>43470</v>
      </c>
    </row>
    <row r="128" spans="1:1" x14ac:dyDescent="0.35">
      <c r="A128" s="188">
        <v>43471</v>
      </c>
    </row>
    <row r="129" spans="1:1" x14ac:dyDescent="0.35">
      <c r="A129" s="188">
        <v>43472</v>
      </c>
    </row>
    <row r="130" spans="1:1" x14ac:dyDescent="0.35">
      <c r="A130" s="188">
        <v>43473</v>
      </c>
    </row>
    <row r="131" spans="1:1" x14ac:dyDescent="0.35">
      <c r="A131" s="188">
        <v>43474</v>
      </c>
    </row>
    <row r="132" spans="1:1" x14ac:dyDescent="0.35">
      <c r="A132" s="188">
        <v>43475</v>
      </c>
    </row>
    <row r="133" spans="1:1" x14ac:dyDescent="0.35">
      <c r="A133" s="188">
        <v>43476</v>
      </c>
    </row>
    <row r="134" spans="1:1" x14ac:dyDescent="0.35">
      <c r="A134" s="188">
        <v>43477</v>
      </c>
    </row>
    <row r="135" spans="1:1" x14ac:dyDescent="0.35">
      <c r="A135" s="188">
        <v>43478</v>
      </c>
    </row>
    <row r="136" spans="1:1" x14ac:dyDescent="0.35">
      <c r="A136" s="188">
        <v>43479</v>
      </c>
    </row>
    <row r="137" spans="1:1" x14ac:dyDescent="0.35">
      <c r="A137" s="188">
        <v>43480</v>
      </c>
    </row>
    <row r="138" spans="1:1" x14ac:dyDescent="0.35">
      <c r="A138" s="188">
        <v>43481</v>
      </c>
    </row>
    <row r="139" spans="1:1" x14ac:dyDescent="0.35">
      <c r="A139" s="188">
        <v>43482</v>
      </c>
    </row>
    <row r="140" spans="1:1" x14ac:dyDescent="0.35">
      <c r="A140" s="188">
        <v>43483</v>
      </c>
    </row>
    <row r="141" spans="1:1" x14ac:dyDescent="0.35">
      <c r="A141" s="188">
        <v>43484</v>
      </c>
    </row>
    <row r="142" spans="1:1" x14ac:dyDescent="0.35">
      <c r="A142" s="188">
        <v>43485</v>
      </c>
    </row>
    <row r="143" spans="1:1" x14ac:dyDescent="0.35">
      <c r="A143" s="188">
        <v>43486</v>
      </c>
    </row>
    <row r="144" spans="1:1" x14ac:dyDescent="0.35">
      <c r="A144" s="188">
        <v>43487</v>
      </c>
    </row>
    <row r="145" spans="1:1" x14ac:dyDescent="0.35">
      <c r="A145" s="188">
        <v>43488</v>
      </c>
    </row>
    <row r="146" spans="1:1" x14ac:dyDescent="0.35">
      <c r="A146" s="188">
        <v>43489</v>
      </c>
    </row>
    <row r="147" spans="1:1" x14ac:dyDescent="0.35">
      <c r="A147" s="188">
        <v>43490</v>
      </c>
    </row>
    <row r="148" spans="1:1" x14ac:dyDescent="0.35">
      <c r="A148" s="188">
        <v>43491</v>
      </c>
    </row>
    <row r="149" spans="1:1" x14ac:dyDescent="0.35">
      <c r="A149" s="188">
        <v>43492</v>
      </c>
    </row>
    <row r="150" spans="1:1" x14ac:dyDescent="0.35">
      <c r="A150" s="188">
        <v>43493</v>
      </c>
    </row>
    <row r="151" spans="1:1" x14ac:dyDescent="0.35">
      <c r="A151" s="188">
        <v>43494</v>
      </c>
    </row>
    <row r="152" spans="1:1" x14ac:dyDescent="0.35">
      <c r="A152" s="188">
        <v>43495</v>
      </c>
    </row>
    <row r="153" spans="1:1" x14ac:dyDescent="0.35">
      <c r="A153" s="188">
        <v>43496</v>
      </c>
    </row>
    <row r="154" spans="1:1" x14ac:dyDescent="0.35">
      <c r="A154" s="188">
        <v>43497</v>
      </c>
    </row>
    <row r="155" spans="1:1" x14ac:dyDescent="0.35">
      <c r="A155" s="188">
        <v>43498</v>
      </c>
    </row>
    <row r="156" spans="1:1" x14ac:dyDescent="0.35">
      <c r="A156" s="188">
        <v>43499</v>
      </c>
    </row>
    <row r="157" spans="1:1" x14ac:dyDescent="0.35">
      <c r="A157" s="188">
        <v>43500</v>
      </c>
    </row>
    <row r="158" spans="1:1" x14ac:dyDescent="0.35">
      <c r="A158" s="188">
        <v>43501</v>
      </c>
    </row>
    <row r="159" spans="1:1" x14ac:dyDescent="0.35">
      <c r="A159" s="188">
        <v>43502</v>
      </c>
    </row>
    <row r="160" spans="1:1" x14ac:dyDescent="0.35">
      <c r="A160" s="188">
        <v>43503</v>
      </c>
    </row>
    <row r="161" spans="1:1" x14ac:dyDescent="0.35">
      <c r="A161" s="188">
        <v>43504</v>
      </c>
    </row>
    <row r="162" spans="1:1" x14ac:dyDescent="0.35">
      <c r="A162" s="188">
        <v>43505</v>
      </c>
    </row>
    <row r="163" spans="1:1" x14ac:dyDescent="0.35">
      <c r="A163" s="188">
        <v>43506</v>
      </c>
    </row>
    <row r="164" spans="1:1" x14ac:dyDescent="0.35">
      <c r="A164" s="188">
        <v>43507</v>
      </c>
    </row>
    <row r="165" spans="1:1" x14ac:dyDescent="0.35">
      <c r="A165" s="188">
        <v>43508</v>
      </c>
    </row>
    <row r="166" spans="1:1" x14ac:dyDescent="0.35">
      <c r="A166" s="188">
        <v>43509</v>
      </c>
    </row>
    <row r="167" spans="1:1" x14ac:dyDescent="0.35">
      <c r="A167" s="188">
        <v>43510</v>
      </c>
    </row>
    <row r="168" spans="1:1" x14ac:dyDescent="0.35">
      <c r="A168" s="188">
        <v>43511</v>
      </c>
    </row>
    <row r="169" spans="1:1" x14ac:dyDescent="0.35">
      <c r="A169" s="188">
        <v>43512</v>
      </c>
    </row>
    <row r="170" spans="1:1" x14ac:dyDescent="0.35">
      <c r="A170" s="188">
        <v>43513</v>
      </c>
    </row>
    <row r="171" spans="1:1" x14ac:dyDescent="0.35">
      <c r="A171" s="188">
        <v>43514</v>
      </c>
    </row>
    <row r="172" spans="1:1" x14ac:dyDescent="0.35">
      <c r="A172" s="188">
        <v>43515</v>
      </c>
    </row>
    <row r="173" spans="1:1" x14ac:dyDescent="0.35">
      <c r="A173" s="188">
        <v>43516</v>
      </c>
    </row>
    <row r="174" spans="1:1" x14ac:dyDescent="0.35">
      <c r="A174" s="188">
        <v>43517</v>
      </c>
    </row>
    <row r="175" spans="1:1" x14ac:dyDescent="0.35">
      <c r="A175" s="188">
        <v>43518</v>
      </c>
    </row>
    <row r="176" spans="1:1" x14ac:dyDescent="0.35">
      <c r="A176" s="188">
        <v>43519</v>
      </c>
    </row>
    <row r="177" spans="1:1" x14ac:dyDescent="0.35">
      <c r="A177" s="188">
        <v>43520</v>
      </c>
    </row>
    <row r="178" spans="1:1" x14ac:dyDescent="0.35">
      <c r="A178" s="188">
        <v>43521</v>
      </c>
    </row>
    <row r="179" spans="1:1" x14ac:dyDescent="0.35">
      <c r="A179" s="188">
        <v>43522</v>
      </c>
    </row>
    <row r="180" spans="1:1" x14ac:dyDescent="0.35">
      <c r="A180" s="188">
        <v>43523</v>
      </c>
    </row>
    <row r="181" spans="1:1" x14ac:dyDescent="0.35">
      <c r="A181" s="188">
        <v>43524</v>
      </c>
    </row>
    <row r="182" spans="1:1" x14ac:dyDescent="0.35">
      <c r="A182" s="188">
        <v>43525</v>
      </c>
    </row>
    <row r="183" spans="1:1" x14ac:dyDescent="0.35">
      <c r="A183" s="188">
        <v>43526</v>
      </c>
    </row>
    <row r="184" spans="1:1" x14ac:dyDescent="0.35">
      <c r="A184" s="188">
        <v>43527</v>
      </c>
    </row>
    <row r="185" spans="1:1" x14ac:dyDescent="0.35">
      <c r="A185" s="188">
        <v>43528</v>
      </c>
    </row>
    <row r="186" spans="1:1" x14ac:dyDescent="0.35">
      <c r="A186" s="188">
        <v>43529</v>
      </c>
    </row>
    <row r="187" spans="1:1" x14ac:dyDescent="0.35">
      <c r="A187" s="188">
        <v>43530</v>
      </c>
    </row>
    <row r="188" spans="1:1" x14ac:dyDescent="0.35">
      <c r="A188" s="188">
        <v>43531</v>
      </c>
    </row>
    <row r="189" spans="1:1" x14ac:dyDescent="0.35">
      <c r="A189" s="188">
        <v>43532</v>
      </c>
    </row>
    <row r="190" spans="1:1" x14ac:dyDescent="0.35">
      <c r="A190" s="188">
        <v>43533</v>
      </c>
    </row>
    <row r="191" spans="1:1" x14ac:dyDescent="0.35">
      <c r="A191" s="188">
        <v>43534</v>
      </c>
    </row>
    <row r="192" spans="1:1" x14ac:dyDescent="0.35">
      <c r="A192" s="188">
        <v>43535</v>
      </c>
    </row>
    <row r="193" spans="1:1" x14ac:dyDescent="0.35">
      <c r="A193" s="188">
        <v>43536</v>
      </c>
    </row>
    <row r="194" spans="1:1" x14ac:dyDescent="0.35">
      <c r="A194" s="188">
        <v>43537</v>
      </c>
    </row>
    <row r="195" spans="1:1" x14ac:dyDescent="0.35">
      <c r="A195" s="188">
        <v>43538</v>
      </c>
    </row>
    <row r="196" spans="1:1" x14ac:dyDescent="0.35">
      <c r="A196" s="188">
        <v>43539</v>
      </c>
    </row>
    <row r="197" spans="1:1" x14ac:dyDescent="0.35">
      <c r="A197" s="188">
        <v>43540</v>
      </c>
    </row>
    <row r="198" spans="1:1" x14ac:dyDescent="0.35">
      <c r="A198" s="188">
        <v>43541</v>
      </c>
    </row>
    <row r="199" spans="1:1" x14ac:dyDescent="0.35">
      <c r="A199" s="188">
        <v>43542</v>
      </c>
    </row>
    <row r="200" spans="1:1" x14ac:dyDescent="0.35">
      <c r="A200" s="188">
        <v>43543</v>
      </c>
    </row>
    <row r="201" spans="1:1" x14ac:dyDescent="0.35">
      <c r="A201" s="188">
        <v>43544</v>
      </c>
    </row>
    <row r="202" spans="1:1" x14ac:dyDescent="0.35">
      <c r="A202" s="188">
        <v>43545</v>
      </c>
    </row>
    <row r="203" spans="1:1" x14ac:dyDescent="0.35">
      <c r="A203" s="188">
        <v>43546</v>
      </c>
    </row>
    <row r="204" spans="1:1" x14ac:dyDescent="0.35">
      <c r="A204" s="188">
        <v>43547</v>
      </c>
    </row>
    <row r="205" spans="1:1" x14ac:dyDescent="0.35">
      <c r="A205" s="188">
        <v>43548</v>
      </c>
    </row>
    <row r="206" spans="1:1" x14ac:dyDescent="0.35">
      <c r="A206" s="188">
        <v>43549</v>
      </c>
    </row>
    <row r="207" spans="1:1" x14ac:dyDescent="0.35">
      <c r="A207" s="188">
        <v>43550</v>
      </c>
    </row>
    <row r="208" spans="1:1" x14ac:dyDescent="0.35">
      <c r="A208" s="188">
        <v>43551</v>
      </c>
    </row>
    <row r="209" spans="1:1" x14ac:dyDescent="0.35">
      <c r="A209" s="188">
        <v>43552</v>
      </c>
    </row>
    <row r="210" spans="1:1" x14ac:dyDescent="0.35">
      <c r="A210" s="188">
        <v>43553</v>
      </c>
    </row>
    <row r="211" spans="1:1" x14ac:dyDescent="0.35">
      <c r="A211" s="188">
        <v>43554</v>
      </c>
    </row>
    <row r="212" spans="1:1" x14ac:dyDescent="0.35">
      <c r="A212" s="188">
        <v>43555</v>
      </c>
    </row>
    <row r="213" spans="1:1" x14ac:dyDescent="0.35">
      <c r="A213" s="188">
        <v>43556</v>
      </c>
    </row>
    <row r="214" spans="1:1" x14ac:dyDescent="0.35">
      <c r="A214" s="188">
        <v>43557</v>
      </c>
    </row>
    <row r="215" spans="1:1" x14ac:dyDescent="0.35">
      <c r="A215" s="188">
        <v>43558</v>
      </c>
    </row>
    <row r="216" spans="1:1" x14ac:dyDescent="0.35">
      <c r="A216" s="188">
        <v>43559</v>
      </c>
    </row>
    <row r="217" spans="1:1" x14ac:dyDescent="0.35">
      <c r="A217" s="188">
        <v>43560</v>
      </c>
    </row>
    <row r="218" spans="1:1" x14ac:dyDescent="0.35">
      <c r="A218" s="188">
        <v>43561</v>
      </c>
    </row>
    <row r="219" spans="1:1" x14ac:dyDescent="0.35">
      <c r="A219" s="188">
        <v>43562</v>
      </c>
    </row>
    <row r="220" spans="1:1" x14ac:dyDescent="0.35">
      <c r="A220" s="188">
        <v>43563</v>
      </c>
    </row>
    <row r="221" spans="1:1" x14ac:dyDescent="0.35">
      <c r="A221" s="188">
        <v>43564</v>
      </c>
    </row>
    <row r="222" spans="1:1" x14ac:dyDescent="0.35">
      <c r="A222" s="188">
        <v>43565</v>
      </c>
    </row>
    <row r="223" spans="1:1" x14ac:dyDescent="0.35">
      <c r="A223" s="188">
        <v>43566</v>
      </c>
    </row>
    <row r="224" spans="1:1" x14ac:dyDescent="0.35">
      <c r="A224" s="188">
        <v>43567</v>
      </c>
    </row>
    <row r="225" spans="1:1" x14ac:dyDescent="0.35">
      <c r="A225" s="188">
        <v>43568</v>
      </c>
    </row>
    <row r="226" spans="1:1" x14ac:dyDescent="0.35">
      <c r="A226" s="188">
        <v>43569</v>
      </c>
    </row>
    <row r="227" spans="1:1" x14ac:dyDescent="0.35">
      <c r="A227" s="188">
        <v>43570</v>
      </c>
    </row>
    <row r="228" spans="1:1" x14ac:dyDescent="0.35">
      <c r="A228" s="188">
        <v>43571</v>
      </c>
    </row>
    <row r="229" spans="1:1" x14ac:dyDescent="0.35">
      <c r="A229" s="188">
        <v>43572</v>
      </c>
    </row>
    <row r="230" spans="1:1" x14ac:dyDescent="0.35">
      <c r="A230" s="188">
        <v>43573</v>
      </c>
    </row>
    <row r="231" spans="1:1" x14ac:dyDescent="0.35">
      <c r="A231" s="188">
        <v>43574</v>
      </c>
    </row>
    <row r="232" spans="1:1" x14ac:dyDescent="0.35">
      <c r="A232" s="188">
        <v>43575</v>
      </c>
    </row>
    <row r="233" spans="1:1" x14ac:dyDescent="0.35">
      <c r="A233" s="188">
        <v>43576</v>
      </c>
    </row>
    <row r="234" spans="1:1" x14ac:dyDescent="0.35">
      <c r="A234" s="188">
        <v>43577</v>
      </c>
    </row>
    <row r="235" spans="1:1" x14ac:dyDescent="0.35">
      <c r="A235" s="188">
        <v>43578</v>
      </c>
    </row>
    <row r="236" spans="1:1" x14ac:dyDescent="0.35">
      <c r="A236" s="188">
        <v>43579</v>
      </c>
    </row>
    <row r="237" spans="1:1" x14ac:dyDescent="0.35">
      <c r="A237" s="188">
        <v>43580</v>
      </c>
    </row>
    <row r="238" spans="1:1" x14ac:dyDescent="0.35">
      <c r="A238" s="188">
        <v>43581</v>
      </c>
    </row>
    <row r="239" spans="1:1" x14ac:dyDescent="0.35">
      <c r="A239" s="188">
        <v>43582</v>
      </c>
    </row>
    <row r="240" spans="1:1" x14ac:dyDescent="0.35">
      <c r="A240" s="188">
        <v>43583</v>
      </c>
    </row>
    <row r="241" spans="1:1" x14ac:dyDescent="0.35">
      <c r="A241" s="188">
        <v>43584</v>
      </c>
    </row>
    <row r="242" spans="1:1" x14ac:dyDescent="0.35">
      <c r="A242" s="188">
        <v>43585</v>
      </c>
    </row>
    <row r="243" spans="1:1" x14ac:dyDescent="0.35">
      <c r="A243" s="188">
        <v>43586</v>
      </c>
    </row>
    <row r="244" spans="1:1" x14ac:dyDescent="0.35">
      <c r="A244" s="188">
        <v>43587</v>
      </c>
    </row>
    <row r="245" spans="1:1" x14ac:dyDescent="0.35">
      <c r="A245" s="188">
        <v>43588</v>
      </c>
    </row>
    <row r="246" spans="1:1" x14ac:dyDescent="0.35">
      <c r="A246" s="188">
        <v>43589</v>
      </c>
    </row>
    <row r="247" spans="1:1" x14ac:dyDescent="0.35">
      <c r="A247" s="188">
        <v>43590</v>
      </c>
    </row>
    <row r="248" spans="1:1" x14ac:dyDescent="0.35">
      <c r="A248" s="188">
        <v>43591</v>
      </c>
    </row>
    <row r="249" spans="1:1" x14ac:dyDescent="0.35">
      <c r="A249" s="188">
        <v>43592</v>
      </c>
    </row>
    <row r="250" spans="1:1" x14ac:dyDescent="0.35">
      <c r="A250" s="188">
        <v>43593</v>
      </c>
    </row>
    <row r="251" spans="1:1" x14ac:dyDescent="0.35">
      <c r="A251" s="188">
        <v>43594</v>
      </c>
    </row>
    <row r="252" spans="1:1" x14ac:dyDescent="0.35">
      <c r="A252" s="188">
        <v>43595</v>
      </c>
    </row>
    <row r="253" spans="1:1" x14ac:dyDescent="0.35">
      <c r="A253" s="188">
        <v>43596</v>
      </c>
    </row>
    <row r="254" spans="1:1" x14ac:dyDescent="0.35">
      <c r="A254" s="188">
        <v>43597</v>
      </c>
    </row>
    <row r="255" spans="1:1" x14ac:dyDescent="0.35">
      <c r="A255" s="188">
        <v>43598</v>
      </c>
    </row>
    <row r="256" spans="1:1" x14ac:dyDescent="0.35">
      <c r="A256" s="188">
        <v>43599</v>
      </c>
    </row>
    <row r="257" spans="1:1" x14ac:dyDescent="0.35">
      <c r="A257" s="188">
        <v>43600</v>
      </c>
    </row>
    <row r="258" spans="1:1" x14ac:dyDescent="0.35">
      <c r="A258" s="188">
        <v>43601</v>
      </c>
    </row>
    <row r="259" spans="1:1" x14ac:dyDescent="0.35">
      <c r="A259" s="188">
        <v>43602</v>
      </c>
    </row>
    <row r="260" spans="1:1" x14ac:dyDescent="0.35">
      <c r="A260" s="188">
        <v>43603</v>
      </c>
    </row>
    <row r="261" spans="1:1" x14ac:dyDescent="0.35">
      <c r="A261" s="188">
        <v>43604</v>
      </c>
    </row>
    <row r="262" spans="1:1" x14ac:dyDescent="0.35">
      <c r="A262" s="188">
        <v>43605</v>
      </c>
    </row>
    <row r="263" spans="1:1" x14ac:dyDescent="0.35">
      <c r="A263" s="188">
        <v>43606</v>
      </c>
    </row>
    <row r="264" spans="1:1" x14ac:dyDescent="0.35">
      <c r="A264" s="188">
        <v>43607</v>
      </c>
    </row>
    <row r="265" spans="1:1" x14ac:dyDescent="0.35">
      <c r="A265" s="188">
        <v>43608</v>
      </c>
    </row>
    <row r="266" spans="1:1" x14ac:dyDescent="0.35">
      <c r="A266" s="188">
        <v>43609</v>
      </c>
    </row>
    <row r="267" spans="1:1" x14ac:dyDescent="0.35">
      <c r="A267" s="188">
        <v>43610</v>
      </c>
    </row>
    <row r="268" spans="1:1" x14ac:dyDescent="0.35">
      <c r="A268" s="188">
        <v>43611</v>
      </c>
    </row>
    <row r="269" spans="1:1" x14ac:dyDescent="0.35">
      <c r="A269" s="188">
        <v>43612</v>
      </c>
    </row>
    <row r="270" spans="1:1" x14ac:dyDescent="0.35">
      <c r="A270" s="188">
        <v>43613</v>
      </c>
    </row>
    <row r="271" spans="1:1" x14ac:dyDescent="0.35">
      <c r="A271" s="188">
        <v>43614</v>
      </c>
    </row>
    <row r="272" spans="1:1" x14ac:dyDescent="0.35">
      <c r="A272" s="188">
        <v>43615</v>
      </c>
    </row>
    <row r="273" spans="1:1" x14ac:dyDescent="0.35">
      <c r="A273" s="188">
        <v>43616</v>
      </c>
    </row>
    <row r="274" spans="1:1" x14ac:dyDescent="0.35">
      <c r="A274" s="188">
        <v>43617</v>
      </c>
    </row>
    <row r="275" spans="1:1" x14ac:dyDescent="0.35">
      <c r="A275" s="188">
        <v>43618</v>
      </c>
    </row>
    <row r="276" spans="1:1" x14ac:dyDescent="0.35">
      <c r="A276" s="188">
        <v>43619</v>
      </c>
    </row>
    <row r="277" spans="1:1" x14ac:dyDescent="0.35">
      <c r="A277" s="188">
        <v>43620</v>
      </c>
    </row>
    <row r="278" spans="1:1" x14ac:dyDescent="0.35">
      <c r="A278" s="188">
        <v>43621</v>
      </c>
    </row>
    <row r="279" spans="1:1" x14ac:dyDescent="0.35">
      <c r="A279" s="188">
        <v>43622</v>
      </c>
    </row>
    <row r="280" spans="1:1" x14ac:dyDescent="0.35">
      <c r="A280" s="188">
        <v>43623</v>
      </c>
    </row>
    <row r="281" spans="1:1" x14ac:dyDescent="0.35">
      <c r="A281" s="188">
        <v>43624</v>
      </c>
    </row>
    <row r="282" spans="1:1" x14ac:dyDescent="0.35">
      <c r="A282" s="188">
        <v>43625</v>
      </c>
    </row>
    <row r="283" spans="1:1" x14ac:dyDescent="0.35">
      <c r="A283" s="188">
        <v>43626</v>
      </c>
    </row>
    <row r="284" spans="1:1" x14ac:dyDescent="0.35">
      <c r="A284" s="188">
        <v>43627</v>
      </c>
    </row>
    <row r="285" spans="1:1" x14ac:dyDescent="0.35">
      <c r="A285" s="188">
        <v>43628</v>
      </c>
    </row>
    <row r="286" spans="1:1" x14ac:dyDescent="0.35">
      <c r="A286" s="188">
        <v>43629</v>
      </c>
    </row>
    <row r="287" spans="1:1" x14ac:dyDescent="0.35">
      <c r="A287" s="188">
        <v>43630</v>
      </c>
    </row>
    <row r="288" spans="1:1" x14ac:dyDescent="0.35">
      <c r="A288" s="188">
        <v>43631</v>
      </c>
    </row>
    <row r="289" spans="1:1" x14ac:dyDescent="0.35">
      <c r="A289" s="188">
        <v>43632</v>
      </c>
    </row>
    <row r="290" spans="1:1" x14ac:dyDescent="0.35">
      <c r="A290" s="188">
        <v>43633</v>
      </c>
    </row>
    <row r="291" spans="1:1" x14ac:dyDescent="0.35">
      <c r="A291" s="188">
        <v>43634</v>
      </c>
    </row>
    <row r="292" spans="1:1" x14ac:dyDescent="0.35">
      <c r="A292" s="188">
        <v>43635</v>
      </c>
    </row>
    <row r="293" spans="1:1" x14ac:dyDescent="0.35">
      <c r="A293" s="188">
        <v>43636</v>
      </c>
    </row>
    <row r="294" spans="1:1" x14ac:dyDescent="0.35">
      <c r="A294" s="188">
        <v>43637</v>
      </c>
    </row>
    <row r="295" spans="1:1" x14ac:dyDescent="0.35">
      <c r="A295" s="188">
        <v>43638</v>
      </c>
    </row>
    <row r="296" spans="1:1" x14ac:dyDescent="0.35">
      <c r="A296" s="188">
        <v>43639</v>
      </c>
    </row>
    <row r="297" spans="1:1" x14ac:dyDescent="0.35">
      <c r="A297" s="188">
        <v>43640</v>
      </c>
    </row>
    <row r="298" spans="1:1" x14ac:dyDescent="0.35">
      <c r="A298" s="188">
        <v>43641</v>
      </c>
    </row>
    <row r="299" spans="1:1" x14ac:dyDescent="0.35">
      <c r="A299" s="188">
        <v>43642</v>
      </c>
    </row>
    <row r="300" spans="1:1" x14ac:dyDescent="0.35">
      <c r="A300" s="188">
        <v>43643</v>
      </c>
    </row>
    <row r="301" spans="1:1" x14ac:dyDescent="0.35">
      <c r="A301" s="188">
        <v>43644</v>
      </c>
    </row>
    <row r="302" spans="1:1" x14ac:dyDescent="0.35">
      <c r="A302" s="188">
        <v>43645</v>
      </c>
    </row>
    <row r="303" spans="1:1" x14ac:dyDescent="0.35">
      <c r="A303" s="188">
        <v>43646</v>
      </c>
    </row>
    <row r="304" spans="1:1" x14ac:dyDescent="0.35">
      <c r="A304" s="188">
        <v>43647</v>
      </c>
    </row>
    <row r="305" spans="1:1" x14ac:dyDescent="0.35">
      <c r="A305" s="188">
        <v>43648</v>
      </c>
    </row>
    <row r="306" spans="1:1" x14ac:dyDescent="0.35">
      <c r="A306" s="188">
        <v>43649</v>
      </c>
    </row>
    <row r="307" spans="1:1" x14ac:dyDescent="0.35">
      <c r="A307" s="188">
        <v>43650</v>
      </c>
    </row>
    <row r="308" spans="1:1" x14ac:dyDescent="0.35">
      <c r="A308" s="188">
        <v>43651</v>
      </c>
    </row>
    <row r="309" spans="1:1" x14ac:dyDescent="0.35">
      <c r="A309" s="188">
        <v>43652</v>
      </c>
    </row>
    <row r="310" spans="1:1" x14ac:dyDescent="0.35">
      <c r="A310" s="188">
        <v>43653</v>
      </c>
    </row>
    <row r="311" spans="1:1" x14ac:dyDescent="0.35">
      <c r="A311" s="188">
        <v>43654</v>
      </c>
    </row>
    <row r="312" spans="1:1" x14ac:dyDescent="0.35">
      <c r="A312" s="188">
        <v>43655</v>
      </c>
    </row>
    <row r="313" spans="1:1" x14ac:dyDescent="0.35">
      <c r="A313" s="188">
        <v>43656</v>
      </c>
    </row>
    <row r="314" spans="1:1" x14ac:dyDescent="0.35">
      <c r="A314" s="188">
        <v>43657</v>
      </c>
    </row>
    <row r="315" spans="1:1" x14ac:dyDescent="0.35">
      <c r="A315" s="188">
        <v>43658</v>
      </c>
    </row>
    <row r="316" spans="1:1" x14ac:dyDescent="0.35">
      <c r="A316" s="188">
        <v>43659</v>
      </c>
    </row>
    <row r="317" spans="1:1" x14ac:dyDescent="0.35">
      <c r="A317" s="188">
        <v>43660</v>
      </c>
    </row>
    <row r="318" spans="1:1" x14ac:dyDescent="0.35">
      <c r="A318" s="188">
        <v>43661</v>
      </c>
    </row>
    <row r="319" spans="1:1" x14ac:dyDescent="0.35">
      <c r="A319" s="188">
        <v>43662</v>
      </c>
    </row>
    <row r="320" spans="1:1" x14ac:dyDescent="0.35">
      <c r="A320" s="188">
        <v>43663</v>
      </c>
    </row>
    <row r="321" spans="1:1" x14ac:dyDescent="0.35">
      <c r="A321" s="188">
        <v>43664</v>
      </c>
    </row>
    <row r="322" spans="1:1" x14ac:dyDescent="0.35">
      <c r="A322" s="188">
        <v>43665</v>
      </c>
    </row>
    <row r="323" spans="1:1" x14ac:dyDescent="0.35">
      <c r="A323" s="188">
        <v>43666</v>
      </c>
    </row>
    <row r="324" spans="1:1" x14ac:dyDescent="0.35">
      <c r="A324" s="188">
        <v>43667</v>
      </c>
    </row>
    <row r="325" spans="1:1" x14ac:dyDescent="0.35">
      <c r="A325" s="188">
        <v>43668</v>
      </c>
    </row>
    <row r="326" spans="1:1" x14ac:dyDescent="0.35">
      <c r="A326" s="188">
        <v>43669</v>
      </c>
    </row>
    <row r="327" spans="1:1" x14ac:dyDescent="0.35">
      <c r="A327" s="188">
        <v>43670</v>
      </c>
    </row>
    <row r="328" spans="1:1" x14ac:dyDescent="0.35">
      <c r="A328" s="188">
        <v>43671</v>
      </c>
    </row>
    <row r="329" spans="1:1" x14ac:dyDescent="0.35">
      <c r="A329" s="188">
        <v>43672</v>
      </c>
    </row>
    <row r="330" spans="1:1" x14ac:dyDescent="0.35">
      <c r="A330" s="188">
        <v>43673</v>
      </c>
    </row>
    <row r="331" spans="1:1" x14ac:dyDescent="0.35">
      <c r="A331" s="188">
        <v>43674</v>
      </c>
    </row>
    <row r="332" spans="1:1" x14ac:dyDescent="0.35">
      <c r="A332" s="188">
        <v>43675</v>
      </c>
    </row>
    <row r="333" spans="1:1" x14ac:dyDescent="0.35">
      <c r="A333" s="188">
        <v>43676</v>
      </c>
    </row>
    <row r="334" spans="1:1" x14ac:dyDescent="0.35">
      <c r="A334" s="188">
        <v>43677</v>
      </c>
    </row>
    <row r="335" spans="1:1" x14ac:dyDescent="0.35">
      <c r="A335" s="188">
        <v>43678</v>
      </c>
    </row>
    <row r="336" spans="1:1" x14ac:dyDescent="0.35">
      <c r="A336" s="188">
        <v>43679</v>
      </c>
    </row>
    <row r="337" spans="1:1" x14ac:dyDescent="0.35">
      <c r="A337" s="188">
        <v>43680</v>
      </c>
    </row>
    <row r="338" spans="1:1" x14ac:dyDescent="0.35">
      <c r="A338" s="188">
        <v>43681</v>
      </c>
    </row>
    <row r="339" spans="1:1" x14ac:dyDescent="0.35">
      <c r="A339" s="188">
        <v>43682</v>
      </c>
    </row>
    <row r="340" spans="1:1" x14ac:dyDescent="0.35">
      <c r="A340" s="188">
        <v>43683</v>
      </c>
    </row>
    <row r="341" spans="1:1" x14ac:dyDescent="0.35">
      <c r="A341" s="188">
        <v>43684</v>
      </c>
    </row>
    <row r="342" spans="1:1" x14ac:dyDescent="0.35">
      <c r="A342" s="188">
        <v>43685</v>
      </c>
    </row>
    <row r="343" spans="1:1" x14ac:dyDescent="0.35">
      <c r="A343" s="188">
        <v>43686</v>
      </c>
    </row>
    <row r="344" spans="1:1" x14ac:dyDescent="0.35">
      <c r="A344" s="188">
        <v>43687</v>
      </c>
    </row>
    <row r="345" spans="1:1" x14ac:dyDescent="0.35">
      <c r="A345" s="188">
        <v>43688</v>
      </c>
    </row>
    <row r="346" spans="1:1" x14ac:dyDescent="0.35">
      <c r="A346" s="188">
        <v>43689</v>
      </c>
    </row>
    <row r="347" spans="1:1" x14ac:dyDescent="0.35">
      <c r="A347" s="188">
        <v>43690</v>
      </c>
    </row>
    <row r="348" spans="1:1" x14ac:dyDescent="0.35">
      <c r="A348" s="188">
        <v>43691</v>
      </c>
    </row>
    <row r="349" spans="1:1" x14ac:dyDescent="0.35">
      <c r="A349" s="188">
        <v>43692</v>
      </c>
    </row>
    <row r="350" spans="1:1" x14ac:dyDescent="0.35">
      <c r="A350" s="188">
        <v>43693</v>
      </c>
    </row>
    <row r="351" spans="1:1" x14ac:dyDescent="0.35">
      <c r="A351" s="188">
        <v>43694</v>
      </c>
    </row>
    <row r="352" spans="1:1" x14ac:dyDescent="0.35">
      <c r="A352" s="188">
        <v>43695</v>
      </c>
    </row>
    <row r="353" spans="1:1" x14ac:dyDescent="0.35">
      <c r="A353" s="188">
        <v>43696</v>
      </c>
    </row>
    <row r="354" spans="1:1" x14ac:dyDescent="0.35">
      <c r="A354" s="188">
        <v>43697</v>
      </c>
    </row>
    <row r="355" spans="1:1" x14ac:dyDescent="0.35">
      <c r="A355" s="188">
        <v>43698</v>
      </c>
    </row>
    <row r="356" spans="1:1" x14ac:dyDescent="0.35">
      <c r="A356" s="188">
        <v>43699</v>
      </c>
    </row>
    <row r="357" spans="1:1" x14ac:dyDescent="0.35">
      <c r="A357" s="188">
        <v>43700</v>
      </c>
    </row>
    <row r="358" spans="1:1" x14ac:dyDescent="0.35">
      <c r="A358" s="188">
        <v>43701</v>
      </c>
    </row>
    <row r="359" spans="1:1" x14ac:dyDescent="0.35">
      <c r="A359" s="188">
        <v>43702</v>
      </c>
    </row>
    <row r="360" spans="1:1" x14ac:dyDescent="0.35">
      <c r="A360" s="188">
        <v>43703</v>
      </c>
    </row>
    <row r="361" spans="1:1" x14ac:dyDescent="0.35">
      <c r="A361" s="188">
        <v>43704</v>
      </c>
    </row>
    <row r="362" spans="1:1" x14ac:dyDescent="0.35">
      <c r="A362" s="188">
        <v>43705</v>
      </c>
    </row>
    <row r="363" spans="1:1" x14ac:dyDescent="0.35">
      <c r="A363" s="188">
        <v>43706</v>
      </c>
    </row>
    <row r="364" spans="1:1" x14ac:dyDescent="0.35">
      <c r="A364" s="188">
        <v>43707</v>
      </c>
    </row>
    <row r="365" spans="1:1" x14ac:dyDescent="0.35">
      <c r="A365" s="188">
        <v>43708</v>
      </c>
    </row>
    <row r="366" spans="1:1" x14ac:dyDescent="0.35">
      <c r="A366" s="188">
        <v>43709</v>
      </c>
    </row>
    <row r="367" spans="1:1" x14ac:dyDescent="0.35">
      <c r="A367" s="188">
        <v>43710</v>
      </c>
    </row>
    <row r="368" spans="1:1" x14ac:dyDescent="0.35">
      <c r="A368" s="188">
        <v>43711</v>
      </c>
    </row>
    <row r="369" spans="1:1" x14ac:dyDescent="0.35">
      <c r="A369" s="188">
        <v>43712</v>
      </c>
    </row>
    <row r="370" spans="1:1" x14ac:dyDescent="0.35">
      <c r="A370" s="188">
        <v>43713</v>
      </c>
    </row>
    <row r="371" spans="1:1" x14ac:dyDescent="0.35">
      <c r="A371" s="188">
        <v>43714</v>
      </c>
    </row>
    <row r="372" spans="1:1" x14ac:dyDescent="0.35">
      <c r="A372" s="188">
        <v>43715</v>
      </c>
    </row>
    <row r="373" spans="1:1" x14ac:dyDescent="0.35">
      <c r="A373" s="188">
        <v>43716</v>
      </c>
    </row>
    <row r="374" spans="1:1" x14ac:dyDescent="0.35">
      <c r="A374" s="188">
        <v>43717</v>
      </c>
    </row>
    <row r="375" spans="1:1" x14ac:dyDescent="0.35">
      <c r="A375" s="188">
        <v>43718</v>
      </c>
    </row>
    <row r="376" spans="1:1" x14ac:dyDescent="0.35">
      <c r="A376" s="188">
        <v>43719</v>
      </c>
    </row>
    <row r="377" spans="1:1" x14ac:dyDescent="0.35">
      <c r="A377" s="188">
        <v>43720</v>
      </c>
    </row>
    <row r="378" spans="1:1" x14ac:dyDescent="0.35">
      <c r="A378" s="188">
        <v>43721</v>
      </c>
    </row>
    <row r="379" spans="1:1" x14ac:dyDescent="0.35">
      <c r="A379" s="188">
        <v>43722</v>
      </c>
    </row>
    <row r="380" spans="1:1" x14ac:dyDescent="0.35">
      <c r="A380" s="188">
        <v>43723</v>
      </c>
    </row>
    <row r="381" spans="1:1" x14ac:dyDescent="0.35">
      <c r="A381" s="188">
        <v>43724</v>
      </c>
    </row>
    <row r="382" spans="1:1" x14ac:dyDescent="0.35">
      <c r="A382" s="188">
        <v>43725</v>
      </c>
    </row>
    <row r="383" spans="1:1" x14ac:dyDescent="0.35">
      <c r="A383" s="188">
        <v>43726</v>
      </c>
    </row>
    <row r="384" spans="1:1" x14ac:dyDescent="0.35">
      <c r="A384" s="188">
        <v>43727</v>
      </c>
    </row>
    <row r="385" spans="1:1" x14ac:dyDescent="0.35">
      <c r="A385" s="188">
        <v>43728</v>
      </c>
    </row>
    <row r="386" spans="1:1" x14ac:dyDescent="0.35">
      <c r="A386" s="188">
        <v>43729</v>
      </c>
    </row>
    <row r="387" spans="1:1" x14ac:dyDescent="0.35">
      <c r="A387" s="188">
        <v>43730</v>
      </c>
    </row>
    <row r="388" spans="1:1" x14ac:dyDescent="0.35">
      <c r="A388" s="188">
        <v>43731</v>
      </c>
    </row>
    <row r="389" spans="1:1" x14ac:dyDescent="0.35">
      <c r="A389" s="188">
        <v>43732</v>
      </c>
    </row>
    <row r="390" spans="1:1" x14ac:dyDescent="0.35">
      <c r="A390" s="188">
        <v>43733</v>
      </c>
    </row>
    <row r="391" spans="1:1" x14ac:dyDescent="0.35">
      <c r="A391" s="188">
        <v>43734</v>
      </c>
    </row>
    <row r="392" spans="1:1" x14ac:dyDescent="0.35">
      <c r="A392" s="188">
        <v>43735</v>
      </c>
    </row>
    <row r="393" spans="1:1" x14ac:dyDescent="0.35">
      <c r="A393" s="188">
        <v>43736</v>
      </c>
    </row>
    <row r="394" spans="1:1" x14ac:dyDescent="0.35">
      <c r="A394" s="188">
        <v>43737</v>
      </c>
    </row>
    <row r="395" spans="1:1" x14ac:dyDescent="0.35">
      <c r="A395" s="188">
        <v>43738</v>
      </c>
    </row>
    <row r="396" spans="1:1" x14ac:dyDescent="0.35">
      <c r="A396" s="188">
        <v>43739</v>
      </c>
    </row>
    <row r="397" spans="1:1" x14ac:dyDescent="0.35">
      <c r="A397" s="188">
        <v>43740</v>
      </c>
    </row>
    <row r="398" spans="1:1" x14ac:dyDescent="0.35">
      <c r="A398" s="188">
        <v>43741</v>
      </c>
    </row>
    <row r="399" spans="1:1" x14ac:dyDescent="0.35">
      <c r="A399" s="188">
        <v>43742</v>
      </c>
    </row>
    <row r="400" spans="1:1" x14ac:dyDescent="0.35">
      <c r="A400" s="188">
        <v>43743</v>
      </c>
    </row>
    <row r="401" spans="1:1" x14ac:dyDescent="0.35">
      <c r="A401" s="188">
        <v>43744</v>
      </c>
    </row>
    <row r="402" spans="1:1" x14ac:dyDescent="0.35">
      <c r="A402" s="188">
        <v>43745</v>
      </c>
    </row>
    <row r="403" spans="1:1" x14ac:dyDescent="0.35">
      <c r="A403" s="188">
        <v>43746</v>
      </c>
    </row>
    <row r="404" spans="1:1" x14ac:dyDescent="0.35">
      <c r="A404" s="188">
        <v>43747</v>
      </c>
    </row>
    <row r="405" spans="1:1" x14ac:dyDescent="0.35">
      <c r="A405" s="188">
        <v>43748</v>
      </c>
    </row>
    <row r="406" spans="1:1" x14ac:dyDescent="0.35">
      <c r="A406" s="188">
        <v>43749</v>
      </c>
    </row>
    <row r="407" spans="1:1" x14ac:dyDescent="0.35">
      <c r="A407" s="188">
        <v>43750</v>
      </c>
    </row>
    <row r="408" spans="1:1" x14ac:dyDescent="0.35">
      <c r="A408" s="188">
        <v>43751</v>
      </c>
    </row>
    <row r="409" spans="1:1" x14ac:dyDescent="0.35">
      <c r="A409" s="188">
        <v>43752</v>
      </c>
    </row>
    <row r="410" spans="1:1" x14ac:dyDescent="0.35">
      <c r="A410" s="188">
        <v>43753</v>
      </c>
    </row>
    <row r="411" spans="1:1" x14ac:dyDescent="0.35">
      <c r="A411" s="188">
        <v>43754</v>
      </c>
    </row>
    <row r="412" spans="1:1" x14ac:dyDescent="0.35">
      <c r="A412" s="188">
        <v>43755</v>
      </c>
    </row>
    <row r="413" spans="1:1" x14ac:dyDescent="0.35">
      <c r="A413" s="188">
        <v>43756</v>
      </c>
    </row>
    <row r="414" spans="1:1" x14ac:dyDescent="0.35">
      <c r="A414" s="188">
        <v>43757</v>
      </c>
    </row>
    <row r="415" spans="1:1" x14ac:dyDescent="0.35">
      <c r="A415" s="188">
        <v>43758</v>
      </c>
    </row>
    <row r="416" spans="1:1" x14ac:dyDescent="0.35">
      <c r="A416" s="188">
        <v>43759</v>
      </c>
    </row>
    <row r="417" spans="1:1" x14ac:dyDescent="0.35">
      <c r="A417" s="188">
        <v>43760</v>
      </c>
    </row>
    <row r="418" spans="1:1" x14ac:dyDescent="0.35">
      <c r="A418" s="188">
        <v>43761</v>
      </c>
    </row>
    <row r="419" spans="1:1" x14ac:dyDescent="0.35">
      <c r="A419" s="188">
        <v>43762</v>
      </c>
    </row>
    <row r="420" spans="1:1" x14ac:dyDescent="0.35">
      <c r="A420" s="188">
        <v>43763</v>
      </c>
    </row>
    <row r="421" spans="1:1" x14ac:dyDescent="0.35">
      <c r="A421" s="188">
        <v>43764</v>
      </c>
    </row>
    <row r="422" spans="1:1" x14ac:dyDescent="0.35">
      <c r="A422" s="188">
        <v>43765</v>
      </c>
    </row>
    <row r="423" spans="1:1" x14ac:dyDescent="0.35">
      <c r="A423" s="188">
        <v>43766</v>
      </c>
    </row>
    <row r="424" spans="1:1" x14ac:dyDescent="0.35">
      <c r="A424" s="188">
        <v>43767</v>
      </c>
    </row>
    <row r="425" spans="1:1" x14ac:dyDescent="0.35">
      <c r="A425" s="188">
        <v>43768</v>
      </c>
    </row>
    <row r="426" spans="1:1" x14ac:dyDescent="0.35">
      <c r="A426" s="188">
        <v>43769</v>
      </c>
    </row>
    <row r="427" spans="1:1" x14ac:dyDescent="0.35">
      <c r="A427" s="188">
        <v>43770</v>
      </c>
    </row>
    <row r="428" spans="1:1" x14ac:dyDescent="0.35">
      <c r="A428" s="188">
        <v>43771</v>
      </c>
    </row>
    <row r="429" spans="1:1" x14ac:dyDescent="0.35">
      <c r="A429" s="188">
        <v>43772</v>
      </c>
    </row>
    <row r="430" spans="1:1" x14ac:dyDescent="0.35">
      <c r="A430" s="188">
        <v>43773</v>
      </c>
    </row>
    <row r="431" spans="1:1" x14ac:dyDescent="0.35">
      <c r="A431" s="188">
        <v>43774</v>
      </c>
    </row>
    <row r="432" spans="1:1" x14ac:dyDescent="0.35">
      <c r="A432" s="188">
        <v>43775</v>
      </c>
    </row>
    <row r="433" spans="1:1" x14ac:dyDescent="0.35">
      <c r="A433" s="188">
        <v>43776</v>
      </c>
    </row>
    <row r="434" spans="1:1" x14ac:dyDescent="0.35">
      <c r="A434" s="188">
        <v>43777</v>
      </c>
    </row>
    <row r="435" spans="1:1" x14ac:dyDescent="0.35">
      <c r="A435" s="188">
        <v>43778</v>
      </c>
    </row>
    <row r="436" spans="1:1" x14ac:dyDescent="0.35">
      <c r="A436" s="188">
        <v>43779</v>
      </c>
    </row>
    <row r="437" spans="1:1" x14ac:dyDescent="0.35">
      <c r="A437" s="188">
        <v>43780</v>
      </c>
    </row>
    <row r="438" spans="1:1" x14ac:dyDescent="0.35">
      <c r="A438" s="188">
        <v>43781</v>
      </c>
    </row>
    <row r="439" spans="1:1" x14ac:dyDescent="0.35">
      <c r="A439" s="188">
        <v>43782</v>
      </c>
    </row>
    <row r="440" spans="1:1" x14ac:dyDescent="0.35">
      <c r="A440" s="188">
        <v>43783</v>
      </c>
    </row>
    <row r="441" spans="1:1" x14ac:dyDescent="0.35">
      <c r="A441" s="188">
        <v>43784</v>
      </c>
    </row>
    <row r="442" spans="1:1" x14ac:dyDescent="0.35">
      <c r="A442" s="188">
        <v>43785</v>
      </c>
    </row>
    <row r="443" spans="1:1" x14ac:dyDescent="0.35">
      <c r="A443" s="188">
        <v>43786</v>
      </c>
    </row>
    <row r="444" spans="1:1" x14ac:dyDescent="0.35">
      <c r="A444" s="188">
        <v>43787</v>
      </c>
    </row>
    <row r="445" spans="1:1" x14ac:dyDescent="0.35">
      <c r="A445" s="188">
        <v>43788</v>
      </c>
    </row>
    <row r="446" spans="1:1" x14ac:dyDescent="0.35">
      <c r="A446" s="188">
        <v>43789</v>
      </c>
    </row>
    <row r="447" spans="1:1" x14ac:dyDescent="0.35">
      <c r="A447" s="188">
        <v>43790</v>
      </c>
    </row>
    <row r="448" spans="1:1" x14ac:dyDescent="0.35">
      <c r="A448" s="188">
        <v>43791</v>
      </c>
    </row>
    <row r="449" spans="1:1" x14ac:dyDescent="0.35">
      <c r="A449" s="188">
        <v>43792</v>
      </c>
    </row>
    <row r="450" spans="1:1" x14ac:dyDescent="0.35">
      <c r="A450" s="188">
        <v>43793</v>
      </c>
    </row>
    <row r="451" spans="1:1" x14ac:dyDescent="0.35">
      <c r="A451" s="188">
        <v>43794</v>
      </c>
    </row>
    <row r="452" spans="1:1" x14ac:dyDescent="0.35">
      <c r="A452" s="188">
        <v>43795</v>
      </c>
    </row>
    <row r="453" spans="1:1" x14ac:dyDescent="0.35">
      <c r="A453" s="188">
        <v>43796</v>
      </c>
    </row>
    <row r="454" spans="1:1" x14ac:dyDescent="0.35">
      <c r="A454" s="188">
        <v>43797</v>
      </c>
    </row>
    <row r="455" spans="1:1" x14ac:dyDescent="0.35">
      <c r="A455" s="188">
        <v>43798</v>
      </c>
    </row>
    <row r="456" spans="1:1" x14ac:dyDescent="0.35">
      <c r="A456" s="188">
        <v>43799</v>
      </c>
    </row>
    <row r="457" spans="1:1" x14ac:dyDescent="0.35">
      <c r="A457" s="188">
        <v>43800</v>
      </c>
    </row>
    <row r="458" spans="1:1" x14ac:dyDescent="0.35">
      <c r="A458" s="188">
        <v>43801</v>
      </c>
    </row>
    <row r="459" spans="1:1" x14ac:dyDescent="0.35">
      <c r="A459" s="188">
        <v>43802</v>
      </c>
    </row>
    <row r="460" spans="1:1" x14ac:dyDescent="0.35">
      <c r="A460" s="188">
        <v>43803</v>
      </c>
    </row>
    <row r="461" spans="1:1" x14ac:dyDescent="0.35">
      <c r="A461" s="188">
        <v>43804</v>
      </c>
    </row>
    <row r="462" spans="1:1" x14ac:dyDescent="0.35">
      <c r="A462" s="188">
        <v>43805</v>
      </c>
    </row>
    <row r="463" spans="1:1" x14ac:dyDescent="0.35">
      <c r="A463" s="188">
        <v>43806</v>
      </c>
    </row>
    <row r="464" spans="1:1" x14ac:dyDescent="0.35">
      <c r="A464" s="188">
        <v>43807</v>
      </c>
    </row>
    <row r="465" spans="1:1" x14ac:dyDescent="0.35">
      <c r="A465" s="188">
        <v>43808</v>
      </c>
    </row>
    <row r="466" spans="1:1" x14ac:dyDescent="0.35">
      <c r="A466" s="188">
        <v>43809</v>
      </c>
    </row>
    <row r="467" spans="1:1" x14ac:dyDescent="0.35">
      <c r="A467" s="188">
        <v>43810</v>
      </c>
    </row>
    <row r="468" spans="1:1" x14ac:dyDescent="0.35">
      <c r="A468" s="188">
        <v>43811</v>
      </c>
    </row>
    <row r="469" spans="1:1" x14ac:dyDescent="0.35">
      <c r="A469" s="188">
        <v>43812</v>
      </c>
    </row>
    <row r="470" spans="1:1" x14ac:dyDescent="0.35">
      <c r="A470" s="188">
        <v>43813</v>
      </c>
    </row>
    <row r="471" spans="1:1" x14ac:dyDescent="0.35">
      <c r="A471" s="188">
        <v>43814</v>
      </c>
    </row>
    <row r="472" spans="1:1" x14ac:dyDescent="0.35">
      <c r="A472" s="188">
        <v>43815</v>
      </c>
    </row>
    <row r="473" spans="1:1" x14ac:dyDescent="0.35">
      <c r="A473" s="188">
        <v>43816</v>
      </c>
    </row>
    <row r="474" spans="1:1" x14ac:dyDescent="0.35">
      <c r="A474" s="188">
        <v>43817</v>
      </c>
    </row>
    <row r="475" spans="1:1" x14ac:dyDescent="0.35">
      <c r="A475" s="188">
        <v>43818</v>
      </c>
    </row>
    <row r="476" spans="1:1" x14ac:dyDescent="0.35">
      <c r="A476" s="188">
        <v>43819</v>
      </c>
    </row>
    <row r="477" spans="1:1" x14ac:dyDescent="0.35">
      <c r="A477" s="188">
        <v>43820</v>
      </c>
    </row>
    <row r="478" spans="1:1" x14ac:dyDescent="0.35">
      <c r="A478" s="188">
        <v>43821</v>
      </c>
    </row>
    <row r="479" spans="1:1" x14ac:dyDescent="0.35">
      <c r="A479" s="188">
        <v>43822</v>
      </c>
    </row>
    <row r="480" spans="1:1" x14ac:dyDescent="0.35">
      <c r="A480" s="188">
        <v>43823</v>
      </c>
    </row>
    <row r="481" spans="1:1" x14ac:dyDescent="0.35">
      <c r="A481" s="188">
        <v>43824</v>
      </c>
    </row>
    <row r="482" spans="1:1" x14ac:dyDescent="0.35">
      <c r="A482" s="188">
        <v>43825</v>
      </c>
    </row>
    <row r="483" spans="1:1" x14ac:dyDescent="0.35">
      <c r="A483" s="188">
        <v>43826</v>
      </c>
    </row>
    <row r="484" spans="1:1" x14ac:dyDescent="0.35">
      <c r="A484" s="188">
        <v>43827</v>
      </c>
    </row>
    <row r="485" spans="1:1" x14ac:dyDescent="0.35">
      <c r="A485" s="188">
        <v>43828</v>
      </c>
    </row>
    <row r="486" spans="1:1" x14ac:dyDescent="0.35">
      <c r="A486" s="188">
        <v>43829</v>
      </c>
    </row>
    <row r="487" spans="1:1" x14ac:dyDescent="0.35">
      <c r="A487" s="188">
        <v>43830</v>
      </c>
    </row>
    <row r="488" spans="1:1" x14ac:dyDescent="0.35">
      <c r="A488" s="188">
        <v>43831</v>
      </c>
    </row>
  </sheetData>
  <pageMargins left="0.7" right="0.7" top="0.75" bottom="0.75" header="0.3" footer="0.3"/>
  <pageSetup paperSize="9" scale="18" fitToWidth="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12</vt:i4>
      </vt:variant>
    </vt:vector>
  </HeadingPairs>
  <TitlesOfParts>
    <vt:vector size="21" baseType="lpstr">
      <vt:lpstr>GEN</vt:lpstr>
      <vt:lpstr>Extrait selon date</vt:lpstr>
      <vt:lpstr>SECOND</vt:lpstr>
      <vt:lpstr>PATISS</vt:lpstr>
      <vt:lpstr>CREDITS</vt:lpstr>
      <vt:lpstr>SEPTEMBRE</vt:lpstr>
      <vt:lpstr>STATS</vt:lpstr>
      <vt:lpstr>GRAPH</vt:lpstr>
      <vt:lpstr>DATES</vt:lpstr>
      <vt:lpstr>billet</vt:lpstr>
      <vt:lpstr>decembre</vt:lpstr>
      <vt:lpstr>INVENTAIRE</vt:lpstr>
      <vt:lpstr>JANVIER</vt:lpstr>
      <vt:lpstr>NONPRESENT</vt:lpstr>
      <vt:lpstr>novembre</vt:lpstr>
      <vt:lpstr>OCTOBRE</vt:lpstr>
      <vt:lpstr>PATISSERIE</vt:lpstr>
      <vt:lpstr>PRESENCE</vt:lpstr>
      <vt:lpstr>PRESENT</vt:lpstr>
      <vt:lpstr>SEPTEMBRE</vt:lpstr>
      <vt:lpstr>SUPPCONFISERIE</vt:lpstr>
    </vt:vector>
  </TitlesOfParts>
  <Company>MINISTERE DE LA DEFENSE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ROUGEOT Steven SGT</dc:creator>
  <cp:lastModifiedBy>Michel</cp:lastModifiedBy>
  <cp:revision/>
  <dcterms:created xsi:type="dcterms:W3CDTF">2018-09-07T06:20:36Z</dcterms:created>
  <dcterms:modified xsi:type="dcterms:W3CDTF">2018-12-17T20:09:37Z</dcterms:modified>
</cp:coreProperties>
</file>