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10" yWindow="-110" windowWidth="23260" windowHeight="13180" tabRatio="715"/>
  </bookViews>
  <sheets>
    <sheet name="Données" sheetId="3" r:id="rId1"/>
    <sheet name="Test sur jour nuit" sheetId="7" state="hidden" r:id="rId2"/>
    <sheet name="Calcul indemnités mensuelles" sheetId="8" r:id="rId3"/>
    <sheet name="Paramètres" sheetId="2" r:id="rId4"/>
    <sheet name="Jours Fériés" sheetId="5" r:id="rId5"/>
  </sheets>
  <definedNames>
    <definedName name="_xlnm._FilterDatabase" localSheetId="2" hidden="1">'Calcul indemnités mensuelles'!$A$1:$B$14</definedName>
    <definedName name="DebNuit">Paramètres!$B$2</definedName>
    <definedName name="FinNuit">Paramètres!$B$1</definedName>
    <definedName name="Heures">Paramètres!#REF!</definedName>
    <definedName name="JF">'Jours Fériés'!$B$2:$Q$13</definedName>
    <definedName name="Motifs">Paramètres!$B$16:$B$30</definedName>
    <definedName name="réponses">Paramètres!$E$2:$E$4</definedName>
    <definedName name="TAUX1">Paramètres!$B$4</definedName>
    <definedName name="TAUX2">Paramètres!$B$5</definedName>
    <definedName name="TAUX3">Paramètres!$B$6</definedName>
    <definedName name="TAUX4">Paramètres!$B$7</definedName>
    <definedName name="véhicule">Paramètres!$B$9:$B$14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3" i="8" l="1"/>
  <c r="S4" i="8"/>
  <c r="S5" i="8"/>
  <c r="S6" i="8"/>
  <c r="S7" i="8"/>
  <c r="S8" i="8"/>
  <c r="S9" i="8"/>
  <c r="S10" i="8"/>
  <c r="S11" i="8"/>
  <c r="S12" i="8"/>
  <c r="S13" i="8"/>
  <c r="S2" i="8"/>
  <c r="K64" i="3" l="1"/>
  <c r="B64" i="3" s="1"/>
  <c r="L64" i="3"/>
  <c r="M64" i="3"/>
  <c r="O64" i="3"/>
  <c r="K72" i="3"/>
  <c r="B72" i="3" s="1"/>
  <c r="L72" i="3"/>
  <c r="Q72" i="3" s="1"/>
  <c r="M72" i="3"/>
  <c r="O72" i="3"/>
  <c r="E64" i="3" l="1"/>
  <c r="P64" i="3"/>
  <c r="N64" i="3" s="1"/>
  <c r="T64" i="3"/>
  <c r="S64" i="3"/>
  <c r="Q64" i="3"/>
  <c r="X64" i="3" s="1"/>
  <c r="E72" i="3"/>
  <c r="S72" i="3"/>
  <c r="P72" i="3"/>
  <c r="T72" i="3"/>
  <c r="R64" i="3" l="1"/>
  <c r="Y72" i="3"/>
  <c r="Y64" i="3"/>
  <c r="W64" i="3"/>
  <c r="R72" i="3"/>
  <c r="N72" i="3"/>
  <c r="W72" i="3" s="1"/>
  <c r="X72" i="3" l="1"/>
  <c r="K97" i="3" l="1"/>
  <c r="B97" i="3" s="1"/>
  <c r="K98" i="3"/>
  <c r="B98" i="3" s="1"/>
  <c r="K99" i="3"/>
  <c r="B99" i="3" s="1"/>
  <c r="K100" i="3"/>
  <c r="K101" i="3"/>
  <c r="L97" i="3"/>
  <c r="L98" i="3"/>
  <c r="T98" i="3" s="1"/>
  <c r="L99" i="3"/>
  <c r="Q99" i="3" s="1"/>
  <c r="L100" i="3"/>
  <c r="Q100" i="3" s="1"/>
  <c r="L101" i="3"/>
  <c r="Q101" i="3" s="1"/>
  <c r="M97" i="3"/>
  <c r="M98" i="3"/>
  <c r="M99" i="3"/>
  <c r="M100" i="3"/>
  <c r="M101" i="3"/>
  <c r="O97" i="3"/>
  <c r="O98" i="3"/>
  <c r="O99" i="3"/>
  <c r="O100" i="3"/>
  <c r="O101" i="3"/>
  <c r="K93" i="3"/>
  <c r="B93" i="3" s="1"/>
  <c r="K94" i="3"/>
  <c r="B94" i="3" s="1"/>
  <c r="K95" i="3"/>
  <c r="B95" i="3" s="1"/>
  <c r="K96" i="3"/>
  <c r="B96" i="3" s="1"/>
  <c r="L93" i="3"/>
  <c r="Q93" i="3" s="1"/>
  <c r="L94" i="3"/>
  <c r="T94" i="3" s="1"/>
  <c r="L95" i="3"/>
  <c r="L96" i="3"/>
  <c r="Q96" i="3" s="1"/>
  <c r="M93" i="3"/>
  <c r="M94" i="3"/>
  <c r="M95" i="3"/>
  <c r="M96" i="3"/>
  <c r="O94" i="3"/>
  <c r="O96" i="3"/>
  <c r="K90" i="3"/>
  <c r="B90" i="3" s="1"/>
  <c r="K91" i="3"/>
  <c r="K92" i="3"/>
  <c r="B92" i="3" s="1"/>
  <c r="L90" i="3"/>
  <c r="Q90" i="3" s="1"/>
  <c r="L91" i="3"/>
  <c r="Q91" i="3" s="1"/>
  <c r="L92" i="3"/>
  <c r="Q92" i="3" s="1"/>
  <c r="M90" i="3"/>
  <c r="M91" i="3"/>
  <c r="M92" i="3"/>
  <c r="O90" i="3"/>
  <c r="K85" i="3"/>
  <c r="B85" i="3" s="1"/>
  <c r="K86" i="3"/>
  <c r="B86" i="3" s="1"/>
  <c r="K87" i="3"/>
  <c r="B87" i="3" s="1"/>
  <c r="K88" i="3"/>
  <c r="K89" i="3"/>
  <c r="B89" i="3" s="1"/>
  <c r="L85" i="3"/>
  <c r="Q85" i="3" s="1"/>
  <c r="L86" i="3"/>
  <c r="T86" i="3" s="1"/>
  <c r="L87" i="3"/>
  <c r="T87" i="3" s="1"/>
  <c r="L88" i="3"/>
  <c r="L89" i="3"/>
  <c r="M85" i="3"/>
  <c r="M86" i="3"/>
  <c r="M87" i="3"/>
  <c r="M88" i="3"/>
  <c r="M89" i="3"/>
  <c r="O85" i="3"/>
  <c r="O88" i="3"/>
  <c r="K81" i="3"/>
  <c r="B81" i="3" s="1"/>
  <c r="K82" i="3"/>
  <c r="B82" i="3" s="1"/>
  <c r="K83" i="3"/>
  <c r="B83" i="3" s="1"/>
  <c r="K84" i="3"/>
  <c r="B84" i="3" s="1"/>
  <c r="L81" i="3"/>
  <c r="Q81" i="3" s="1"/>
  <c r="L82" i="3"/>
  <c r="Q82" i="3" s="1"/>
  <c r="L83" i="3"/>
  <c r="Q83" i="3" s="1"/>
  <c r="L84" i="3"/>
  <c r="M81" i="3"/>
  <c r="M82" i="3"/>
  <c r="M83" i="3"/>
  <c r="M84" i="3"/>
  <c r="O81" i="3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L73" i="3"/>
  <c r="L74" i="3"/>
  <c r="Q74" i="3" s="1"/>
  <c r="L75" i="3"/>
  <c r="T75" i="3" s="1"/>
  <c r="L76" i="3"/>
  <c r="Q76" i="3" s="1"/>
  <c r="L77" i="3"/>
  <c r="T77" i="3" s="1"/>
  <c r="L78" i="3"/>
  <c r="T78" i="3" s="1"/>
  <c r="L79" i="3"/>
  <c r="Q79" i="3" s="1"/>
  <c r="L80" i="3"/>
  <c r="M73" i="3"/>
  <c r="M74" i="3"/>
  <c r="M75" i="3"/>
  <c r="M76" i="3"/>
  <c r="M77" i="3"/>
  <c r="M78" i="3"/>
  <c r="M79" i="3"/>
  <c r="M80" i="3"/>
  <c r="O75" i="3"/>
  <c r="K63" i="3"/>
  <c r="B63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L63" i="3"/>
  <c r="L65" i="3"/>
  <c r="L66" i="3"/>
  <c r="T66" i="3" s="1"/>
  <c r="L67" i="3"/>
  <c r="L68" i="3"/>
  <c r="Q68" i="3" s="1"/>
  <c r="L69" i="3"/>
  <c r="Q69" i="3" s="1"/>
  <c r="L70" i="3"/>
  <c r="T70" i="3" s="1"/>
  <c r="L71" i="3"/>
  <c r="M63" i="3"/>
  <c r="M65" i="3"/>
  <c r="M66" i="3"/>
  <c r="M67" i="3"/>
  <c r="M68" i="3"/>
  <c r="M69" i="3"/>
  <c r="M70" i="3"/>
  <c r="M71" i="3"/>
  <c r="O65" i="3"/>
  <c r="O89" i="3" l="1"/>
  <c r="O95" i="3"/>
  <c r="O93" i="3"/>
  <c r="O92" i="3"/>
  <c r="O91" i="3"/>
  <c r="O87" i="3"/>
  <c r="O86" i="3"/>
  <c r="O71" i="3"/>
  <c r="O73" i="3"/>
  <c r="O80" i="3"/>
  <c r="O84" i="3"/>
  <c r="O83" i="3"/>
  <c r="O82" i="3"/>
  <c r="O79" i="3"/>
  <c r="O78" i="3"/>
  <c r="O77" i="3"/>
  <c r="O76" i="3"/>
  <c r="O69" i="3"/>
  <c r="O67" i="3"/>
  <c r="O74" i="3"/>
  <c r="O70" i="3"/>
  <c r="O68" i="3"/>
  <c r="O66" i="3"/>
  <c r="T93" i="3"/>
  <c r="P95" i="3"/>
  <c r="S97" i="3"/>
  <c r="T99" i="3"/>
  <c r="Q87" i="3"/>
  <c r="Q98" i="3"/>
  <c r="P75" i="3"/>
  <c r="N75" i="3" s="1"/>
  <c r="Q94" i="3"/>
  <c r="P99" i="3"/>
  <c r="N99" i="3" s="1"/>
  <c r="P88" i="3"/>
  <c r="N88" i="3" s="1"/>
  <c r="S100" i="3"/>
  <c r="S98" i="3"/>
  <c r="R98" i="3" s="1"/>
  <c r="S94" i="3"/>
  <c r="R94" i="3" s="1"/>
  <c r="T100" i="3"/>
  <c r="S95" i="3"/>
  <c r="Q97" i="3"/>
  <c r="P100" i="3"/>
  <c r="N100" i="3" s="1"/>
  <c r="O63" i="3"/>
  <c r="T88" i="3"/>
  <c r="T97" i="3"/>
  <c r="P97" i="3"/>
  <c r="S101" i="3"/>
  <c r="Q75" i="3"/>
  <c r="Q86" i="3"/>
  <c r="T101" i="3"/>
  <c r="P98" i="3"/>
  <c r="N98" i="3" s="1"/>
  <c r="P93" i="3"/>
  <c r="P94" i="3"/>
  <c r="N94" i="3" s="1"/>
  <c r="P83" i="3"/>
  <c r="V99" i="3"/>
  <c r="E99" i="3"/>
  <c r="V98" i="3"/>
  <c r="E98" i="3"/>
  <c r="V97" i="3"/>
  <c r="E97" i="3"/>
  <c r="S96" i="3"/>
  <c r="P101" i="3"/>
  <c r="N101" i="3" s="1"/>
  <c r="T96" i="3"/>
  <c r="S99" i="3"/>
  <c r="B101" i="3"/>
  <c r="P82" i="3"/>
  <c r="T90" i="3"/>
  <c r="T95" i="3"/>
  <c r="S93" i="3"/>
  <c r="B100" i="3"/>
  <c r="S87" i="3"/>
  <c r="R87" i="3" s="1"/>
  <c r="S90" i="3"/>
  <c r="Q95" i="3"/>
  <c r="S91" i="3"/>
  <c r="E96" i="3"/>
  <c r="E95" i="3"/>
  <c r="V95" i="3"/>
  <c r="E94" i="3"/>
  <c r="V93" i="3"/>
  <c r="E93" i="3"/>
  <c r="Q88" i="3"/>
  <c r="T91" i="3"/>
  <c r="P96" i="3"/>
  <c r="N96" i="3" s="1"/>
  <c r="S92" i="3"/>
  <c r="S88" i="3"/>
  <c r="T81" i="3"/>
  <c r="S86" i="3"/>
  <c r="R86" i="3" s="1"/>
  <c r="P92" i="3"/>
  <c r="T92" i="3"/>
  <c r="E92" i="3"/>
  <c r="E90" i="3"/>
  <c r="P80" i="3"/>
  <c r="P91" i="3"/>
  <c r="P90" i="3"/>
  <c r="N90" i="3" s="1"/>
  <c r="P81" i="3"/>
  <c r="N81" i="3" s="1"/>
  <c r="S81" i="3"/>
  <c r="B88" i="3"/>
  <c r="P87" i="3"/>
  <c r="B91" i="3"/>
  <c r="E89" i="3"/>
  <c r="V89" i="3"/>
  <c r="E85" i="3"/>
  <c r="V87" i="3"/>
  <c r="E87" i="3"/>
  <c r="V86" i="3"/>
  <c r="E86" i="3"/>
  <c r="S89" i="3"/>
  <c r="T83" i="3"/>
  <c r="T85" i="3"/>
  <c r="P89" i="3"/>
  <c r="T82" i="3"/>
  <c r="Q89" i="3"/>
  <c r="P86" i="3"/>
  <c r="T89" i="3"/>
  <c r="P85" i="3"/>
  <c r="N85" i="3" s="1"/>
  <c r="S83" i="3"/>
  <c r="S85" i="3"/>
  <c r="R85" i="3" s="1"/>
  <c r="P67" i="3"/>
  <c r="N67" i="3" s="1"/>
  <c r="T79" i="3"/>
  <c r="T76" i="3"/>
  <c r="P76" i="3"/>
  <c r="S77" i="3"/>
  <c r="P73" i="3"/>
  <c r="N73" i="3" s="1"/>
  <c r="S76" i="3"/>
  <c r="P77" i="3"/>
  <c r="S82" i="3"/>
  <c r="P84" i="3"/>
  <c r="S75" i="3"/>
  <c r="R75" i="3" s="1"/>
  <c r="Q77" i="3"/>
  <c r="T84" i="3"/>
  <c r="Q84" i="3"/>
  <c r="S84" i="3"/>
  <c r="E82" i="3"/>
  <c r="V82" i="3"/>
  <c r="E81" i="3"/>
  <c r="E83" i="3"/>
  <c r="V83" i="3"/>
  <c r="E84" i="3"/>
  <c r="V84" i="3"/>
  <c r="S80" i="3"/>
  <c r="S65" i="3"/>
  <c r="S78" i="3"/>
  <c r="R78" i="3" s="1"/>
  <c r="Q67" i="3"/>
  <c r="P68" i="3"/>
  <c r="S74" i="3"/>
  <c r="P74" i="3"/>
  <c r="T74" i="3"/>
  <c r="S73" i="3"/>
  <c r="P78" i="3"/>
  <c r="T73" i="3"/>
  <c r="Q78" i="3"/>
  <c r="P71" i="3"/>
  <c r="P79" i="3"/>
  <c r="T80" i="3"/>
  <c r="S79" i="3"/>
  <c r="Q73" i="3"/>
  <c r="P65" i="3"/>
  <c r="N65" i="3" s="1"/>
  <c r="Q80" i="3"/>
  <c r="Q65" i="3"/>
  <c r="T65" i="3"/>
  <c r="E79" i="3"/>
  <c r="V79" i="3"/>
  <c r="V77" i="3"/>
  <c r="E77" i="3"/>
  <c r="V76" i="3"/>
  <c r="E76" i="3"/>
  <c r="E75" i="3"/>
  <c r="V78" i="3"/>
  <c r="E78" i="3"/>
  <c r="E74" i="3"/>
  <c r="V74" i="3"/>
  <c r="E73" i="3"/>
  <c r="E80" i="3"/>
  <c r="V80" i="3"/>
  <c r="T68" i="3"/>
  <c r="S68" i="3"/>
  <c r="Q63" i="3"/>
  <c r="T63" i="3"/>
  <c r="S67" i="3"/>
  <c r="S63" i="3"/>
  <c r="P63" i="3"/>
  <c r="T67" i="3"/>
  <c r="E69" i="3"/>
  <c r="V69" i="3"/>
  <c r="T71" i="3"/>
  <c r="S69" i="3"/>
  <c r="T69" i="3"/>
  <c r="P69" i="3"/>
  <c r="N69" i="3" s="1"/>
  <c r="S70" i="3"/>
  <c r="R70" i="3" s="1"/>
  <c r="E65" i="3"/>
  <c r="Q71" i="3"/>
  <c r="P70" i="3"/>
  <c r="S71" i="3"/>
  <c r="Q66" i="3"/>
  <c r="P66" i="3"/>
  <c r="S66" i="3"/>
  <c r="R66" i="3" s="1"/>
  <c r="Q70" i="3"/>
  <c r="V70" i="3"/>
  <c r="E70" i="3"/>
  <c r="V68" i="3"/>
  <c r="E68" i="3"/>
  <c r="E71" i="3"/>
  <c r="V71" i="3"/>
  <c r="E67" i="3"/>
  <c r="V67" i="3"/>
  <c r="E66" i="3"/>
  <c r="V66" i="3"/>
  <c r="E63" i="3"/>
  <c r="V63" i="3"/>
  <c r="K61" i="3"/>
  <c r="B61" i="3" s="1"/>
  <c r="K62" i="3"/>
  <c r="B62" i="3" s="1"/>
  <c r="L61" i="3"/>
  <c r="Q61" i="3" s="1"/>
  <c r="L62" i="3"/>
  <c r="Q62" i="3" s="1"/>
  <c r="M61" i="3"/>
  <c r="M62" i="3"/>
  <c r="O61" i="3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L48" i="3"/>
  <c r="T48" i="3" s="1"/>
  <c r="L49" i="3"/>
  <c r="Q49" i="3" s="1"/>
  <c r="L50" i="3"/>
  <c r="Q50" i="3" s="1"/>
  <c r="L51" i="3"/>
  <c r="L52" i="3"/>
  <c r="T52" i="3" s="1"/>
  <c r="L53" i="3"/>
  <c r="L54" i="3"/>
  <c r="L55" i="3"/>
  <c r="Q55" i="3" s="1"/>
  <c r="L56" i="3"/>
  <c r="L57" i="3"/>
  <c r="L58" i="3"/>
  <c r="T58" i="3" s="1"/>
  <c r="L59" i="3"/>
  <c r="L60" i="3"/>
  <c r="T60" i="3" s="1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O50" i="3"/>
  <c r="O52" i="3"/>
  <c r="O56" i="3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L37" i="3"/>
  <c r="T37" i="3" s="1"/>
  <c r="L38" i="3"/>
  <c r="T38" i="3" s="1"/>
  <c r="L39" i="3"/>
  <c r="T39" i="3" s="1"/>
  <c r="L40" i="3"/>
  <c r="Q40" i="3" s="1"/>
  <c r="L41" i="3"/>
  <c r="T41" i="3" s="1"/>
  <c r="L42" i="3"/>
  <c r="L43" i="3"/>
  <c r="T43" i="3" s="1"/>
  <c r="L44" i="3"/>
  <c r="Q44" i="3" s="1"/>
  <c r="L45" i="3"/>
  <c r="L46" i="3"/>
  <c r="Q46" i="3" s="1"/>
  <c r="L47" i="3"/>
  <c r="M37" i="3"/>
  <c r="M38" i="3"/>
  <c r="M39" i="3"/>
  <c r="M40" i="3"/>
  <c r="M41" i="3"/>
  <c r="M42" i="3"/>
  <c r="M43" i="3"/>
  <c r="M44" i="3"/>
  <c r="M45" i="3"/>
  <c r="M46" i="3"/>
  <c r="M47" i="3"/>
  <c r="O41" i="3"/>
  <c r="O42" i="3"/>
  <c r="O47" i="3"/>
  <c r="N95" i="3" l="1"/>
  <c r="N84" i="3"/>
  <c r="N71" i="3"/>
  <c r="N87" i="3"/>
  <c r="W87" i="3" s="1"/>
  <c r="N91" i="3"/>
  <c r="N92" i="3"/>
  <c r="N80" i="3"/>
  <c r="N83" i="3"/>
  <c r="R93" i="3"/>
  <c r="N82" i="3"/>
  <c r="N79" i="3"/>
  <c r="N78" i="3"/>
  <c r="W78" i="3" s="1"/>
  <c r="N77" i="3"/>
  <c r="N63" i="3"/>
  <c r="R97" i="3"/>
  <c r="N70" i="3"/>
  <c r="X70" i="3" s="1"/>
  <c r="N68" i="3"/>
  <c r="N66" i="3"/>
  <c r="W66" i="3" s="1"/>
  <c r="R99" i="3"/>
  <c r="X99" i="3" s="1"/>
  <c r="R100" i="3"/>
  <c r="X100" i="3" s="1"/>
  <c r="R95" i="3"/>
  <c r="W95" i="3" s="1"/>
  <c r="Y97" i="3"/>
  <c r="N97" i="3"/>
  <c r="X97" i="3" s="1"/>
  <c r="R92" i="3"/>
  <c r="W94" i="3"/>
  <c r="Y83" i="3"/>
  <c r="Y98" i="3"/>
  <c r="R101" i="3"/>
  <c r="W101" i="3" s="1"/>
  <c r="W98" i="3"/>
  <c r="X98" i="3"/>
  <c r="R88" i="3"/>
  <c r="W88" i="3" s="1"/>
  <c r="Y93" i="3"/>
  <c r="O62" i="3"/>
  <c r="X94" i="3"/>
  <c r="Y77" i="3"/>
  <c r="Y94" i="3"/>
  <c r="R91" i="3"/>
  <c r="W91" i="3" s="1"/>
  <c r="N93" i="3"/>
  <c r="Y99" i="3"/>
  <c r="Y95" i="3"/>
  <c r="R90" i="3"/>
  <c r="W90" i="3" s="1"/>
  <c r="E101" i="3"/>
  <c r="Y101" i="3"/>
  <c r="V101" i="3"/>
  <c r="E100" i="3"/>
  <c r="Y100" i="3"/>
  <c r="V100" i="3"/>
  <c r="R83" i="3"/>
  <c r="R77" i="3"/>
  <c r="R96" i="3"/>
  <c r="X96" i="3" s="1"/>
  <c r="R81" i="3"/>
  <c r="X81" i="3" s="1"/>
  <c r="Y81" i="3"/>
  <c r="W75" i="3"/>
  <c r="R76" i="3"/>
  <c r="Y86" i="3"/>
  <c r="Y90" i="3"/>
  <c r="Y96" i="3"/>
  <c r="Y79" i="3"/>
  <c r="Y92" i="3"/>
  <c r="X87" i="3"/>
  <c r="Y87" i="3"/>
  <c r="E88" i="3"/>
  <c r="Y88" i="3"/>
  <c r="R80" i="3"/>
  <c r="R89" i="3"/>
  <c r="N86" i="3"/>
  <c r="W86" i="3" s="1"/>
  <c r="Y75" i="3"/>
  <c r="Y89" i="3"/>
  <c r="Y76" i="3"/>
  <c r="N89" i="3"/>
  <c r="Y91" i="3"/>
  <c r="E91" i="3"/>
  <c r="X85" i="3"/>
  <c r="W85" i="3"/>
  <c r="Y85" i="3"/>
  <c r="N76" i="3"/>
  <c r="R73" i="3"/>
  <c r="W73" i="3" s="1"/>
  <c r="R82" i="3"/>
  <c r="Y82" i="3"/>
  <c r="R74" i="3"/>
  <c r="Y74" i="3"/>
  <c r="X75" i="3"/>
  <c r="R84" i="3"/>
  <c r="W84" i="3" s="1"/>
  <c r="N74" i="3"/>
  <c r="Y84" i="3"/>
  <c r="Y78" i="3"/>
  <c r="R65" i="3"/>
  <c r="W65" i="3" s="1"/>
  <c r="Y73" i="3"/>
  <c r="R67" i="3"/>
  <c r="W67" i="3" s="1"/>
  <c r="Y80" i="3"/>
  <c r="Y63" i="3"/>
  <c r="R69" i="3"/>
  <c r="X69" i="3" s="1"/>
  <c r="Y67" i="3"/>
  <c r="Y65" i="3"/>
  <c r="O57" i="3"/>
  <c r="R79" i="3"/>
  <c r="Y68" i="3"/>
  <c r="R63" i="3"/>
  <c r="R68" i="3"/>
  <c r="Y70" i="3"/>
  <c r="Y69" i="3"/>
  <c r="Y66" i="3"/>
  <c r="R71" i="3"/>
  <c r="O54" i="3"/>
  <c r="Y71" i="3"/>
  <c r="S49" i="3"/>
  <c r="P59" i="3"/>
  <c r="S51" i="3"/>
  <c r="T50" i="3"/>
  <c r="Q58" i="3"/>
  <c r="O49" i="3"/>
  <c r="S48" i="3"/>
  <c r="R48" i="3" s="1"/>
  <c r="T61" i="3"/>
  <c r="S61" i="3"/>
  <c r="O58" i="3"/>
  <c r="T49" i="3"/>
  <c r="Q51" i="3"/>
  <c r="P56" i="3"/>
  <c r="N56" i="3" s="1"/>
  <c r="O48" i="3"/>
  <c r="T56" i="3"/>
  <c r="Q56" i="3"/>
  <c r="O55" i="3"/>
  <c r="O53" i="3"/>
  <c r="T59" i="3"/>
  <c r="S55" i="3"/>
  <c r="Q48" i="3"/>
  <c r="P53" i="3"/>
  <c r="O60" i="3"/>
  <c r="O46" i="3"/>
  <c r="P55" i="3"/>
  <c r="O44" i="3"/>
  <c r="O45" i="3"/>
  <c r="T55" i="3"/>
  <c r="P48" i="3"/>
  <c r="O40" i="3"/>
  <c r="O39" i="3"/>
  <c r="O38" i="3"/>
  <c r="O37" i="3"/>
  <c r="T57" i="3"/>
  <c r="Q59" i="3"/>
  <c r="S57" i="3"/>
  <c r="Q57" i="3"/>
  <c r="T54" i="3"/>
  <c r="S59" i="3"/>
  <c r="O59" i="3"/>
  <c r="S54" i="3"/>
  <c r="O43" i="3"/>
  <c r="T51" i="3"/>
  <c r="Q54" i="3"/>
  <c r="P54" i="3"/>
  <c r="O51" i="3"/>
  <c r="P51" i="3"/>
  <c r="E62" i="3"/>
  <c r="V62" i="3"/>
  <c r="E59" i="3"/>
  <c r="E51" i="3"/>
  <c r="E55" i="3"/>
  <c r="V55" i="3"/>
  <c r="E61" i="3"/>
  <c r="S58" i="3"/>
  <c r="R58" i="3" s="1"/>
  <c r="P50" i="3"/>
  <c r="N50" i="3" s="1"/>
  <c r="P61" i="3"/>
  <c r="N61" i="3" s="1"/>
  <c r="T53" i="3"/>
  <c r="S62" i="3"/>
  <c r="P58" i="3"/>
  <c r="T62" i="3"/>
  <c r="P62" i="3"/>
  <c r="S53" i="3"/>
  <c r="Q53" i="3"/>
  <c r="S50" i="3"/>
  <c r="E52" i="3"/>
  <c r="V58" i="3"/>
  <c r="E58" i="3"/>
  <c r="E50" i="3"/>
  <c r="V57" i="3"/>
  <c r="E57" i="3"/>
  <c r="V49" i="3"/>
  <c r="E49" i="3"/>
  <c r="E56" i="3"/>
  <c r="V48" i="3"/>
  <c r="E48" i="3"/>
  <c r="E60" i="3"/>
  <c r="V60" i="3"/>
  <c r="E54" i="3"/>
  <c r="V54" i="3"/>
  <c r="E53" i="3"/>
  <c r="V53" i="3"/>
  <c r="P60" i="3"/>
  <c r="P52" i="3"/>
  <c r="N52" i="3" s="1"/>
  <c r="S60" i="3"/>
  <c r="R60" i="3" s="1"/>
  <c r="S52" i="3"/>
  <c r="R52" i="3" s="1"/>
  <c r="V59" i="3"/>
  <c r="V51" i="3"/>
  <c r="Q60" i="3"/>
  <c r="Q52" i="3"/>
  <c r="P57" i="3"/>
  <c r="P49" i="3"/>
  <c r="S47" i="3"/>
  <c r="S56" i="3"/>
  <c r="Y56" i="3" s="1"/>
  <c r="S37" i="3"/>
  <c r="R37" i="3" s="1"/>
  <c r="Q39" i="3"/>
  <c r="S42" i="3"/>
  <c r="T47" i="3"/>
  <c r="Q41" i="3"/>
  <c r="S39" i="3"/>
  <c r="R39" i="3" s="1"/>
  <c r="Q47" i="3"/>
  <c r="P39" i="3"/>
  <c r="S44" i="3"/>
  <c r="Q38" i="3"/>
  <c r="T46" i="3"/>
  <c r="S41" i="3"/>
  <c r="P41" i="3"/>
  <c r="N41" i="3" s="1"/>
  <c r="P45" i="3"/>
  <c r="P37" i="3"/>
  <c r="S45" i="3"/>
  <c r="T42" i="3"/>
  <c r="T45" i="3"/>
  <c r="P44" i="3"/>
  <c r="T44" i="3"/>
  <c r="P42" i="3"/>
  <c r="N42" i="3" s="1"/>
  <c r="P40" i="3"/>
  <c r="Q42" i="3"/>
  <c r="T40" i="3"/>
  <c r="S40" i="3"/>
  <c r="P43" i="3"/>
  <c r="V46" i="3"/>
  <c r="E46" i="3"/>
  <c r="E38" i="3"/>
  <c r="V38" i="3"/>
  <c r="E42" i="3"/>
  <c r="Q37" i="3"/>
  <c r="S43" i="3"/>
  <c r="P46" i="3"/>
  <c r="P38" i="3"/>
  <c r="Q45" i="3"/>
  <c r="S38" i="3"/>
  <c r="R38" i="3" s="1"/>
  <c r="Q43" i="3"/>
  <c r="S46" i="3"/>
  <c r="E41" i="3"/>
  <c r="V40" i="3"/>
  <c r="E40" i="3"/>
  <c r="E47" i="3"/>
  <c r="V39" i="3"/>
  <c r="E39" i="3"/>
  <c r="E37" i="3"/>
  <c r="E45" i="3"/>
  <c r="V45" i="3"/>
  <c r="E44" i="3"/>
  <c r="V44" i="3"/>
  <c r="E43" i="3"/>
  <c r="V43" i="3"/>
  <c r="P47" i="3"/>
  <c r="N47" i="3" s="1"/>
  <c r="K24" i="3"/>
  <c r="B24" i="3" s="1"/>
  <c r="K25" i="3"/>
  <c r="B25" i="3" s="1"/>
  <c r="K26" i="3"/>
  <c r="B26" i="3" s="1"/>
  <c r="K27" i="3"/>
  <c r="B27" i="3" s="1"/>
  <c r="K28" i="3"/>
  <c r="B28" i="3" s="1"/>
  <c r="K29" i="3"/>
  <c r="B29" i="3" s="1"/>
  <c r="K30" i="3"/>
  <c r="B30" i="3" s="1"/>
  <c r="K31" i="3"/>
  <c r="B31" i="3" s="1"/>
  <c r="K32" i="3"/>
  <c r="B32" i="3" s="1"/>
  <c r="K33" i="3"/>
  <c r="B33" i="3" s="1"/>
  <c r="K34" i="3"/>
  <c r="B34" i="3" s="1"/>
  <c r="K35" i="3"/>
  <c r="B35" i="3" s="1"/>
  <c r="K36" i="3"/>
  <c r="B36" i="3" s="1"/>
  <c r="L24" i="3"/>
  <c r="L25" i="3"/>
  <c r="L26" i="3"/>
  <c r="L27" i="3"/>
  <c r="T27" i="3" s="1"/>
  <c r="L28" i="3"/>
  <c r="T28" i="3" s="1"/>
  <c r="L29" i="3"/>
  <c r="L30" i="3"/>
  <c r="L31" i="3"/>
  <c r="L32" i="3"/>
  <c r="L33" i="3"/>
  <c r="L34" i="3"/>
  <c r="L35" i="3"/>
  <c r="T35" i="3" s="1"/>
  <c r="L36" i="3"/>
  <c r="O24" i="3"/>
  <c r="O28" i="3"/>
  <c r="O34" i="3"/>
  <c r="O36" i="3"/>
  <c r="K18" i="3"/>
  <c r="B18" i="3" s="1"/>
  <c r="L18" i="3"/>
  <c r="K19" i="3"/>
  <c r="B19" i="3" s="1"/>
  <c r="L19" i="3"/>
  <c r="K20" i="3"/>
  <c r="B20" i="3" s="1"/>
  <c r="L20" i="3"/>
  <c r="K21" i="3"/>
  <c r="B21" i="3" s="1"/>
  <c r="L21" i="3"/>
  <c r="K22" i="3"/>
  <c r="B22" i="3" s="1"/>
  <c r="L22" i="3"/>
  <c r="K23" i="3"/>
  <c r="B23" i="3" s="1"/>
  <c r="L23" i="3"/>
  <c r="K13" i="3"/>
  <c r="B13" i="3" s="1"/>
  <c r="L13" i="3"/>
  <c r="K14" i="3"/>
  <c r="B14" i="3" s="1"/>
  <c r="L14" i="3"/>
  <c r="K15" i="3"/>
  <c r="B15" i="3" s="1"/>
  <c r="L15" i="3"/>
  <c r="K16" i="3"/>
  <c r="B16" i="3" s="1"/>
  <c r="L16" i="3"/>
  <c r="K10" i="3"/>
  <c r="B10" i="3" s="1"/>
  <c r="L10" i="3"/>
  <c r="K11" i="3"/>
  <c r="B11" i="3" s="1"/>
  <c r="L11" i="3"/>
  <c r="K9" i="3"/>
  <c r="B9" i="3" s="1"/>
  <c r="L9" i="3"/>
  <c r="W71" i="3" l="1"/>
  <c r="W92" i="3"/>
  <c r="R51" i="3"/>
  <c r="X66" i="3"/>
  <c r="X78" i="3"/>
  <c r="W80" i="3"/>
  <c r="X76" i="3"/>
  <c r="X83" i="3"/>
  <c r="X93" i="3"/>
  <c r="W77" i="3"/>
  <c r="X63" i="3"/>
  <c r="X82" i="3"/>
  <c r="W70" i="3"/>
  <c r="X95" i="3"/>
  <c r="W100" i="3"/>
  <c r="X88" i="3"/>
  <c r="W99" i="3"/>
  <c r="X92" i="3"/>
  <c r="X90" i="3"/>
  <c r="X80" i="3"/>
  <c r="X101" i="3"/>
  <c r="W97" i="3"/>
  <c r="W81" i="3"/>
  <c r="W96" i="3"/>
  <c r="X91" i="3"/>
  <c r="N62" i="3"/>
  <c r="W83" i="3"/>
  <c r="W93" i="3"/>
  <c r="X65" i="3"/>
  <c r="X77" i="3"/>
  <c r="X89" i="3"/>
  <c r="W89" i="3"/>
  <c r="W76" i="3"/>
  <c r="W69" i="3"/>
  <c r="W82" i="3"/>
  <c r="W74" i="3"/>
  <c r="X73" i="3"/>
  <c r="X86" i="3"/>
  <c r="X67" i="3"/>
  <c r="X84" i="3"/>
  <c r="X74" i="3"/>
  <c r="W79" i="3"/>
  <c r="X79" i="3"/>
  <c r="W63" i="3"/>
  <c r="R61" i="3"/>
  <c r="W61" i="3" s="1"/>
  <c r="W68" i="3"/>
  <c r="X68" i="3"/>
  <c r="R49" i="3"/>
  <c r="N59" i="3"/>
  <c r="N53" i="3"/>
  <c r="X71" i="3"/>
  <c r="R50" i="3"/>
  <c r="N40" i="3"/>
  <c r="N45" i="3"/>
  <c r="N49" i="3"/>
  <c r="O30" i="3"/>
  <c r="Y54" i="3"/>
  <c r="N48" i="3"/>
  <c r="X48" i="3" s="1"/>
  <c r="N37" i="3"/>
  <c r="N51" i="3"/>
  <c r="N44" i="3"/>
  <c r="N43" i="3"/>
  <c r="R57" i="3"/>
  <c r="N55" i="3"/>
  <c r="O29" i="3"/>
  <c r="N58" i="3"/>
  <c r="W58" i="3" s="1"/>
  <c r="Y55" i="3"/>
  <c r="O33" i="3"/>
  <c r="Y53" i="3"/>
  <c r="R55" i="3"/>
  <c r="R59" i="3"/>
  <c r="Y57" i="3"/>
  <c r="R62" i="3"/>
  <c r="O31" i="3"/>
  <c r="R47" i="3"/>
  <c r="N38" i="3"/>
  <c r="W38" i="3" s="1"/>
  <c r="N46" i="3"/>
  <c r="Y62" i="3"/>
  <c r="Y60" i="3"/>
  <c r="Y59" i="3"/>
  <c r="O32" i="3"/>
  <c r="Y48" i="3"/>
  <c r="Y61" i="3"/>
  <c r="Y39" i="3"/>
  <c r="O35" i="3"/>
  <c r="N60" i="3"/>
  <c r="W60" i="3" s="1"/>
  <c r="W50" i="3"/>
  <c r="Y51" i="3"/>
  <c r="N54" i="3"/>
  <c r="Y58" i="3"/>
  <c r="R54" i="3"/>
  <c r="N57" i="3"/>
  <c r="Y50" i="3"/>
  <c r="X50" i="3"/>
  <c r="Y52" i="3"/>
  <c r="R53" i="3"/>
  <c r="W52" i="3"/>
  <c r="X52" i="3"/>
  <c r="R46" i="3"/>
  <c r="R42" i="3"/>
  <c r="W42" i="3" s="1"/>
  <c r="R56" i="3"/>
  <c r="Y49" i="3"/>
  <c r="N39" i="3"/>
  <c r="X39" i="3" s="1"/>
  <c r="R44" i="3"/>
  <c r="Y41" i="3"/>
  <c r="R40" i="3"/>
  <c r="Y37" i="3"/>
  <c r="Y43" i="3"/>
  <c r="R41" i="3"/>
  <c r="X41" i="3" s="1"/>
  <c r="R45" i="3"/>
  <c r="Y44" i="3"/>
  <c r="Y38" i="3"/>
  <c r="Y40" i="3"/>
  <c r="W37" i="3"/>
  <c r="R43" i="3"/>
  <c r="Y45" i="3"/>
  <c r="Y46" i="3"/>
  <c r="X42" i="3"/>
  <c r="Y42" i="3"/>
  <c r="X37" i="3"/>
  <c r="W47" i="3"/>
  <c r="X47" i="3"/>
  <c r="Y47" i="3"/>
  <c r="P33" i="3"/>
  <c r="S29" i="3"/>
  <c r="S25" i="3"/>
  <c r="T33" i="3"/>
  <c r="S28" i="3"/>
  <c r="R28" i="3" s="1"/>
  <c r="O26" i="3"/>
  <c r="P32" i="3"/>
  <c r="P30" i="3"/>
  <c r="P25" i="3"/>
  <c r="P24" i="3"/>
  <c r="N24" i="3" s="1"/>
  <c r="O27" i="3"/>
  <c r="T26" i="3"/>
  <c r="O25" i="3"/>
  <c r="T25" i="3"/>
  <c r="S33" i="3"/>
  <c r="S31" i="3"/>
  <c r="P28" i="3"/>
  <c r="N28" i="3" s="1"/>
  <c r="P34" i="3"/>
  <c r="N34" i="3" s="1"/>
  <c r="P26" i="3"/>
  <c r="T29" i="3"/>
  <c r="P29" i="3"/>
  <c r="T34" i="3"/>
  <c r="S35" i="3"/>
  <c r="R35" i="3" s="1"/>
  <c r="P31" i="3"/>
  <c r="S34" i="3"/>
  <c r="T30" i="3"/>
  <c r="P36" i="3"/>
  <c r="N36" i="3" s="1"/>
  <c r="P35" i="3"/>
  <c r="P27" i="3"/>
  <c r="T31" i="3"/>
  <c r="S36" i="3"/>
  <c r="S26" i="3"/>
  <c r="T36" i="3"/>
  <c r="S27" i="3"/>
  <c r="R27" i="3" s="1"/>
  <c r="S32" i="3"/>
  <c r="S24" i="3"/>
  <c r="T32" i="3"/>
  <c r="T24" i="3"/>
  <c r="Y24" i="3" s="1"/>
  <c r="S30" i="3"/>
  <c r="O20" i="3"/>
  <c r="E31" i="3"/>
  <c r="E30" i="3"/>
  <c r="E29" i="3"/>
  <c r="E36" i="3"/>
  <c r="E28" i="3"/>
  <c r="E35" i="3"/>
  <c r="V35" i="3"/>
  <c r="E27" i="3"/>
  <c r="V27" i="3"/>
  <c r="E34" i="3"/>
  <c r="E26" i="3"/>
  <c r="V26" i="3"/>
  <c r="E33" i="3"/>
  <c r="E25" i="3"/>
  <c r="V25" i="3"/>
  <c r="E32" i="3"/>
  <c r="E24" i="3"/>
  <c r="O23" i="3"/>
  <c r="O22" i="3"/>
  <c r="O21" i="3"/>
  <c r="O19" i="3"/>
  <c r="O18" i="3"/>
  <c r="T18" i="3"/>
  <c r="S18" i="3"/>
  <c r="T19" i="3"/>
  <c r="E18" i="3"/>
  <c r="V18" i="3"/>
  <c r="P18" i="3"/>
  <c r="S19" i="3"/>
  <c r="T20" i="3"/>
  <c r="S20" i="3"/>
  <c r="E19" i="3"/>
  <c r="V19" i="3"/>
  <c r="P19" i="3"/>
  <c r="E20" i="3"/>
  <c r="V20" i="3"/>
  <c r="P20" i="3"/>
  <c r="T21" i="3"/>
  <c r="S22" i="3"/>
  <c r="E21" i="3"/>
  <c r="V21" i="3"/>
  <c r="T22" i="3"/>
  <c r="P21" i="3"/>
  <c r="S23" i="3"/>
  <c r="S21" i="3"/>
  <c r="E22" i="3"/>
  <c r="V22" i="3"/>
  <c r="T23" i="3"/>
  <c r="P22" i="3"/>
  <c r="E23" i="3"/>
  <c r="V23" i="3"/>
  <c r="P23" i="3"/>
  <c r="O16" i="3"/>
  <c r="O15" i="3"/>
  <c r="O14" i="3"/>
  <c r="O13" i="3"/>
  <c r="T15" i="3"/>
  <c r="T16" i="3"/>
  <c r="T13" i="3"/>
  <c r="T14" i="3"/>
  <c r="E13" i="3"/>
  <c r="V13" i="3"/>
  <c r="P13" i="3"/>
  <c r="S14" i="3"/>
  <c r="S13" i="3"/>
  <c r="S16" i="3"/>
  <c r="R16" i="3" s="1"/>
  <c r="E14" i="3"/>
  <c r="V14" i="3"/>
  <c r="P14" i="3"/>
  <c r="S15" i="3"/>
  <c r="E15" i="3"/>
  <c r="V15" i="3"/>
  <c r="P15" i="3"/>
  <c r="E16" i="3"/>
  <c r="V16" i="3"/>
  <c r="O11" i="3"/>
  <c r="P16" i="3"/>
  <c r="O10" i="3"/>
  <c r="O9" i="3"/>
  <c r="T10" i="3"/>
  <c r="S10" i="3"/>
  <c r="P10" i="3"/>
  <c r="E10" i="3"/>
  <c r="V10" i="3"/>
  <c r="T11" i="3"/>
  <c r="S11" i="3"/>
  <c r="E11" i="3"/>
  <c r="V11" i="3"/>
  <c r="P11" i="3"/>
  <c r="E9" i="3"/>
  <c r="V9" i="3"/>
  <c r="P9" i="3"/>
  <c r="S9" i="3"/>
  <c r="T9" i="3"/>
  <c r="K7" i="3"/>
  <c r="B7" i="3" s="1"/>
  <c r="L7" i="3"/>
  <c r="T7" i="3" s="1"/>
  <c r="K6" i="3"/>
  <c r="B6" i="3" s="1"/>
  <c r="L6" i="3"/>
  <c r="T6" i="3" s="1"/>
  <c r="K5" i="3"/>
  <c r="B5" i="3" s="1"/>
  <c r="L5" i="3"/>
  <c r="N16" i="3" l="1"/>
  <c r="X51" i="3"/>
  <c r="X62" i="3"/>
  <c r="W43" i="3"/>
  <c r="W48" i="3"/>
  <c r="X61" i="3"/>
  <c r="X58" i="3"/>
  <c r="W59" i="3"/>
  <c r="N29" i="3"/>
  <c r="W53" i="3"/>
  <c r="X45" i="3"/>
  <c r="W51" i="3"/>
  <c r="W49" i="3"/>
  <c r="X49" i="3"/>
  <c r="X38" i="3"/>
  <c r="W40" i="3"/>
  <c r="N33" i="3"/>
  <c r="N30" i="3"/>
  <c r="W57" i="3"/>
  <c r="X44" i="3"/>
  <c r="N31" i="3"/>
  <c r="X55" i="3"/>
  <c r="W55" i="3"/>
  <c r="X59" i="3"/>
  <c r="W46" i="3"/>
  <c r="X40" i="3"/>
  <c r="W62" i="3"/>
  <c r="X57" i="3"/>
  <c r="N32" i="3"/>
  <c r="W39" i="3"/>
  <c r="N35" i="3"/>
  <c r="X60" i="3"/>
  <c r="W54" i="3"/>
  <c r="X54" i="3"/>
  <c r="X46" i="3"/>
  <c r="X53" i="3"/>
  <c r="X56" i="3"/>
  <c r="W56" i="3"/>
  <c r="W44" i="3"/>
  <c r="W45" i="3"/>
  <c r="W41" i="3"/>
  <c r="R31" i="3"/>
  <c r="X43" i="3"/>
  <c r="R29" i="3"/>
  <c r="N26" i="3"/>
  <c r="R25" i="3"/>
  <c r="R26" i="3"/>
  <c r="Y35" i="3"/>
  <c r="Y25" i="3"/>
  <c r="Y33" i="3"/>
  <c r="N27" i="3"/>
  <c r="R33" i="3"/>
  <c r="N25" i="3"/>
  <c r="Y29" i="3"/>
  <c r="Y26" i="3"/>
  <c r="R36" i="3"/>
  <c r="R30" i="3"/>
  <c r="Y27" i="3"/>
  <c r="Y28" i="3"/>
  <c r="Y36" i="3"/>
  <c r="Y30" i="3"/>
  <c r="Y34" i="3"/>
  <c r="R34" i="3"/>
  <c r="X28" i="3"/>
  <c r="Y31" i="3"/>
  <c r="R32" i="3"/>
  <c r="W24" i="3"/>
  <c r="W28" i="3"/>
  <c r="Y32" i="3"/>
  <c r="R24" i="3"/>
  <c r="X24" i="3" s="1"/>
  <c r="N22" i="3"/>
  <c r="R18" i="3"/>
  <c r="R21" i="3"/>
  <c r="R20" i="3"/>
  <c r="Y23" i="3"/>
  <c r="R23" i="3"/>
  <c r="Y18" i="3"/>
  <c r="Y21" i="3"/>
  <c r="R19" i="3"/>
  <c r="Y19" i="3"/>
  <c r="N19" i="3"/>
  <c r="Y20" i="3"/>
  <c r="N18" i="3"/>
  <c r="N21" i="3"/>
  <c r="R22" i="3"/>
  <c r="N20" i="3"/>
  <c r="Y22" i="3"/>
  <c r="N23" i="3"/>
  <c r="R14" i="3"/>
  <c r="N15" i="3"/>
  <c r="Y14" i="3"/>
  <c r="R15" i="3"/>
  <c r="R13" i="3"/>
  <c r="Y13" i="3"/>
  <c r="Y15" i="3"/>
  <c r="N13" i="3"/>
  <c r="N14" i="3"/>
  <c r="Y16" i="3"/>
  <c r="N9" i="3"/>
  <c r="N10" i="3"/>
  <c r="Y11" i="3"/>
  <c r="R10" i="3"/>
  <c r="R11" i="3"/>
  <c r="Y10" i="3"/>
  <c r="N11" i="3"/>
  <c r="R9" i="3"/>
  <c r="Y9" i="3"/>
  <c r="O7" i="3"/>
  <c r="O6" i="3"/>
  <c r="O5" i="3"/>
  <c r="S7" i="3"/>
  <c r="R7" i="3" s="1"/>
  <c r="V7" i="3"/>
  <c r="E7" i="3"/>
  <c r="P7" i="3"/>
  <c r="E6" i="3"/>
  <c r="V6" i="3"/>
  <c r="P6" i="3"/>
  <c r="S6" i="3"/>
  <c r="R6" i="3" s="1"/>
  <c r="E5" i="3"/>
  <c r="V5" i="3"/>
  <c r="P5" i="3"/>
  <c r="S5" i="3"/>
  <c r="T5" i="3"/>
  <c r="B41" i="2"/>
  <c r="B40" i="2"/>
  <c r="N7" i="3" l="1"/>
  <c r="N5" i="3"/>
  <c r="Y6" i="3"/>
  <c r="N6" i="3"/>
  <c r="R5" i="3"/>
  <c r="Y7" i="3"/>
  <c r="Y5" i="3"/>
  <c r="L2" i="3"/>
  <c r="L3" i="3"/>
  <c r="L4" i="3"/>
  <c r="L8" i="3"/>
  <c r="L12" i="3"/>
  <c r="L17" i="3"/>
  <c r="K2" i="3" l="1"/>
  <c r="B2" i="3" s="1"/>
  <c r="K3" i="3"/>
  <c r="B3" i="3" s="1"/>
  <c r="E3" i="3" s="1"/>
  <c r="K4" i="3"/>
  <c r="B4" i="3" s="1"/>
  <c r="E4" i="3" s="1"/>
  <c r="O2" i="3"/>
  <c r="K8" i="3"/>
  <c r="B8" i="3" s="1"/>
  <c r="E8" i="3" s="1"/>
  <c r="K12" i="3"/>
  <c r="B12" i="3" s="1"/>
  <c r="E12" i="3" s="1"/>
  <c r="K17" i="3"/>
  <c r="B17" i="3" s="1"/>
  <c r="E17" i="3" s="1"/>
  <c r="T12" i="3"/>
  <c r="O8" i="3"/>
  <c r="U64" i="3" l="1"/>
  <c r="U72" i="3"/>
  <c r="U97" i="3"/>
  <c r="U99" i="3"/>
  <c r="U98" i="3"/>
  <c r="U101" i="3"/>
  <c r="U100" i="3"/>
  <c r="U96" i="3"/>
  <c r="U94" i="3"/>
  <c r="U95" i="3"/>
  <c r="U93" i="3"/>
  <c r="U90" i="3"/>
  <c r="U92" i="3"/>
  <c r="U91" i="3"/>
  <c r="U88" i="3"/>
  <c r="U89" i="3"/>
  <c r="U85" i="3"/>
  <c r="U87" i="3"/>
  <c r="U86" i="3"/>
  <c r="U82" i="3"/>
  <c r="U84" i="3"/>
  <c r="U83" i="3"/>
  <c r="U81" i="3"/>
  <c r="U78" i="3"/>
  <c r="U79" i="3"/>
  <c r="U74" i="3"/>
  <c r="U76" i="3"/>
  <c r="U80" i="3"/>
  <c r="U77" i="3"/>
  <c r="U75" i="3"/>
  <c r="U73" i="3"/>
  <c r="U69" i="3"/>
  <c r="U65" i="3"/>
  <c r="U70" i="3"/>
  <c r="U67" i="3"/>
  <c r="U63" i="3"/>
  <c r="U68" i="3"/>
  <c r="U66" i="3"/>
  <c r="U71" i="3"/>
  <c r="U62" i="3"/>
  <c r="U61" i="3"/>
  <c r="U55" i="3"/>
  <c r="U52" i="3"/>
  <c r="U50" i="3"/>
  <c r="U48" i="3"/>
  <c r="U59" i="3"/>
  <c r="U51" i="3"/>
  <c r="U58" i="3"/>
  <c r="U56" i="3"/>
  <c r="U53" i="3"/>
  <c r="U60" i="3"/>
  <c r="U54" i="3"/>
  <c r="U49" i="3"/>
  <c r="U57" i="3"/>
  <c r="U46" i="3"/>
  <c r="U38" i="3"/>
  <c r="U42" i="3"/>
  <c r="U39" i="3"/>
  <c r="U37" i="3"/>
  <c r="U45" i="3"/>
  <c r="U47" i="3"/>
  <c r="U41" i="3"/>
  <c r="U43" i="3"/>
  <c r="U44" i="3"/>
  <c r="U40" i="3"/>
  <c r="U26" i="3"/>
  <c r="U32" i="3"/>
  <c r="U28" i="3"/>
  <c r="U30" i="3"/>
  <c r="U34" i="3"/>
  <c r="U25" i="3"/>
  <c r="U36" i="3"/>
  <c r="U33" i="3"/>
  <c r="U31" i="3"/>
  <c r="U27" i="3"/>
  <c r="U29" i="3"/>
  <c r="U35" i="3"/>
  <c r="U24" i="3"/>
  <c r="U18" i="3"/>
  <c r="U20" i="3"/>
  <c r="U19" i="3"/>
  <c r="U21" i="3"/>
  <c r="U22" i="3"/>
  <c r="U23" i="3"/>
  <c r="U13" i="3"/>
  <c r="U14" i="3"/>
  <c r="U15" i="3"/>
  <c r="U16" i="3"/>
  <c r="U10" i="3"/>
  <c r="U11" i="3"/>
  <c r="U9" i="3"/>
  <c r="U7" i="3"/>
  <c r="U6" i="3"/>
  <c r="U5" i="3"/>
  <c r="E2" i="3"/>
  <c r="S2" i="3"/>
  <c r="O3" i="3"/>
  <c r="O4" i="3"/>
  <c r="S3" i="3"/>
  <c r="P2" i="3"/>
  <c r="N2" i="3" s="1"/>
  <c r="P3" i="3"/>
  <c r="T2" i="3"/>
  <c r="Y2" i="3" s="1"/>
  <c r="T3" i="3"/>
  <c r="T4" i="3"/>
  <c r="S4" i="3"/>
  <c r="V3" i="3"/>
  <c r="P4" i="3"/>
  <c r="O17" i="3"/>
  <c r="O12" i="3"/>
  <c r="V4" i="3"/>
  <c r="S12" i="3"/>
  <c r="R12" i="3" s="1"/>
  <c r="T8" i="3"/>
  <c r="P12" i="3"/>
  <c r="S8" i="3"/>
  <c r="P8" i="3"/>
  <c r="Y8" i="3" s="1"/>
  <c r="P17" i="3"/>
  <c r="S17" i="3"/>
  <c r="T17" i="3"/>
  <c r="N3" i="3" l="1"/>
  <c r="N4" i="3"/>
  <c r="R3" i="3"/>
  <c r="R2" i="3"/>
  <c r="Y3" i="3"/>
  <c r="R8" i="3"/>
  <c r="X2" i="3"/>
  <c r="N12" i="3"/>
  <c r="W2" i="3"/>
  <c r="Y4" i="3"/>
  <c r="R4" i="3"/>
  <c r="Y12" i="3"/>
  <c r="N17" i="3"/>
  <c r="N8" i="3"/>
  <c r="X8" i="3" s="1"/>
  <c r="W8" i="3"/>
  <c r="R17" i="3"/>
  <c r="Y17" i="3"/>
  <c r="B3" i="8" l="1"/>
  <c r="B4" i="8"/>
  <c r="B5" i="8"/>
  <c r="B6" i="8"/>
  <c r="B7" i="8"/>
  <c r="B8" i="8"/>
  <c r="B9" i="8"/>
  <c r="B10" i="8"/>
  <c r="B11" i="8"/>
  <c r="B12" i="8"/>
  <c r="B13" i="8"/>
  <c r="B2" i="8"/>
  <c r="G2" i="7" l="1"/>
  <c r="G3" i="7"/>
  <c r="G4" i="7"/>
  <c r="G5" i="7"/>
  <c r="G6" i="7"/>
  <c r="G7" i="7"/>
  <c r="G8" i="7"/>
  <c r="G9" i="7"/>
  <c r="H2" i="7"/>
  <c r="H3" i="7"/>
  <c r="H4" i="7"/>
  <c r="H5" i="7"/>
  <c r="H6" i="7"/>
  <c r="H7" i="7"/>
  <c r="H8" i="7"/>
  <c r="H9" i="7"/>
  <c r="D2" i="7"/>
  <c r="D3" i="7"/>
  <c r="D4" i="7"/>
  <c r="D5" i="7"/>
  <c r="D6" i="7"/>
  <c r="D7" i="7"/>
  <c r="D8" i="7"/>
  <c r="D9" i="7"/>
  <c r="E4" i="7" l="1"/>
  <c r="E5" i="7"/>
  <c r="E6" i="7"/>
  <c r="E7" i="7"/>
  <c r="E8" i="7"/>
  <c r="E9" i="7"/>
  <c r="F7" i="7" l="1"/>
  <c r="F6" i="7"/>
  <c r="F9" i="7"/>
  <c r="F5" i="7"/>
  <c r="F8" i="7"/>
  <c r="F4" i="7"/>
  <c r="C7" i="7"/>
  <c r="C6" i="7"/>
  <c r="C8" i="7"/>
  <c r="C4" i="7"/>
  <c r="C9" i="7"/>
  <c r="C5" i="7"/>
  <c r="E3" i="7"/>
  <c r="F3" i="7"/>
  <c r="F2" i="7"/>
  <c r="E2" i="7"/>
  <c r="C3" i="7" l="1"/>
  <c r="C2" i="7"/>
  <c r="I12" i="8" l="1"/>
  <c r="U3" i="3"/>
  <c r="U4" i="3"/>
  <c r="U2" i="3"/>
  <c r="U12" i="3"/>
  <c r="U8" i="3"/>
  <c r="U17" i="3"/>
  <c r="I7" i="8" l="1"/>
  <c r="I10" i="8"/>
  <c r="I9" i="8"/>
  <c r="I6" i="8"/>
  <c r="I4" i="8"/>
  <c r="I11" i="8"/>
  <c r="I8" i="8"/>
  <c r="I5" i="8"/>
  <c r="I13" i="8"/>
  <c r="I3" i="8"/>
  <c r="I2" i="8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D3" i="5"/>
  <c r="D4" i="5" s="1"/>
  <c r="E3" i="5"/>
  <c r="E8" i="5" s="1"/>
  <c r="F3" i="5"/>
  <c r="F4" i="5" s="1"/>
  <c r="G3" i="5"/>
  <c r="G4" i="5" s="1"/>
  <c r="H3" i="5"/>
  <c r="H4" i="5" s="1"/>
  <c r="I3" i="5"/>
  <c r="I8" i="5" s="1"/>
  <c r="J3" i="5"/>
  <c r="J4" i="5" s="1"/>
  <c r="K3" i="5"/>
  <c r="K8" i="5" s="1"/>
  <c r="L3" i="5"/>
  <c r="L4" i="5" s="1"/>
  <c r="M3" i="5"/>
  <c r="M8" i="5" s="1"/>
  <c r="N3" i="5"/>
  <c r="N7" i="5" s="1"/>
  <c r="O3" i="5"/>
  <c r="O7" i="5" s="1"/>
  <c r="P3" i="5"/>
  <c r="P4" i="5" s="1"/>
  <c r="Q3" i="5"/>
  <c r="Q4" i="5" s="1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2" i="5"/>
  <c r="C3" i="5"/>
  <c r="C7" i="5" s="1"/>
  <c r="C5" i="5"/>
  <c r="C6" i="5"/>
  <c r="C9" i="5"/>
  <c r="C10" i="5"/>
  <c r="C11" i="5"/>
  <c r="C12" i="5"/>
  <c r="C13" i="5"/>
  <c r="B13" i="5"/>
  <c r="H8" i="5" l="1"/>
  <c r="O8" i="5"/>
  <c r="G7" i="5"/>
  <c r="G8" i="5"/>
  <c r="J7" i="5"/>
  <c r="J8" i="5"/>
  <c r="N4" i="5"/>
  <c r="F8" i="5"/>
  <c r="K7" i="5"/>
  <c r="O4" i="5"/>
  <c r="N8" i="5"/>
  <c r="F7" i="5"/>
  <c r="K4" i="5"/>
  <c r="L8" i="5"/>
  <c r="P8" i="5"/>
  <c r="D8" i="5"/>
  <c r="Q7" i="5"/>
  <c r="P7" i="5"/>
  <c r="L7" i="5"/>
  <c r="H7" i="5"/>
  <c r="D7" i="5"/>
  <c r="M4" i="5"/>
  <c r="I4" i="5"/>
  <c r="E4" i="5"/>
  <c r="M7" i="5"/>
  <c r="I7" i="5"/>
  <c r="E7" i="5"/>
  <c r="Q8" i="5"/>
  <c r="C8" i="5"/>
  <c r="C4" i="5"/>
  <c r="B2" i="5"/>
  <c r="B10" i="5"/>
  <c r="B3" i="5"/>
  <c r="B11" i="5"/>
  <c r="B6" i="5"/>
  <c r="B12" i="5"/>
  <c r="B5" i="5"/>
  <c r="B9" i="5"/>
  <c r="M32" i="3" l="1"/>
  <c r="M33" i="3"/>
  <c r="M18" i="3"/>
  <c r="M9" i="3"/>
  <c r="M26" i="3"/>
  <c r="M6" i="3"/>
  <c r="M5" i="3"/>
  <c r="Q33" i="3"/>
  <c r="Q31" i="3"/>
  <c r="Q27" i="3"/>
  <c r="Q14" i="3"/>
  <c r="Q32" i="3"/>
  <c r="Q30" i="3"/>
  <c r="Q20" i="3"/>
  <c r="Q26" i="3"/>
  <c r="Q10" i="3"/>
  <c r="B8" i="5"/>
  <c r="B4" i="5"/>
  <c r="M30" i="3" s="1"/>
  <c r="B7" i="5"/>
  <c r="X33" i="3" l="1"/>
  <c r="W33" i="3"/>
  <c r="W30" i="3"/>
  <c r="X30" i="3"/>
  <c r="X32" i="3"/>
  <c r="W32" i="3"/>
  <c r="Q5" i="3"/>
  <c r="Q19" i="3"/>
  <c r="Q18" i="3"/>
  <c r="Q11" i="3"/>
  <c r="M34" i="3"/>
  <c r="M15" i="3"/>
  <c r="M23" i="3"/>
  <c r="M24" i="3"/>
  <c r="Q28" i="3"/>
  <c r="Q9" i="3"/>
  <c r="Q15" i="3"/>
  <c r="Q35" i="3"/>
  <c r="M29" i="3"/>
  <c r="M25" i="3"/>
  <c r="M20" i="3"/>
  <c r="X20" i="3" s="1"/>
  <c r="Q13" i="3"/>
  <c r="Q16" i="3"/>
  <c r="M19" i="3"/>
  <c r="M22" i="3"/>
  <c r="M31" i="3"/>
  <c r="X31" i="3" s="1"/>
  <c r="W26" i="3"/>
  <c r="X26" i="3"/>
  <c r="Q21" i="3"/>
  <c r="Q29" i="3"/>
  <c r="Q22" i="3"/>
  <c r="M28" i="3"/>
  <c r="M16" i="3"/>
  <c r="M10" i="3"/>
  <c r="W10" i="3" s="1"/>
  <c r="Q6" i="3"/>
  <c r="Q36" i="3"/>
  <c r="Q24" i="3"/>
  <c r="M7" i="3"/>
  <c r="M13" i="3"/>
  <c r="M27" i="3"/>
  <c r="W27" i="3" s="1"/>
  <c r="M36" i="3"/>
  <c r="M14" i="3"/>
  <c r="X14" i="3" s="1"/>
  <c r="Q7" i="3"/>
  <c r="Q23" i="3"/>
  <c r="Q34" i="3"/>
  <c r="Q25" i="3"/>
  <c r="M21" i="3"/>
  <c r="M11" i="3"/>
  <c r="M35" i="3"/>
  <c r="Q3" i="3"/>
  <c r="M8" i="3"/>
  <c r="M4" i="3"/>
  <c r="M3" i="3"/>
  <c r="Q8" i="3"/>
  <c r="M2" i="3"/>
  <c r="Q12" i="3"/>
  <c r="Q17" i="3"/>
  <c r="Q2" i="3"/>
  <c r="M17" i="3"/>
  <c r="Q4" i="3"/>
  <c r="M12" i="3"/>
  <c r="W31" i="3" l="1"/>
  <c r="X29" i="3"/>
  <c r="W29" i="3"/>
  <c r="X10" i="3"/>
  <c r="X25" i="3"/>
  <c r="W25" i="3"/>
  <c r="X27" i="3"/>
  <c r="X7" i="3"/>
  <c r="W7" i="3"/>
  <c r="X34" i="3"/>
  <c r="W34" i="3"/>
  <c r="W23" i="3"/>
  <c r="X23" i="3"/>
  <c r="W14" i="3"/>
  <c r="W36" i="3"/>
  <c r="X36" i="3"/>
  <c r="W35" i="3"/>
  <c r="X35" i="3"/>
  <c r="X11" i="3"/>
  <c r="W11" i="3"/>
  <c r="W6" i="3"/>
  <c r="X6" i="3"/>
  <c r="W22" i="3"/>
  <c r="X22" i="3"/>
  <c r="X16" i="3"/>
  <c r="W16" i="3"/>
  <c r="X15" i="3"/>
  <c r="W15" i="3"/>
  <c r="W18" i="3"/>
  <c r="X18" i="3"/>
  <c r="W20" i="3"/>
  <c r="X13" i="3"/>
  <c r="W13" i="3"/>
  <c r="W9" i="3"/>
  <c r="X9" i="3"/>
  <c r="X19" i="3"/>
  <c r="W19" i="3"/>
  <c r="W21" i="3"/>
  <c r="X21" i="3"/>
  <c r="X5" i="3"/>
  <c r="W5" i="3"/>
  <c r="X17" i="3"/>
  <c r="W17" i="3"/>
  <c r="X4" i="3"/>
  <c r="W4" i="3"/>
  <c r="X12" i="3"/>
  <c r="W12" i="3"/>
  <c r="W3" i="3"/>
  <c r="X3" i="3"/>
  <c r="V64" i="3" l="1"/>
  <c r="V72" i="3"/>
  <c r="V96" i="3"/>
  <c r="V94" i="3"/>
  <c r="V91" i="3"/>
  <c r="V92" i="3"/>
  <c r="V88" i="3"/>
  <c r="V90" i="3"/>
  <c r="V81" i="3"/>
  <c r="V85" i="3"/>
  <c r="V73" i="3"/>
  <c r="V75" i="3"/>
  <c r="V61" i="3"/>
  <c r="V65" i="3"/>
  <c r="V36" i="3"/>
  <c r="V37" i="3"/>
  <c r="V41" i="3"/>
  <c r="V34" i="3"/>
  <c r="V50" i="3"/>
  <c r="V42" i="3"/>
  <c r="V56" i="3"/>
  <c r="V52" i="3"/>
  <c r="V47" i="3"/>
  <c r="V28" i="3"/>
  <c r="V30" i="3"/>
  <c r="V33" i="3"/>
  <c r="V31" i="3"/>
  <c r="V29" i="3"/>
  <c r="V32" i="3"/>
  <c r="V17" i="3"/>
  <c r="V24" i="3"/>
  <c r="V12" i="3"/>
  <c r="G12" i="8"/>
  <c r="H12" i="8" s="1"/>
  <c r="G11" i="8"/>
  <c r="H11" i="8" s="1"/>
  <c r="G10" i="8"/>
  <c r="H10" i="8" s="1"/>
  <c r="G13" i="8"/>
  <c r="H13" i="8" s="1"/>
  <c r="G6" i="8"/>
  <c r="H6" i="8" s="1"/>
  <c r="G8" i="8"/>
  <c r="G4" i="8"/>
  <c r="H4" i="8" s="1"/>
  <c r="G3" i="8"/>
  <c r="H3" i="8" s="1"/>
  <c r="G5" i="8"/>
  <c r="H5" i="8" s="1"/>
  <c r="G2" i="8"/>
  <c r="H2" i="8" s="1"/>
  <c r="G9" i="8"/>
  <c r="H9" i="8" s="1"/>
  <c r="G7" i="8"/>
  <c r="H7" i="8" s="1"/>
  <c r="C6" i="8"/>
  <c r="D6" i="8" s="1"/>
  <c r="H8" i="8" l="1"/>
  <c r="R8" i="8" s="1"/>
  <c r="P6" i="8"/>
  <c r="R3" i="8"/>
  <c r="R4" i="8"/>
  <c r="R6" i="8"/>
  <c r="R7" i="8"/>
  <c r="R13" i="8"/>
  <c r="R9" i="8"/>
  <c r="R10" i="8"/>
  <c r="R2" i="8"/>
  <c r="R11" i="8"/>
  <c r="R5" i="8"/>
  <c r="R12" i="8"/>
  <c r="V2" i="3"/>
  <c r="V8" i="3"/>
  <c r="C11" i="8"/>
  <c r="D11" i="8" s="1"/>
  <c r="C3" i="8"/>
  <c r="D3" i="8" s="1"/>
  <c r="C13" i="8"/>
  <c r="D13" i="8" s="1"/>
  <c r="C5" i="8"/>
  <c r="D5" i="8" s="1"/>
  <c r="E11" i="8"/>
  <c r="F11" i="8" s="1"/>
  <c r="E2" i="8"/>
  <c r="F2" i="8" s="1"/>
  <c r="E10" i="8"/>
  <c r="F10" i="8" s="1"/>
  <c r="E3" i="8"/>
  <c r="F3" i="8" s="1"/>
  <c r="E13" i="8"/>
  <c r="F13" i="8" s="1"/>
  <c r="E12" i="8"/>
  <c r="F12" i="8" s="1"/>
  <c r="E5" i="8"/>
  <c r="F5" i="8" s="1"/>
  <c r="E7" i="8"/>
  <c r="F7" i="8" s="1"/>
  <c r="E4" i="8"/>
  <c r="F4" i="8" s="1"/>
  <c r="E6" i="8"/>
  <c r="F6" i="8" s="1"/>
  <c r="E9" i="8"/>
  <c r="F9" i="8" s="1"/>
  <c r="E8" i="8"/>
  <c r="F8" i="8" s="1"/>
  <c r="C8" i="8"/>
  <c r="C10" i="8"/>
  <c r="C9" i="8"/>
  <c r="C4" i="8"/>
  <c r="C2" i="8"/>
  <c r="C7" i="8"/>
  <c r="D7" i="8" s="1"/>
  <c r="C12" i="8"/>
  <c r="D12" i="8" s="1"/>
  <c r="M2" i="8" l="1"/>
  <c r="D10" i="8"/>
  <c r="P10" i="8" s="1"/>
  <c r="M10" i="8"/>
  <c r="D9" i="8"/>
  <c r="M9" i="8"/>
  <c r="D2" i="8"/>
  <c r="K2" i="8"/>
  <c r="L2" i="8" s="1"/>
  <c r="D8" i="8"/>
  <c r="P8" i="8" s="1"/>
  <c r="D4" i="8"/>
  <c r="P4" i="8" s="1"/>
  <c r="M4" i="8"/>
  <c r="M6" i="8"/>
  <c r="M8" i="8"/>
  <c r="M11" i="8"/>
  <c r="P3" i="8"/>
  <c r="M3" i="8"/>
  <c r="N3" i="8" s="1"/>
  <c r="O3" i="8" s="1"/>
  <c r="M12" i="8"/>
  <c r="M7" i="8"/>
  <c r="M5" i="8"/>
  <c r="M13" i="8"/>
  <c r="N13" i="8" s="1"/>
  <c r="O13" i="8" s="1"/>
  <c r="H14" i="8"/>
  <c r="R14" i="8"/>
  <c r="Q13" i="8"/>
  <c r="Q8" i="8"/>
  <c r="Q3" i="8"/>
  <c r="Q9" i="8"/>
  <c r="Q10" i="8"/>
  <c r="Q4" i="8"/>
  <c r="Q11" i="8"/>
  <c r="Q7" i="8"/>
  <c r="Q5" i="8"/>
  <c r="Q12" i="8"/>
  <c r="K7" i="8"/>
  <c r="L7" i="8" s="1"/>
  <c r="K4" i="8"/>
  <c r="L4" i="8" s="1"/>
  <c r="K5" i="8"/>
  <c r="L5" i="8" s="1"/>
  <c r="P5" i="8"/>
  <c r="K9" i="8"/>
  <c r="L9" i="8" s="1"/>
  <c r="K13" i="8"/>
  <c r="L13" i="8" s="1"/>
  <c r="P13" i="8"/>
  <c r="K10" i="8"/>
  <c r="L10" i="8" s="1"/>
  <c r="K3" i="8"/>
  <c r="L3" i="8" s="1"/>
  <c r="K8" i="8"/>
  <c r="L8" i="8" s="1"/>
  <c r="K11" i="8"/>
  <c r="L11" i="8" s="1"/>
  <c r="P12" i="8"/>
  <c r="K12" i="8"/>
  <c r="L12" i="8" s="1"/>
  <c r="K6" i="8"/>
  <c r="L6" i="8" s="1"/>
  <c r="Q2" i="8"/>
  <c r="N8" i="8" l="1"/>
  <c r="N12" i="8"/>
  <c r="O12" i="8" s="1"/>
  <c r="N4" i="8"/>
  <c r="O4" i="8" s="1"/>
  <c r="N7" i="8"/>
  <c r="O7" i="8" s="1"/>
  <c r="N11" i="8"/>
  <c r="N10" i="8"/>
  <c r="O10" i="8" s="1"/>
  <c r="N5" i="8"/>
  <c r="O5" i="8" s="1"/>
  <c r="N6" i="8"/>
  <c r="O6" i="8" s="1"/>
  <c r="N9" i="8"/>
  <c r="N2" i="8"/>
  <c r="O2" i="8" s="1"/>
  <c r="Q6" i="8"/>
  <c r="Q14" i="8" s="1"/>
  <c r="F14" i="8"/>
  <c r="P2" i="8"/>
  <c r="P7" i="8"/>
  <c r="D14" i="8"/>
  <c r="P9" i="8"/>
  <c r="P11" i="8"/>
  <c r="O8" i="8" l="1"/>
  <c r="O11" i="8"/>
  <c r="O9" i="8"/>
  <c r="P14" i="8"/>
  <c r="L14" i="8"/>
  <c r="I14" i="8" l="1"/>
  <c r="J2" i="8"/>
  <c r="J11" i="8"/>
  <c r="J8" i="8"/>
  <c r="J5" i="8"/>
  <c r="N14" i="8"/>
  <c r="O14" i="8"/>
  <c r="S14" i="8" l="1"/>
  <c r="U2" i="8"/>
  <c r="U3" i="8" s="1"/>
  <c r="U4" i="8" s="1"/>
  <c r="U5" i="8" s="1"/>
  <c r="U6" i="8" s="1"/>
  <c r="U7" i="8" s="1"/>
  <c r="U8" i="8" s="1"/>
  <c r="U9" i="8" s="1"/>
  <c r="U10" i="8" s="1"/>
  <c r="U11" i="8" s="1"/>
  <c r="U12" i="8" s="1"/>
  <c r="U13" i="8" s="1"/>
  <c r="U14" i="8" s="1"/>
</calcChain>
</file>

<file path=xl/comments1.xml><?xml version="1.0" encoding="utf-8"?>
<comments xmlns="http://schemas.openxmlformats.org/spreadsheetml/2006/main">
  <authors>
    <author>Auteur</author>
  </authors>
  <commentList>
    <comment ref="K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L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3.xml><?xml version="1.0" encoding="utf-8"?>
<comments xmlns="http://schemas.openxmlformats.org/spreadsheetml/2006/main">
  <authors>
    <author>HAFIZOU Christopher</author>
  </authors>
  <commentList>
    <comment ref="E1" authorId="0" shapeId="0">
      <text>
        <r>
          <rPr>
            <b/>
            <sz val="9"/>
            <color indexed="81"/>
            <rFont val="Tahoma"/>
            <charset val="1"/>
          </rPr>
          <t>formule pour arrondi &gt; (15,30,45…)
=SI(E5=0;0;ARRONDI.SUP(E5*4*24+1/60/24;0)/4/24)</t>
        </r>
      </text>
    </comment>
  </commentList>
</comments>
</file>

<file path=xl/sharedStrings.xml><?xml version="1.0" encoding="utf-8"?>
<sst xmlns="http://schemas.openxmlformats.org/spreadsheetml/2006/main" count="171" uniqueCount="113">
  <si>
    <t>Date</t>
  </si>
  <si>
    <t>Véhicule</t>
  </si>
  <si>
    <t>VSAV</t>
  </si>
  <si>
    <t>FPTL</t>
  </si>
  <si>
    <t>CCF</t>
  </si>
  <si>
    <t>VLOD</t>
  </si>
  <si>
    <t>Lundi de Pâques</t>
  </si>
  <si>
    <t>Assomption</t>
  </si>
  <si>
    <t>Armistice</t>
  </si>
  <si>
    <t>Noël</t>
  </si>
  <si>
    <t>Jours fériés</t>
  </si>
  <si>
    <t>Début Dim ou Férié</t>
  </si>
  <si>
    <t>Fin Dim ou Férié</t>
  </si>
  <si>
    <t>Hfin corrigée</t>
  </si>
  <si>
    <t>Durée interv. dim ou férié</t>
  </si>
  <si>
    <t>Durée interv. nuit</t>
  </si>
  <si>
    <t>Durée interv. jour</t>
  </si>
  <si>
    <t>Hdébut interv.</t>
  </si>
  <si>
    <t>Hfin Interv.</t>
  </si>
  <si>
    <t>JOUR1</t>
  </si>
  <si>
    <t>NUIT1.1</t>
  </si>
  <si>
    <t>NUIT1.2</t>
  </si>
  <si>
    <t>JOUR2</t>
  </si>
  <si>
    <t>NUIT2.1</t>
  </si>
  <si>
    <t>NUIT2.2</t>
  </si>
  <si>
    <t>Hdébut corrigé</t>
  </si>
  <si>
    <t>Véhicules</t>
  </si>
  <si>
    <t>Fin Nuit</t>
  </si>
  <si>
    <t>Début Nuit</t>
  </si>
  <si>
    <t>Taux sans interv.</t>
  </si>
  <si>
    <t>Taux interv. jour</t>
  </si>
  <si>
    <t>Taux interv. dim ou férié</t>
  </si>
  <si>
    <t>Taux interv. nuit</t>
  </si>
  <si>
    <t>Interv. hors poste</t>
  </si>
  <si>
    <t>Premier de l'AN</t>
  </si>
  <si>
    <t>Pâques</t>
  </si>
  <si>
    <t>Fête du travail</t>
  </si>
  <si>
    <t>Victoire de 1945</t>
  </si>
  <si>
    <t>Ascension</t>
  </si>
  <si>
    <t>Pentecôte</t>
  </si>
  <si>
    <t>Fête nationale</t>
  </si>
  <si>
    <t>Toussaint</t>
  </si>
  <si>
    <t>Hdébut garde</t>
  </si>
  <si>
    <t>Hfin garde</t>
  </si>
  <si>
    <t>Garde / Interv.</t>
  </si>
  <si>
    <t>Total</t>
  </si>
  <si>
    <t>Année</t>
  </si>
  <si>
    <t>Mois</t>
  </si>
  <si>
    <t>indemnités sans inter</t>
  </si>
  <si>
    <t>indemnités inter dim/jr ferié</t>
  </si>
  <si>
    <t>indemnités inter Jr</t>
  </si>
  <si>
    <t>Indémnités inter. Nuit</t>
  </si>
  <si>
    <t>AVP</t>
  </si>
  <si>
    <t>TS</t>
  </si>
  <si>
    <t>Malaise</t>
  </si>
  <si>
    <t>Paturiante</t>
  </si>
  <si>
    <t xml:space="preserve">Agression </t>
  </si>
  <si>
    <t>Hémorragie</t>
  </si>
  <si>
    <t>Personne état d'ébiété</t>
  </si>
  <si>
    <t>Noyade</t>
  </si>
  <si>
    <t>Traumatime</t>
  </si>
  <si>
    <t>Autres</t>
  </si>
  <si>
    <t>Motif Départ</t>
  </si>
  <si>
    <t>Motifs Départ</t>
  </si>
  <si>
    <t>Malade</t>
  </si>
  <si>
    <t>Chute</t>
  </si>
  <si>
    <t>Brûlure</t>
  </si>
  <si>
    <t>Détres.Respi</t>
  </si>
  <si>
    <t>budget annuel</t>
  </si>
  <si>
    <t>Nbre d'heure effectués/Trimestre</t>
  </si>
  <si>
    <t>H max annuel 1440</t>
  </si>
  <si>
    <t>H max Trimestriel 360</t>
  </si>
  <si>
    <t>H max mensuel 120</t>
  </si>
  <si>
    <t>H min annuel 384</t>
  </si>
  <si>
    <t>H min trimestriel 96</t>
  </si>
  <si>
    <t>H min mensuel 0</t>
  </si>
  <si>
    <t>INC</t>
  </si>
  <si>
    <t>Budget restant</t>
  </si>
  <si>
    <t>&gt;24h</t>
  </si>
  <si>
    <t xml:space="preserve">Oui </t>
  </si>
  <si>
    <t>Réponses</t>
  </si>
  <si>
    <t>Total durée inter / +arrondi</t>
  </si>
  <si>
    <t>Sapeur</t>
  </si>
  <si>
    <t>Formation</t>
  </si>
  <si>
    <t>mars</t>
  </si>
  <si>
    <t>mai</t>
  </si>
  <si>
    <t>août</t>
  </si>
  <si>
    <t>avril</t>
  </si>
  <si>
    <t>juillet</t>
  </si>
  <si>
    <t>septembre</t>
  </si>
  <si>
    <t>octobre</t>
  </si>
  <si>
    <t>novembre</t>
  </si>
  <si>
    <t>décembre</t>
  </si>
  <si>
    <t>janvier</t>
  </si>
  <si>
    <t>février</t>
  </si>
  <si>
    <t>GARDE CIS</t>
  </si>
  <si>
    <t>Garde de :</t>
  </si>
  <si>
    <t>Indemnités</t>
  </si>
  <si>
    <t>Garde postée au CIS</t>
  </si>
  <si>
    <t>Garde postée réelle</t>
  </si>
  <si>
    <t>Total activité du mois</t>
  </si>
  <si>
    <t xml:space="preserve">Reçu le mois de : </t>
  </si>
  <si>
    <t>juin</t>
  </si>
  <si>
    <t>Formation (h)</t>
  </si>
  <si>
    <t>Formateur (h)</t>
  </si>
  <si>
    <t>Jury (h)</t>
  </si>
  <si>
    <t>Manoeuvrant (h)</t>
  </si>
  <si>
    <t>Sécurité (début)</t>
  </si>
  <si>
    <t>Sécurité (fin)</t>
  </si>
  <si>
    <t>Réunion
Tâches Technico-administratives (début)</t>
  </si>
  <si>
    <t>Réunion
Tâches Technico-administratives (fin)</t>
  </si>
  <si>
    <t>Astreinte domicile (début)</t>
  </si>
  <si>
    <t>Astreinte domicile (fin)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</si>
</sst>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164" formatCode="ddd\ dd\-mm"/>
    <numFmt numFmtId="165" formatCode="[$-40C]General"/>
    <numFmt numFmtId="166" formatCode="[hh]:mm"/>
    <numFmt numFmtId="167" formatCode="ddd\ dd\-mmm\-yyyy"/>
    <numFmt numFmtId="168" formatCode="d\ hh:mm"/>
    <numFmt numFmtId="169" formatCode="d\ * hh:mm"/>
    <numFmt numFmtId="170" formatCode="mmm"/>
    <numFmt numFmtId="171" formatCode="#,##0.00\ &quot;€&quot;"/>
    <numFmt numFmtId="172" formatCode="[$-F400]h:mm:ss\ AM/PM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8" tint="-0.249977111117893"/>
      <name val="Calibri"/>
      <scheme val="minor"/>
    </font>
    <font>
      <i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1" tint="4.9989318521683403E-2"/>
      <name val="Calibri"/>
      <scheme val="minor"/>
    </font>
    <font>
      <i/>
      <sz val="11"/>
      <color theme="1" tint="4.9989318521683403E-2"/>
      <name val="Calibri"/>
      <scheme val="minor"/>
    </font>
    <font>
      <b/>
      <i/>
      <sz val="11"/>
      <color theme="0" tint="-0.499984740745262"/>
      <name val="Calibri"/>
      <family val="2"/>
      <scheme val="minor"/>
    </font>
    <font>
      <b/>
      <sz val="9"/>
      <color indexed="81"/>
      <name val="Tahoma"/>
      <charset val="1"/>
    </font>
    <font>
      <i/>
      <sz val="11"/>
      <color theme="1" tint="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theme="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auto="1"/>
      </left>
      <right/>
      <top/>
      <bottom/>
      <diagonal/>
    </border>
    <border>
      <left/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double">
        <color theme="4" tint="0.399945066682943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slantDashDot">
        <color auto="1"/>
      </right>
      <top/>
      <bottom/>
      <diagonal/>
    </border>
    <border>
      <left/>
      <right/>
      <top/>
      <bottom style="double">
        <color indexed="64"/>
      </bottom>
      <diagonal/>
    </border>
    <border>
      <left style="slantDashDot">
        <color auto="1"/>
      </left>
      <right/>
      <top/>
      <bottom style="double">
        <color indexed="64"/>
      </bottom>
      <diagonal/>
    </border>
    <border>
      <left/>
      <right style="slantDashDot">
        <color auto="1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5" fontId="4" fillId="0" borderId="0"/>
    <xf numFmtId="165" fontId="6" fillId="0" borderId="0"/>
    <xf numFmtId="165" fontId="6" fillId="0" borderId="0"/>
    <xf numFmtId="0" fontId="7" fillId="0" borderId="0"/>
    <xf numFmtId="0" fontId="8" fillId="0" borderId="0"/>
    <xf numFmtId="0" fontId="2" fillId="0" borderId="0"/>
    <xf numFmtId="0" fontId="4" fillId="0" borderId="0">
      <alignment horizontal="left" vertical="center"/>
    </xf>
  </cellStyleXfs>
  <cellXfs count="168">
    <xf numFmtId="0" fontId="0" fillId="0" borderId="0" xfId="0"/>
    <xf numFmtId="164" fontId="5" fillId="0" borderId="0" xfId="4" applyNumberFormat="1"/>
    <xf numFmtId="0" fontId="12" fillId="0" borderId="0" xfId="0" applyFo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3" fillId="0" borderId="0" xfId="4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vertical="center" wrapText="1"/>
    </xf>
    <xf numFmtId="169" fontId="12" fillId="0" borderId="0" xfId="0" applyNumberFormat="1" applyFont="1"/>
    <xf numFmtId="166" fontId="12" fillId="0" borderId="0" xfId="0" applyNumberFormat="1" applyFont="1"/>
    <xf numFmtId="44" fontId="12" fillId="0" borderId="0" xfId="1" applyFont="1"/>
    <xf numFmtId="169" fontId="15" fillId="0" borderId="0" xfId="0" applyNumberFormat="1" applyFont="1" applyAlignment="1">
      <alignment vertical="center" wrapText="1"/>
    </xf>
    <xf numFmtId="166" fontId="15" fillId="0" borderId="0" xfId="0" applyNumberFormat="1" applyFont="1" applyAlignment="1">
      <alignment vertical="center" wrapText="1"/>
    </xf>
    <xf numFmtId="0" fontId="0" fillId="0" borderId="1" xfId="0" applyBorder="1"/>
    <xf numFmtId="167" fontId="20" fillId="0" borderId="0" xfId="0" applyNumberFormat="1" applyFont="1" applyAlignment="1">
      <alignment horizontal="center" vertical="center"/>
    </xf>
    <xf numFmtId="0" fontId="3" fillId="0" borderId="3" xfId="0" applyFont="1" applyBorder="1"/>
    <xf numFmtId="166" fontId="19" fillId="2" borderId="3" xfId="0" applyNumberFormat="1" applyFont="1" applyFill="1" applyBorder="1"/>
    <xf numFmtId="171" fontId="19" fillId="0" borderId="3" xfId="0" applyNumberFormat="1" applyFont="1" applyBorder="1"/>
    <xf numFmtId="171" fontId="1" fillId="0" borderId="1" xfId="1" applyNumberFormat="1" applyBorder="1"/>
    <xf numFmtId="0" fontId="19" fillId="0" borderId="0" xfId="0" applyFont="1"/>
    <xf numFmtId="0" fontId="11" fillId="0" borderId="0" xfId="0" applyFont="1" applyAlignment="1">
      <alignment horizontal="center" vertical="center" wrapText="1"/>
    </xf>
    <xf numFmtId="166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6" fontId="15" fillId="0" borderId="10" xfId="0" applyNumberFormat="1" applyFont="1" applyBorder="1" applyAlignment="1">
      <alignment horizontal="center" vertical="center" wrapText="1"/>
    </xf>
    <xf numFmtId="169" fontId="11" fillId="0" borderId="0" xfId="0" applyNumberFormat="1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166" fontId="11" fillId="0" borderId="10" xfId="0" applyNumberFormat="1" applyFont="1" applyBorder="1" applyAlignment="1">
      <alignment horizontal="center" vertical="center" wrapText="1"/>
    </xf>
    <xf numFmtId="167" fontId="20" fillId="0" borderId="0" xfId="0" applyNumberFormat="1" applyFont="1" applyAlignment="1">
      <alignment horizontal="center"/>
    </xf>
    <xf numFmtId="166" fontId="20" fillId="0" borderId="0" xfId="0" applyNumberFormat="1" applyFont="1" applyAlignment="1">
      <alignment horizontal="center"/>
    </xf>
    <xf numFmtId="166" fontId="20" fillId="0" borderId="10" xfId="0" applyNumberFormat="1" applyFont="1" applyBorder="1" applyAlignment="1">
      <alignment horizontal="center"/>
    </xf>
    <xf numFmtId="169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6" fontId="16" fillId="0" borderId="0" xfId="0" applyNumberFormat="1" applyFont="1" applyAlignment="1">
      <alignment horizontal="center"/>
    </xf>
    <xf numFmtId="166" fontId="16" fillId="0" borderId="1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9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6" fontId="18" fillId="0" borderId="0" xfId="0" applyNumberFormat="1" applyFont="1" applyAlignment="1">
      <alignment horizontal="center"/>
    </xf>
    <xf numFmtId="166" fontId="18" fillId="0" borderId="10" xfId="0" applyNumberFormat="1" applyFont="1" applyBorder="1" applyAlignment="1">
      <alignment horizontal="center"/>
    </xf>
    <xf numFmtId="0" fontId="14" fillId="0" borderId="0" xfId="0" applyFont="1" applyAlignment="1">
      <alignment horizontal="center"/>
    </xf>
    <xf numFmtId="166" fontId="21" fillId="0" borderId="0" xfId="0" applyNumberFormat="1" applyFont="1" applyAlignment="1">
      <alignment horizontal="center"/>
    </xf>
    <xf numFmtId="168" fontId="16" fillId="0" borderId="0" xfId="0" applyNumberFormat="1" applyFont="1" applyAlignment="1">
      <alignment horizontal="center"/>
    </xf>
    <xf numFmtId="166" fontId="14" fillId="0" borderId="0" xfId="0" applyNumberFormat="1" applyFont="1" applyAlignment="1">
      <alignment horizontal="center"/>
    </xf>
    <xf numFmtId="0" fontId="0" fillId="0" borderId="10" xfId="0" applyBorder="1" applyAlignment="1">
      <alignment horizontal="center"/>
    </xf>
    <xf numFmtId="169" fontId="14" fillId="0" borderId="0" xfId="0" applyNumberFormat="1" applyFont="1" applyAlignment="1">
      <alignment horizontal="center"/>
    </xf>
    <xf numFmtId="168" fontId="16" fillId="0" borderId="0" xfId="0" applyNumberFormat="1" applyFont="1" applyAlignment="1">
      <alignment horizontal="left" vertical="center"/>
    </xf>
    <xf numFmtId="166" fontId="11" fillId="3" borderId="11" xfId="0" applyNumberFormat="1" applyFont="1" applyFill="1" applyBorder="1" applyAlignment="1">
      <alignment horizontal="center" vertical="center" wrapText="1"/>
    </xf>
    <xf numFmtId="46" fontId="0" fillId="0" borderId="0" xfId="0" applyNumberFormat="1"/>
    <xf numFmtId="0" fontId="0" fillId="0" borderId="15" xfId="0" applyBorder="1" applyAlignment="1">
      <alignment vertical="center"/>
    </xf>
    <xf numFmtId="166" fontId="25" fillId="0" borderId="0" xfId="0" applyNumberFormat="1" applyFont="1" applyAlignment="1">
      <alignment horizontal="center"/>
    </xf>
    <xf numFmtId="167" fontId="24" fillId="0" borderId="0" xfId="0" applyNumberFormat="1" applyFont="1" applyAlignment="1">
      <alignment horizontal="center"/>
    </xf>
    <xf numFmtId="167" fontId="24" fillId="0" borderId="0" xfId="0" applyNumberFormat="1" applyFont="1" applyAlignment="1">
      <alignment horizontal="center" vertical="center"/>
    </xf>
    <xf numFmtId="166" fontId="24" fillId="0" borderId="10" xfId="0" applyNumberFormat="1" applyFont="1" applyBorder="1" applyAlignment="1">
      <alignment horizontal="center"/>
    </xf>
    <xf numFmtId="166" fontId="24" fillId="0" borderId="0" xfId="0" applyNumberFormat="1" applyFont="1" applyAlignment="1">
      <alignment horizontal="center"/>
    </xf>
    <xf numFmtId="166" fontId="19" fillId="0" borderId="0" xfId="0" applyNumberFormat="1" applyFont="1"/>
    <xf numFmtId="167" fontId="15" fillId="0" borderId="0" xfId="0" applyNumberFormat="1" applyFont="1" applyAlignment="1">
      <alignment horizontal="left" vertical="center" wrapText="1"/>
    </xf>
    <xf numFmtId="167" fontId="20" fillId="0" borderId="0" xfId="0" applyNumberFormat="1" applyFont="1" applyAlignment="1">
      <alignment horizontal="left"/>
    </xf>
    <xf numFmtId="167" fontId="24" fillId="0" borderId="0" xfId="0" applyNumberFormat="1" applyFont="1" applyAlignment="1">
      <alignment horizontal="left"/>
    </xf>
    <xf numFmtId="167" fontId="14" fillId="0" borderId="0" xfId="0" applyNumberFormat="1" applyFont="1" applyAlignment="1">
      <alignment horizontal="left"/>
    </xf>
    <xf numFmtId="166" fontId="17" fillId="3" borderId="19" xfId="0" applyNumberFormat="1" applyFont="1" applyFill="1" applyBorder="1" applyAlignment="1">
      <alignment horizontal="center" vertical="center" wrapText="1"/>
    </xf>
    <xf numFmtId="166" fontId="17" fillId="3" borderId="20" xfId="0" applyNumberFormat="1" applyFont="1" applyFill="1" applyBorder="1" applyAlignment="1">
      <alignment horizontal="center" vertical="center" wrapText="1"/>
    </xf>
    <xf numFmtId="44" fontId="26" fillId="2" borderId="13" xfId="0" applyNumberFormat="1" applyFont="1" applyFill="1" applyBorder="1"/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66" fontId="0" fillId="2" borderId="3" xfId="0" applyNumberFormat="1" applyFill="1" applyBorder="1"/>
    <xf numFmtId="166" fontId="0" fillId="0" borderId="3" xfId="0" applyNumberFormat="1" applyBorder="1"/>
    <xf numFmtId="44" fontId="26" fillId="2" borderId="6" xfId="1" applyFont="1" applyFill="1" applyBorder="1"/>
    <xf numFmtId="44" fontId="26" fillId="2" borderId="7" xfId="1" applyFont="1" applyFill="1" applyBorder="1"/>
    <xf numFmtId="166" fontId="15" fillId="0" borderId="23" xfId="0" applyNumberFormat="1" applyFont="1" applyBorder="1" applyAlignment="1">
      <alignment horizontal="center" vertical="center" wrapText="1"/>
    </xf>
    <xf numFmtId="166" fontId="21" fillId="0" borderId="10" xfId="0" applyNumberFormat="1" applyFont="1" applyBorder="1" applyAlignment="1">
      <alignment horizontal="center"/>
    </xf>
    <xf numFmtId="166" fontId="21" fillId="0" borderId="23" xfId="0" applyNumberFormat="1" applyFont="1" applyBorder="1" applyAlignment="1">
      <alignment horizontal="center"/>
    </xf>
    <xf numFmtId="166" fontId="25" fillId="0" borderId="10" xfId="0" applyNumberFormat="1" applyFont="1" applyBorder="1" applyAlignment="1">
      <alignment horizontal="center"/>
    </xf>
    <xf numFmtId="166" fontId="25" fillId="0" borderId="23" xfId="0" applyNumberFormat="1" applyFont="1" applyBorder="1" applyAlignment="1">
      <alignment horizontal="center"/>
    </xf>
    <xf numFmtId="166" fontId="14" fillId="0" borderId="23" xfId="0" applyNumberFormat="1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166" fontId="19" fillId="2" borderId="6" xfId="0" applyNumberFormat="1" applyFont="1" applyFill="1" applyBorder="1" applyAlignment="1">
      <alignment horizontal="left"/>
    </xf>
    <xf numFmtId="166" fontId="19" fillId="2" borderId="7" xfId="0" applyNumberFormat="1" applyFont="1" applyFill="1" applyBorder="1" applyAlignment="1">
      <alignment horizontal="left"/>
    </xf>
    <xf numFmtId="166" fontId="19" fillId="2" borderId="3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166" fontId="19" fillId="2" borderId="1" xfId="0" applyNumberFormat="1" applyFont="1" applyFill="1" applyBorder="1" applyAlignment="1">
      <alignment horizontal="left"/>
    </xf>
    <xf numFmtId="166" fontId="19" fillId="2" borderId="5" xfId="0" applyNumberFormat="1" applyFont="1" applyFill="1" applyBorder="1" applyAlignment="1">
      <alignment horizontal="left"/>
    </xf>
    <xf numFmtId="0" fontId="19" fillId="0" borderId="0" xfId="0" applyFont="1" applyAlignment="1">
      <alignment horizontal="left"/>
    </xf>
    <xf numFmtId="44" fontId="22" fillId="2" borderId="3" xfId="0" applyNumberFormat="1" applyFont="1" applyFill="1" applyBorder="1" applyAlignment="1">
      <alignment horizontal="left"/>
    </xf>
    <xf numFmtId="170" fontId="3" fillId="0" borderId="1" xfId="0" applyNumberFormat="1" applyFont="1" applyBorder="1"/>
    <xf numFmtId="170" fontId="3" fillId="0" borderId="5" xfId="0" applyNumberFormat="1" applyFont="1" applyBorder="1"/>
    <xf numFmtId="171" fontId="3" fillId="0" borderId="3" xfId="0" applyNumberFormat="1" applyFont="1" applyBorder="1" applyAlignment="1">
      <alignment horizontal="center" vertical="center"/>
    </xf>
    <xf numFmtId="166" fontId="0" fillId="0" borderId="1" xfId="0" applyNumberFormat="1" applyBorder="1"/>
    <xf numFmtId="166" fontId="0" fillId="0" borderId="5" xfId="0" applyNumberFormat="1" applyBorder="1"/>
    <xf numFmtId="166" fontId="19" fillId="0" borderId="1" xfId="0" applyNumberFormat="1" applyFont="1" applyBorder="1"/>
    <xf numFmtId="166" fontId="0" fillId="2" borderId="6" xfId="0" applyNumberFormat="1" applyFill="1" applyBorder="1"/>
    <xf numFmtId="171" fontId="1" fillId="0" borderId="8" xfId="1" applyNumberFormat="1" applyBorder="1"/>
    <xf numFmtId="166" fontId="19" fillId="0" borderId="5" xfId="0" applyNumberFormat="1" applyFont="1" applyBorder="1"/>
    <xf numFmtId="166" fontId="0" fillId="2" borderId="7" xfId="0" applyNumberFormat="1" applyFill="1" applyBorder="1"/>
    <xf numFmtId="171" fontId="1" fillId="0" borderId="5" xfId="1" applyNumberFormat="1" applyBorder="1"/>
    <xf numFmtId="171" fontId="1" fillId="0" borderId="9" xfId="1" applyNumberFormat="1" applyBorder="1"/>
    <xf numFmtId="44" fontId="22" fillId="2" borderId="13" xfId="0" applyNumberFormat="1" applyFont="1" applyFill="1" applyBorder="1" applyAlignment="1">
      <alignment horizontal="left"/>
    </xf>
    <xf numFmtId="44" fontId="19" fillId="2" borderId="12" xfId="1" applyFont="1" applyFill="1" applyBorder="1" applyAlignment="1">
      <alignment horizontal="left"/>
    </xf>
    <xf numFmtId="44" fontId="0" fillId="0" borderId="0" xfId="1" applyFont="1"/>
    <xf numFmtId="0" fontId="0" fillId="0" borderId="0" xfId="1" applyNumberFormat="1" applyFont="1"/>
    <xf numFmtId="2" fontId="0" fillId="0" borderId="0" xfId="0" applyNumberFormat="1"/>
    <xf numFmtId="44" fontId="28" fillId="2" borderId="12" xfId="1" applyFont="1" applyFill="1" applyBorder="1" applyAlignment="1">
      <alignment horizontal="left"/>
    </xf>
    <xf numFmtId="44" fontId="28" fillId="2" borderId="7" xfId="1" applyFont="1" applyFill="1" applyBorder="1" applyAlignment="1">
      <alignment horizontal="left"/>
    </xf>
    <xf numFmtId="166" fontId="3" fillId="0" borderId="2" xfId="0" applyNumberFormat="1" applyFon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44" fontId="0" fillId="0" borderId="0" xfId="0" applyNumberFormat="1"/>
    <xf numFmtId="14" fontId="0" fillId="0" borderId="0" xfId="0" applyNumberFormat="1" applyAlignment="1">
      <alignment vertical="center"/>
    </xf>
    <xf numFmtId="166" fontId="0" fillId="0" borderId="0" xfId="0" applyNumberFormat="1"/>
    <xf numFmtId="172" fontId="0" fillId="0" borderId="0" xfId="0" applyNumberFormat="1"/>
    <xf numFmtId="166" fontId="11" fillId="3" borderId="16" xfId="0" applyNumberFormat="1" applyFont="1" applyFill="1" applyBorder="1" applyAlignment="1">
      <alignment horizontal="center" vertical="center" wrapText="1"/>
    </xf>
    <xf numFmtId="166" fontId="11" fillId="3" borderId="17" xfId="0" applyNumberFormat="1" applyFont="1" applyFill="1" applyBorder="1" applyAlignment="1">
      <alignment horizontal="center" vertical="center" wrapText="1"/>
    </xf>
    <xf numFmtId="166" fontId="17" fillId="3" borderId="18" xfId="0" applyNumberFormat="1" applyFont="1" applyFill="1" applyBorder="1" applyAlignment="1">
      <alignment horizontal="center" vertical="center" wrapText="1"/>
    </xf>
    <xf numFmtId="166" fontId="0" fillId="2" borderId="1" xfId="0" applyNumberFormat="1" applyFill="1" applyBorder="1"/>
    <xf numFmtId="166" fontId="0" fillId="2" borderId="5" xfId="0" applyNumberFormat="1" applyFill="1" applyBorder="1"/>
    <xf numFmtId="167" fontId="16" fillId="0" borderId="0" xfId="0" applyNumberFormat="1" applyFont="1" applyAlignment="1">
      <alignment horizontal="left" vertical="center"/>
    </xf>
    <xf numFmtId="167" fontId="24" fillId="0" borderId="24" xfId="0" applyNumberFormat="1" applyFont="1" applyBorder="1" applyAlignment="1">
      <alignment horizontal="left"/>
    </xf>
    <xf numFmtId="167" fontId="16" fillId="0" borderId="24" xfId="0" applyNumberFormat="1" applyFont="1" applyBorder="1" applyAlignment="1">
      <alignment horizontal="left" vertical="center"/>
    </xf>
    <xf numFmtId="166" fontId="25" fillId="0" borderId="25" xfId="0" applyNumberFormat="1" applyFont="1" applyBorder="1" applyAlignment="1">
      <alignment horizontal="center"/>
    </xf>
    <xf numFmtId="166" fontId="25" fillId="0" borderId="24" xfId="0" applyNumberFormat="1" applyFont="1" applyBorder="1" applyAlignment="1">
      <alignment horizontal="center"/>
    </xf>
    <xf numFmtId="166" fontId="21" fillId="0" borderId="24" xfId="0" applyNumberFormat="1" applyFont="1" applyBorder="1" applyAlignment="1">
      <alignment horizontal="center"/>
    </xf>
    <xf numFmtId="166" fontId="25" fillId="0" borderId="26" xfId="0" applyNumberFormat="1" applyFont="1" applyBorder="1" applyAlignment="1">
      <alignment horizontal="center"/>
    </xf>
    <xf numFmtId="167" fontId="24" fillId="0" borderId="24" xfId="0" applyNumberFormat="1" applyFont="1" applyBorder="1" applyAlignment="1">
      <alignment horizontal="center"/>
    </xf>
    <xf numFmtId="167" fontId="24" fillId="0" borderId="24" xfId="0" applyNumberFormat="1" applyFont="1" applyBorder="1" applyAlignment="1">
      <alignment horizontal="center" vertical="center"/>
    </xf>
    <xf numFmtId="166" fontId="24" fillId="0" borderId="25" xfId="0" applyNumberFormat="1" applyFont="1" applyBorder="1" applyAlignment="1">
      <alignment horizontal="center"/>
    </xf>
    <xf numFmtId="166" fontId="24" fillId="0" borderId="24" xfId="0" applyNumberFormat="1" applyFont="1" applyBorder="1" applyAlignment="1">
      <alignment horizontal="center"/>
    </xf>
    <xf numFmtId="169" fontId="18" fillId="0" borderId="24" xfId="0" applyNumberFormat="1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166" fontId="18" fillId="0" borderId="24" xfId="0" applyNumberFormat="1" applyFont="1" applyBorder="1" applyAlignment="1">
      <alignment horizontal="center"/>
    </xf>
    <xf numFmtId="166" fontId="18" fillId="0" borderId="25" xfId="0" applyNumberFormat="1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18" fillId="0" borderId="0" xfId="0" applyNumberFormat="1" applyFont="1" applyAlignment="1">
      <alignment horizontal="center"/>
    </xf>
    <xf numFmtId="0" fontId="18" fillId="0" borderId="24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left"/>
    </xf>
    <xf numFmtId="167" fontId="16" fillId="0" borderId="0" xfId="0" applyNumberFormat="1" applyFont="1" applyBorder="1" applyAlignment="1">
      <alignment horizontal="left" vertical="center"/>
    </xf>
    <xf numFmtId="166" fontId="25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center" vertical="center"/>
    </xf>
    <xf numFmtId="166" fontId="24" fillId="0" borderId="0" xfId="0" applyNumberFormat="1" applyFont="1" applyBorder="1" applyAlignment="1">
      <alignment horizontal="center"/>
    </xf>
    <xf numFmtId="169" fontId="18" fillId="0" borderId="0" xfId="0" applyNumberFormat="1" applyFont="1" applyBorder="1" applyAlignment="1">
      <alignment horizontal="center"/>
    </xf>
    <xf numFmtId="0" fontId="18" fillId="0" borderId="0" xfId="0" applyNumberFormat="1" applyFont="1" applyBorder="1" applyAlignment="1">
      <alignment horizontal="center"/>
    </xf>
    <xf numFmtId="166" fontId="18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6" fontId="0" fillId="0" borderId="1" xfId="0" applyNumberFormat="1" applyFont="1" applyBorder="1"/>
    <xf numFmtId="166" fontId="29" fillId="0" borderId="1" xfId="0" applyNumberFormat="1" applyFont="1" applyBorder="1"/>
    <xf numFmtId="166" fontId="17" fillId="3" borderId="17" xfId="0" applyNumberFormat="1" applyFont="1" applyFill="1" applyBorder="1" applyAlignment="1">
      <alignment horizontal="center" vertical="center" wrapText="1"/>
    </xf>
    <xf numFmtId="166" fontId="17" fillId="3" borderId="18" xfId="0" applyNumberFormat="1" applyFont="1" applyFill="1" applyBorder="1" applyAlignment="1">
      <alignment horizontal="center" vertical="center" wrapText="1"/>
    </xf>
    <xf numFmtId="166" fontId="23" fillId="2" borderId="21" xfId="0" applyNumberFormat="1" applyFont="1" applyFill="1" applyBorder="1" applyAlignment="1">
      <alignment horizontal="center"/>
    </xf>
    <xf numFmtId="166" fontId="23" fillId="2" borderId="22" xfId="0" applyNumberFormat="1" applyFont="1" applyFill="1" applyBorder="1" applyAlignment="1">
      <alignment horizontal="center"/>
    </xf>
    <xf numFmtId="166" fontId="23" fillId="2" borderId="2" xfId="1" applyNumberFormat="1" applyFont="1" applyFill="1" applyBorder="1" applyAlignment="1">
      <alignment horizontal="right" vertical="center"/>
    </xf>
    <xf numFmtId="166" fontId="23" fillId="2" borderId="4" xfId="1" applyNumberFormat="1" applyFont="1" applyFill="1" applyBorder="1" applyAlignment="1">
      <alignment horizontal="right" vertical="center"/>
    </xf>
    <xf numFmtId="166" fontId="23" fillId="2" borderId="3" xfId="1" applyNumberFormat="1" applyFont="1" applyFill="1" applyBorder="1" applyAlignment="1">
      <alignment horizontal="right" vertical="center"/>
    </xf>
    <xf numFmtId="166" fontId="11" fillId="3" borderId="16" xfId="0" applyNumberFormat="1" applyFont="1" applyFill="1" applyBorder="1" applyAlignment="1">
      <alignment horizontal="center" vertical="center" wrapText="1"/>
    </xf>
    <xf numFmtId="166" fontId="11" fillId="3" borderId="17" xfId="0" applyNumberFormat="1" applyFont="1" applyFill="1" applyBorder="1" applyAlignment="1">
      <alignment horizontal="center" vertical="center" wrapText="1"/>
    </xf>
    <xf numFmtId="166" fontId="17" fillId="3" borderId="16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166" fontId="18" fillId="0" borderId="15" xfId="0" applyNumberFormat="1" applyFont="1" applyBorder="1" applyAlignment="1">
      <alignment horizontal="center"/>
    </xf>
    <xf numFmtId="166" fontId="18" fillId="0" borderId="27" xfId="0" applyNumberFormat="1" applyFont="1" applyBorder="1" applyAlignment="1">
      <alignment horizontal="center"/>
    </xf>
    <xf numFmtId="0" fontId="14" fillId="0" borderId="15" xfId="0" applyFont="1" applyBorder="1" applyAlignment="1">
      <alignment horizontal="center"/>
    </xf>
  </cellXfs>
  <cellStyles count="13">
    <cellStyle name="Excel Built-in Normal" xfId="6"/>
    <cellStyle name="Monétaire" xfId="1" builtinId="4"/>
    <cellStyle name="Normal" xfId="0" builtinId="0"/>
    <cellStyle name="Normal 2" xfId="7"/>
    <cellStyle name="Normal 2 2" xfId="8"/>
    <cellStyle name="Normal 2 3" xfId="4"/>
    <cellStyle name="Normal 3" xfId="9"/>
    <cellStyle name="Normal 4" xfId="10"/>
    <cellStyle name="Normal 5" xfId="11"/>
    <cellStyle name="Normal 6" xfId="5"/>
    <cellStyle name="Normal 7" xfId="12"/>
    <cellStyle name="Normal 8" xfId="2"/>
    <cellStyle name="Texte explicatif 2" xfId="3"/>
  </cellStyles>
  <dxfs count="49">
    <dxf>
      <fill>
        <patternFill>
          <bgColor rgb="FFFFC7CE"/>
        </patternFill>
      </fill>
    </dxf>
    <dxf>
      <font>
        <color theme="9" tint="-0.24994659260841701"/>
      </font>
      <fill>
        <patternFill patternType="solid">
          <bgColor theme="8" tint="0.59996337778862885"/>
        </patternFill>
      </fill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 style="slantDashDot">
          <color auto="1"/>
        </left>
        <right/>
        <top/>
        <bottom/>
        <vertical/>
        <horizontal/>
      </border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  <border diagonalUp="0" diagonalDown="0" outline="0">
        <left style="slantDashDot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/>
        <right style="slantDashDot">
          <color auto="1"/>
        </right>
        <top/>
        <bottom/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7" formatCode="ddd\ dd\-mmm\-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RE"/>
              <a:t>Activité</a:t>
            </a:r>
            <a:r>
              <a:rPr lang="fr-RE" baseline="0"/>
              <a:t> en caserne</a:t>
            </a:r>
            <a:endParaRPr lang="fr-R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Indemnités</c:v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700" b="1" i="0" u="none" strike="noStrike" kern="1200" cap="none" spc="0" baseline="0">
                    <a:ln w="0"/>
                    <a:solidFill>
                      <a:schemeClr val="bg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 1,00 € </c:v>
              </c:pt>
              <c:pt idx="1">
                <c:v> 2,00 € </c:v>
              </c:pt>
              <c:pt idx="2">
                <c:v> 3,00 € </c:v>
              </c:pt>
              <c:pt idx="3">
                <c:v> 4,00 € </c:v>
              </c:pt>
              <c:pt idx="4">
                <c:v> 5,00 € 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mensuelles'!$S$2:$S$13</c15:sqref>
                  </c15:fullRef>
                </c:ext>
              </c:extLst>
              <c:f>'Calcul indemnités mensuelles'!$S$2:$S$6</c:f>
              <c:numCache>
                <c:formatCode>_("€"* #,##0.00_);_("€"* \(#,##0.00\);_("€"* "-"??_);_(@_)</c:formatCode>
                <c:ptCount val="5"/>
                <c:pt idx="0">
                  <c:v>810.81999999999994</c:v>
                </c:pt>
                <c:pt idx="1">
                  <c:v>678.24</c:v>
                </c:pt>
                <c:pt idx="2">
                  <c:v>733.33750000000009</c:v>
                </c:pt>
                <c:pt idx="3">
                  <c:v>794.75750000000005</c:v>
                </c:pt>
                <c:pt idx="4">
                  <c:v>601.83249999999987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8E1-432C-95A2-0E7F6A3F7B0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99"/>
        <c:axId val="153261992"/>
        <c:axId val="153256896"/>
      </c:barChart>
      <c:lineChart>
        <c:grouping val="standard"/>
        <c:varyColors val="0"/>
        <c:ser>
          <c:idx val="0"/>
          <c:order val="0"/>
          <c:tx>
            <c:v>Durée sans inter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0D5-42D7-A794-AD1E80FDDBA8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DF8-4CE4-8D89-503B9919E1A3}"/>
              </c:ext>
            </c:extLst>
          </c:dPt>
          <c:dPt>
            <c:idx val="4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DF8-4CE4-8D89-503B9919E1A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1800000" spcFirstLastPara="1" vertOverflow="ellipsis" wrap="square" anchor="ctr" anchorCtr="1"/>
              <a:lstStyle/>
              <a:p>
                <a:pPr>
                  <a:defRPr sz="900" b="1" i="0" u="none" strike="noStrike" kern="1200" cap="none" spc="0" baseline="0">
                    <a:ln w="0"/>
                    <a:solidFill>
                      <a:schemeClr val="accent5">
                        <a:lumMod val="40000"/>
                        <a:lumOff val="60000"/>
                      </a:schemeClr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mensuelles'!$B$2:$B$13</c15:sqref>
                  </c15:fullRef>
                </c:ext>
              </c:extLst>
              <c:f>'Calcul indemnités mensuelles'!$B$2:$B$6</c:f>
              <c:numCache>
                <c:formatCode>mmm</c:formatCode>
                <c:ptCount val="5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mensuelles'!$M$2:$M$13</c15:sqref>
                  </c15:fullRef>
                </c:ext>
              </c:extLst>
              <c:f>'Calcul indemnités mensuelles'!$M$2:$M$6</c:f>
              <c:numCache>
                <c:formatCode>[hh]:mm</c:formatCode>
                <c:ptCount val="5"/>
                <c:pt idx="0">
                  <c:v>3.5694444444444438</c:v>
                </c:pt>
                <c:pt idx="1">
                  <c:v>3.8368055555555549</c:v>
                </c:pt>
                <c:pt idx="2">
                  <c:v>4.2576388888888896</c:v>
                </c:pt>
                <c:pt idx="3">
                  <c:v>4.3902777777777775</c:v>
                </c:pt>
                <c:pt idx="4">
                  <c:v>3.6312499999999996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8E1-432C-95A2-0E7F6A3F7B02}"/>
            </c:ext>
            <c:ext xmlns:c15="http://schemas.microsoft.com/office/drawing/2012/chart" uri="{02D57815-91ED-43cb-92C2-25804820EDAC}">
              <c15:categoryFilterExceptions>
                <c15:categoryFilterException>
                  <c15:sqref>'Calcul indemnités mensuelles'!$M$7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mensuelles'!$M$8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mensuelles'!$M$9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mensuelles'!$M$10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mensuelles'!$M$11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mensuelles'!$M$12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</c15:categoryFilterExceptions>
            </c:ext>
          </c:extLst>
        </c:ser>
        <c:ser>
          <c:idx val="1"/>
          <c:order val="1"/>
          <c:tx>
            <c:v>Durée inter</c:v>
          </c:tx>
          <c:spPr>
            <a:ln w="34925" cap="rnd">
              <a:solidFill>
                <a:srgbClr val="C0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1"/>
              <c:layout>
                <c:manualLayout>
                  <c:x val="-2.9409641551815396E-2"/>
                  <c:y val="-8.7723924373350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 xmlns:c15="http://schemas.microsoft.com/office/drawing/2012/chart">
                <c:ext xmlns:c16="http://schemas.microsoft.com/office/drawing/2014/chart" uri="{C3380CC4-5D6E-409C-BE32-E72D297353CC}">
                  <c16:uniqueId val="{00000012-ADB1-4C27-BBFD-EB4B049C431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none" spc="0" baseline="0">
                    <a:ln w="0"/>
                    <a:solidFill>
                      <a:schemeClr val="accent6">
                        <a:lumMod val="50000"/>
                      </a:schemeClr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janv.</c:v>
              </c:pt>
              <c:pt idx="1">
                <c:v>févr.</c:v>
              </c:pt>
              <c:pt idx="2">
                <c:v>mars</c:v>
              </c:pt>
              <c:pt idx="3">
                <c:v>avr.</c:v>
              </c:pt>
              <c:pt idx="4">
                <c:v>mai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mensuelles'!$K$2:$K$13</c15:sqref>
                  </c15:fullRef>
                </c:ext>
              </c:extLst>
              <c:f>'Calcul indemnités mensuelles'!$K$2:$K$6</c:f>
              <c:numCache>
                <c:formatCode>[hh]:mm</c:formatCode>
                <c:ptCount val="5"/>
                <c:pt idx="0">
                  <c:v>1.4562499999999998</c:v>
                </c:pt>
                <c:pt idx="1">
                  <c:v>0.57986111111111094</c:v>
                </c:pt>
                <c:pt idx="2">
                  <c:v>0.63819444444444451</c:v>
                </c:pt>
                <c:pt idx="3">
                  <c:v>0.73958333333333326</c:v>
                </c:pt>
                <c:pt idx="4">
                  <c:v>0.36875000000000008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8E1-432C-95A2-0E7F6A3F7B02}"/>
            </c:ext>
          </c:extLst>
        </c:ser>
        <c:ser>
          <c:idx val="3"/>
          <c:order val="3"/>
          <c:tx>
            <c:v>H effectuées / mois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1800000" spcFirstLastPara="1" vertOverflow="ellipsis" wrap="square" lIns="38100" tIns="19050" rIns="38100" bIns="19050" anchor="t" anchorCtr="0">
                <a:spAutoFit/>
              </a:bodyPr>
              <a:lstStyle/>
              <a:p>
                <a:pPr>
                  <a:defRPr sz="900" b="1" i="0" u="none" strike="noStrike" kern="1200" cap="none" spc="0" baseline="0">
                    <a:ln w="0"/>
                    <a:solidFill>
                      <a:srgbClr val="FFCC66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janv.</c:v>
              </c:pt>
              <c:pt idx="1">
                <c:v>févr.</c:v>
              </c:pt>
              <c:pt idx="2">
                <c:v>mars</c:v>
              </c:pt>
              <c:pt idx="3">
                <c:v>avr.</c:v>
              </c:pt>
              <c:pt idx="4">
                <c:v>mai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mensuelles'!$I$2:$I$13</c15:sqref>
                  </c15:fullRef>
                </c:ext>
              </c:extLst>
              <c:f>'Calcul indemnités mensuelles'!$I$2:$I$6</c:f>
              <c:numCache>
                <c:formatCode>[hh]:mm</c:formatCode>
                <c:ptCount val="5"/>
                <c:pt idx="0">
                  <c:v>5.0256944444444445</c:v>
                </c:pt>
                <c:pt idx="1">
                  <c:v>4.4166666666666661</c:v>
                </c:pt>
                <c:pt idx="2">
                  <c:v>4.8958333333333339</c:v>
                </c:pt>
                <c:pt idx="3">
                  <c:v>5.1298611111111114</c:v>
                </c:pt>
                <c:pt idx="4">
                  <c:v>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0DF-453B-A2C3-4A1160DDA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263560"/>
        <c:axId val="153262384"/>
      </c:lineChart>
      <c:dateAx>
        <c:axId val="153263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mmm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2384"/>
        <c:crosses val="autoZero"/>
        <c:auto val="1"/>
        <c:lblOffset val="100"/>
        <c:baseTimeUnit val="months"/>
      </c:dateAx>
      <c:valAx>
        <c:axId val="153262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[h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3560"/>
        <c:crosses val="autoZero"/>
        <c:crossBetween val="between"/>
      </c:valAx>
      <c:valAx>
        <c:axId val="153256896"/>
        <c:scaling>
          <c:orientation val="minMax"/>
        </c:scaling>
        <c:delete val="0"/>
        <c:axPos val="r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1992"/>
        <c:crosses val="max"/>
        <c:crossBetween val="between"/>
      </c:valAx>
      <c:catAx>
        <c:axId val="153261992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majorTickMark val="none"/>
        <c:minorTickMark val="none"/>
        <c:tickLblPos val="nextTo"/>
        <c:crossAx val="153256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18900000" algn="bl" rotWithShape="0">
        <a:prstClr val="black">
          <a:alpha val="40000"/>
        </a:prstClr>
      </a:outerShdw>
    </a:effectLst>
  </c:spPr>
  <c:txPr>
    <a:bodyPr/>
    <a:lstStyle/>
    <a:p>
      <a:pPr>
        <a:defRPr b="0" cap="none" spc="0">
          <a:ln w="0"/>
          <a:solidFill>
            <a:schemeClr val="tx1"/>
          </a:solidFill>
          <a:effectLst>
            <a:outerShdw blurRad="38100" dist="19050" dir="2700000" algn="tl" rotWithShape="0">
              <a:schemeClr val="dk1">
                <a:alpha val="40000"/>
              </a:schemeClr>
            </a:outerShdw>
          </a:effectLst>
        </a:defRPr>
      </a:pPr>
      <a:endParaRPr lang="fr-FR"/>
    </a:p>
  </c:txPr>
  <c:printSettings>
    <c:headerFooter/>
    <c:pageMargins b="0" l="0" r="0" t="0" header="0.31496062992125984" footer="0.31496062992125984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64851</xdr:colOff>
      <xdr:row>14</xdr:row>
      <xdr:rowOff>71336</xdr:rowOff>
    </xdr:from>
    <xdr:to>
      <xdr:col>20</xdr:col>
      <xdr:colOff>795494</xdr:colOff>
      <xdr:row>16</xdr:row>
      <xdr:rowOff>32425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E3AA115C-C631-475D-87B2-0639F8054A21}"/>
            </a:ext>
          </a:extLst>
        </xdr:cNvPr>
        <xdr:cNvSpPr/>
      </xdr:nvSpPr>
      <xdr:spPr>
        <a:xfrm>
          <a:off x="64851" y="3412413"/>
          <a:ext cx="8777698" cy="329528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CALCUL</a:t>
          </a:r>
          <a:r>
            <a:rPr lang="fr-RE" sz="20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AUTOMATIQUE - </a:t>
          </a:r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NE PAS MODIFIER LES</a:t>
          </a:r>
          <a:r>
            <a:rPr lang="fr-RE" sz="20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CELLULES</a:t>
          </a:r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</a:t>
          </a:r>
        </a:p>
      </xdr:txBody>
    </xdr:sp>
    <xdr:clientData/>
  </xdr:twoCellAnchor>
  <xdr:twoCellAnchor>
    <xdr:from>
      <xdr:col>0</xdr:col>
      <xdr:colOff>45228</xdr:colOff>
      <xdr:row>18</xdr:row>
      <xdr:rowOff>23566</xdr:rowOff>
    </xdr:from>
    <xdr:to>
      <xdr:col>20</xdr:col>
      <xdr:colOff>801278</xdr:colOff>
      <xdr:row>47</xdr:row>
      <xdr:rowOff>47134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D97E5139-C0BF-4B22-A774-D67C4B9A38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data" displayName="data" ref="A1:AI101" totalsRowShown="0" headerRowDxfId="38" dataDxfId="37">
  <autoFilter ref="A1:AI101"/>
  <tableColumns count="35">
    <tableColumn id="1" name="Date" dataDxfId="36"/>
    <tableColumn id="7" name="Garde / Interv." dataDxfId="35">
      <calculatedColumnFormula>IF(data[[#This Row],[Hdébut garde]]&lt;&gt;"","Garde",IF(data[[#This Row],[Hdébut corrigé]]&lt;&gt;"","Intervention",""))</calculatedColumnFormula>
    </tableColumn>
    <tableColumn id="25" name="Hdébut garde" dataDxfId="34"/>
    <tableColumn id="26" name="Hfin garde" dataDxfId="33"/>
    <tableColumn id="17" name="Garde de :" dataDxfId="32">
      <calculatedColumnFormula>MAX(0,IF(data[[#This Row],[Garde / Interv.]]="Garde",data[[#This Row],[Hfin corrigée]]-data[[#This Row],[Hdébut corrigé]],0))</calculatedColumnFormula>
    </tableColumn>
    <tableColumn id="2" name="&gt;24h" dataDxfId="31"/>
    <tableColumn id="6" name="Motif Départ" dataDxfId="30"/>
    <tableColumn id="5" name="Véhicule" dataDxfId="29"/>
    <tableColumn id="3" name="Hdébut interv." dataDxfId="28"/>
    <tableColumn id="4" name="Hfin Interv." dataDxfId="27"/>
    <tableColumn id="23" name="Hdébut corrigé" dataDxfId="26">
      <calculatedColumnFormula>IF(data[[#This Row],[Hdébut garde]]&lt;&gt;"",
data[[#This Row],[Hdébut garde]],
data[[#This Row],[Hdébut interv.]]+IF(data[[#This Row],[Hdébut interv.]]&lt;SUMPRODUCT((data[Date]=data[[#This Row],[Date]])*data[Hdébut garde]),1,0)
)</calculatedColumnFormula>
    </tableColumn>
    <tableColumn id="12" name="Hfin corrigée" dataDxfId="25">
      <calculatedColumnFormula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calculatedColumnFormula>
    </tableColumn>
    <tableColumn id="8" name="Début Dim ou Férié" dataDxfId="24">
      <calculatedColumnFormula>IF(OR(WEEKDAY(data[[#This Row],[Date]],2)=7,COUNTIF(JF,data[[#This Row],[Date]])=1),"oui","non")</calculatedColumnFormula>
    </tableColumn>
    <tableColumn id="10" name="JOUR1" dataDxfId="23">
      <calculatedColumnFormula>MAX(0,(MIN(1,data[[#This Row],[Hfin corrigée]])-data[[#This Row],[Hdébut corrigé]])-data[[#This Row],[NUIT1.1]]-data[[#This Row],[NUIT1.2]])</calculatedColumnFormula>
    </tableColumn>
    <tableColumn id="11" name="NUIT1.1" dataDxfId="22">
      <calculatedColumnFormula>IF(data[[#This Row],[Hfin Interv.]]="",0,(
MIN(FinNuit,MIN(1,data[[#This Row],[Hfin corrigée]]))-MIN(FinNuit,data[[#This Row],[Hdébut corrigé]])
))</calculatedColumnFormula>
    </tableColumn>
    <tableColumn id="18" name="NUIT1.2" dataDxfId="21">
      <calculatedColumnFormula>MAX(0,(MAX(0,(MIN(1,data[[#This Row],[Hfin corrigée]])-DebNuit))-MAX(0,(data[[#This Row],[Hdébut corrigé]]-DebNuit))))</calculatedColumnFormula>
    </tableColumn>
    <tableColumn id="9" name="Fin Dim ou Férié" dataDxfId="20">
      <calculatedColumnFormula>IF(OR(WEEKDAY(data[[#This Row],[Date]]+data[[#This Row],[Hfin corrigée]],2)=7,COUNTIF(JF,INT(data[[#This Row],[Date]]+data[[#This Row],[Hfin corrigée]]))=1),"oui","non")</calculatedColumnFormula>
    </tableColumn>
    <tableColumn id="19" name="JOUR2" dataDxfId="19">
      <calculatedColumnFormula>MAX(0,data[[#This Row],[Hfin corrigée]]-MAX(1,data[[#This Row],[Hdébut corrigé]]))-data[[#This Row],[NUIT2.1]]-data[[#This Row],[NUIT2.2]]</calculatedColumnFormula>
    </tableColumn>
    <tableColumn id="20" name="NUIT2.1" dataDxfId="18">
      <calculatedColumnFormula>MAX(0,MIN(1+FinNuit,data[[#This Row],[Hfin corrigée]])-MAX(1,data[[#This Row],[Hdébut corrigé]]))</calculatedColumnFormula>
    </tableColumn>
    <tableColumn id="21" name="NUIT2.2" dataDxfId="17">
      <calculatedColumnFormula>MAX(0,(data[[#This Row],[Hfin corrigée]]-DebNuit-1))</calculatedColumnFormula>
    </tableColumn>
    <tableColumn id="22" name="Interv. hors poste" dataDxfId="16">
      <calculatedColumnFormula>IF(data[[#This Row],[Garde / Interv.]]="Intervention",MAX(0,data[[#This Row],[Hfin corrigée]]-SUMPRODUCT((data[Date]=data[[#This Row],[Date]])*(data[Garde / Interv.]="Garde")*data[Hfin corrigée])),0)</calculatedColumnFormula>
    </tableColumn>
    <tableColumn id="16" name="Garde postée au CIS" dataDxfId="15">
      <calculatedColumnFormula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calculatedColumnFormula>
    </tableColumn>
    <tableColumn id="13" name="Durée interv. jour" dataDxfId="14">
      <calculatedColumnFormula>MAX(0,IF(data[[#This Row],[Garde / Interv.]]="Intervention",(data[[#This Row],[Fin Dim ou Férié]]="non")*data[[#This Row],[JOUR2]]+(data[[#This Row],[Début Dim ou Férié]]="non")*data[[#This Row],[JOUR1]],0))</calculatedColumnFormula>
    </tableColumn>
    <tableColumn id="14" name="Durée interv. dim ou férié" dataDxfId="13">
      <calculatedColumnFormula>IF(data[[#This Row],[Garde / Interv.]]="Intervention",(data[[#This Row],[Fin Dim ou Férié]]="oui")*data[[#This Row],[JOUR2]]+(data[[#This Row],[Début Dim ou Férié]]="oui")*data[[#This Row],[JOUR1]],0)</calculatedColumnFormula>
    </tableColumn>
    <tableColumn id="15" name="Durée interv. nuit" dataDxfId="12">
      <calculatedColumnFormula>MAX(0,IF(data[[#This Row],[Garde / Interv.]]="Intervention",data[[#This Row],[NUIT1.1]]+data[[#This Row],[NUIT1.2]]+data[[#This Row],[NUIT2.1]]+data[[#This Row],[NUIT2.2]],0))</calculatedColumnFormula>
    </tableColumn>
    <tableColumn id="24" name="Formation (h)" dataDxfId="2"/>
    <tableColumn id="27" name="Formateur (h)" dataDxfId="11"/>
    <tableColumn id="28" name="Jury (h)" dataDxfId="10"/>
    <tableColumn id="29" name="Manoeuvrant (h)" dataDxfId="9"/>
    <tableColumn id="30" name="Sécurité (début)" dataDxfId="8"/>
    <tableColumn id="31" name="Sécurité (fin)" dataDxfId="7"/>
    <tableColumn id="32" name="Réunion_x000a_Tâches Technico-administratives (début)" dataDxfId="6"/>
    <tableColumn id="33" name="Réunion_x000a_Tâches Technico-administratives (fin)" dataDxfId="5"/>
    <tableColumn id="34" name="Astreinte domicile (début)" dataDxfId="4"/>
    <tableColumn id="35" name="Astreinte domicile (fin)" dataDxfId="3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est" displayName="test" ref="A1:H9" totalsRowShown="0" headerRowDxfId="48" dataDxfId="47">
  <autoFilter ref="A1:H9"/>
  <tableColumns count="8">
    <tableColumn id="23" name="Hdébut corrigé" dataDxfId="46"/>
    <tableColumn id="12" name="Hfin corrigée" dataDxfId="45"/>
    <tableColumn id="10" name="JOUR1" dataDxfId="44">
      <calculatedColumnFormula>MAX(0,(MIN(1,test[[#This Row],[Hfin corrigée]])-test[[#This Row],[Hdébut corrigé]])-test[[#This Row],[NUIT1.1]]-test[[#This Row],[NUIT1.2]])</calculatedColumnFormula>
    </tableColumn>
    <tableColumn id="11" name="NUIT1.1" dataDxfId="43">
      <calculatedColumnFormula>MIN(FinNuit,MIN(1,test[[#This Row],[Hfin corrigée]]))-MIN(FinNuit,test[[#This Row],[Hdébut corrigé]])</calculatedColumnFormula>
    </tableColumn>
    <tableColumn id="18" name="NUIT1.2" dataDxfId="42">
      <calculatedColumnFormula>MAX(0,(MAX(0,(MIN(1,test[[#This Row],[Hfin corrigée]])-DebNuit))-MAX(0,(test[[#This Row],[Hdébut corrigé]]-DebNuit))))</calculatedColumnFormula>
    </tableColumn>
    <tableColumn id="19" name="JOUR2" dataDxfId="41">
      <calculatedColumnFormula>MAX(0,test[[#This Row],[Hfin corrigée]]-MAX(1,test[[#This Row],[Hdébut corrigé]]))-test[[#This Row],[NUIT2.1]]-test[[#This Row],[NUIT2.2]]</calculatedColumnFormula>
    </tableColumn>
    <tableColumn id="20" name="NUIT2.1" dataDxfId="40">
      <calculatedColumnFormula>MAX(0,MIN(1+FinNuit,test[[#This Row],[Hfin corrigée]])-MAX(1,test[[#This Row],[Hdébut corrigé]]))</calculatedColumnFormula>
    </tableColumn>
    <tableColumn id="21" name="NUIT2.2" dataDxfId="39">
      <calculatedColumnFormula>MAX(0,(test[[#This Row],[Hfin corrigée]]-DebNuit-1))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101"/>
  <sheetViews>
    <sheetView showZeros="0" tabSelected="1" zoomScale="90" zoomScaleNormal="90" workbookViewId="0">
      <pane xSplit="2" ySplit="1" topLeftCell="J2" activePane="bottomRight" state="frozen"/>
      <selection pane="topRight" activeCell="C1" sqref="C1"/>
      <selection pane="bottomLeft" activeCell="A2" sqref="A2"/>
      <selection pane="bottomRight" activeCell="AD11" sqref="AD11"/>
    </sheetView>
  </sheetViews>
  <sheetFormatPr baseColWidth="10" defaultColWidth="11.54296875" defaultRowHeight="14.5" x14ac:dyDescent="0.35"/>
  <cols>
    <col min="1" max="1" width="17.1796875" style="65" bestFit="1" customWidth="1"/>
    <col min="2" max="2" width="11.6328125" style="52" customWidth="1"/>
    <col min="3" max="3" width="8.36328125" style="50" customWidth="1"/>
    <col min="4" max="5" width="8.36328125" style="49" customWidth="1"/>
    <col min="6" max="6" width="7.453125" style="81" customWidth="1"/>
    <col min="7" max="7" width="19.453125" style="46" bestFit="1" customWidth="1"/>
    <col min="8" max="8" width="9.90625" style="46" customWidth="1"/>
    <col min="9" max="9" width="11.54296875" style="50"/>
    <col min="10" max="10" width="11.54296875" style="41"/>
    <col min="11" max="11" width="11.54296875" style="41" hidden="1" customWidth="1"/>
    <col min="12" max="14" width="8.36328125" style="49" hidden="1" customWidth="1"/>
    <col min="15" max="16" width="8.36328125" style="51" hidden="1" customWidth="1"/>
    <col min="17" max="17" width="8.36328125" style="41" hidden="1" customWidth="1"/>
    <col min="18" max="18" width="8.36328125" style="48" hidden="1" customWidth="1"/>
    <col min="19" max="20" width="8.36328125" style="46" hidden="1" customWidth="1"/>
    <col min="21" max="21" width="8.36328125" style="82" customWidth="1"/>
    <col min="22" max="23" width="8.36328125" style="38" customWidth="1"/>
    <col min="24" max="25" width="8.36328125" style="46" customWidth="1"/>
    <col min="26" max="26" width="11.26953125" style="167" customWidth="1"/>
    <col min="27" max="28" width="11.26953125" style="41" customWidth="1"/>
    <col min="29" max="29" width="15" style="41" customWidth="1"/>
    <col min="30" max="31" width="11.26953125" style="41" customWidth="1"/>
    <col min="32" max="33" width="19.1796875" style="41" customWidth="1"/>
    <col min="34" max="35" width="9.453125" style="41" customWidth="1"/>
    <col min="36" max="16384" width="11.54296875" style="41"/>
  </cols>
  <sheetData>
    <row r="1" spans="1:35" s="29" customFormat="1" ht="66" customHeight="1" x14ac:dyDescent="0.35">
      <c r="A1" s="62" t="s">
        <v>0</v>
      </c>
      <c r="B1" s="27" t="s">
        <v>44</v>
      </c>
      <c r="C1" s="30" t="s">
        <v>42</v>
      </c>
      <c r="D1" s="28" t="s">
        <v>43</v>
      </c>
      <c r="E1" s="28" t="s">
        <v>96</v>
      </c>
      <c r="F1" s="76" t="s">
        <v>78</v>
      </c>
      <c r="G1" s="29" t="s">
        <v>62</v>
      </c>
      <c r="H1" s="29" t="s">
        <v>1</v>
      </c>
      <c r="I1" s="30" t="s">
        <v>17</v>
      </c>
      <c r="J1" s="28" t="s">
        <v>18</v>
      </c>
      <c r="K1" s="31" t="s">
        <v>25</v>
      </c>
      <c r="L1" s="31" t="s">
        <v>13</v>
      </c>
      <c r="M1" s="27" t="s">
        <v>11</v>
      </c>
      <c r="N1" s="32" t="s">
        <v>19</v>
      </c>
      <c r="O1" s="32" t="s">
        <v>20</v>
      </c>
      <c r="P1" s="32" t="s">
        <v>21</v>
      </c>
      <c r="Q1" s="27" t="s">
        <v>12</v>
      </c>
      <c r="R1" s="32" t="s">
        <v>22</v>
      </c>
      <c r="S1" s="32" t="s">
        <v>23</v>
      </c>
      <c r="T1" s="32" t="s">
        <v>24</v>
      </c>
      <c r="U1" s="33" t="s">
        <v>33</v>
      </c>
      <c r="V1" s="32" t="s">
        <v>98</v>
      </c>
      <c r="W1" s="32" t="s">
        <v>16</v>
      </c>
      <c r="X1" s="32" t="s">
        <v>14</v>
      </c>
      <c r="Y1" s="32" t="s">
        <v>15</v>
      </c>
      <c r="Z1" s="164" t="s">
        <v>103</v>
      </c>
      <c r="AA1" s="163" t="s">
        <v>104</v>
      </c>
      <c r="AB1" s="163" t="s">
        <v>105</v>
      </c>
      <c r="AC1" s="163" t="s">
        <v>106</v>
      </c>
      <c r="AD1" s="163" t="s">
        <v>107</v>
      </c>
      <c r="AE1" s="163" t="s">
        <v>108</v>
      </c>
      <c r="AF1" s="163" t="s">
        <v>109</v>
      </c>
      <c r="AG1" s="163" t="s">
        <v>110</v>
      </c>
      <c r="AH1" s="163" t="s">
        <v>111</v>
      </c>
      <c r="AI1" s="163" t="s">
        <v>112</v>
      </c>
    </row>
    <row r="2" spans="1:35" x14ac:dyDescent="0.35">
      <c r="A2" s="63">
        <v>43467</v>
      </c>
      <c r="B2" s="122" t="str">
        <f>IF(data[[#This Row],[Hdébut garde]]&lt;&gt;"","Garde",IF(data[[#This Row],[Hdébut corrigé]]&lt;&gt;"","Intervention",""))</f>
        <v>Garde</v>
      </c>
      <c r="C2" s="77">
        <v>0.29166666666666669</v>
      </c>
      <c r="D2" s="47">
        <v>0.29166666666666669</v>
      </c>
      <c r="E2" s="39">
        <f>MAX(0,IF(data[[#This Row],[Garde / Interv.]]="Garde",data[[#This Row],[Hfin corrigée]]-data[[#This Row],[Hdébut corrigé]],0))</f>
        <v>1</v>
      </c>
      <c r="F2" s="78"/>
      <c r="G2" s="34"/>
      <c r="H2" s="21"/>
      <c r="I2" s="36"/>
      <c r="J2" s="35"/>
      <c r="K2" s="37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2" s="3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2" s="38" t="str">
        <f>IF(OR(WEEKDAY(data[[#This Row],[Date]],2)=7,COUNTIF(JF,data[[#This Row],[Date]])=1),"oui","non")</f>
        <v>non</v>
      </c>
      <c r="N2" s="39">
        <f>MAX(0,(MIN(1,data[[#This Row],[Hfin corrigée]])-data[[#This Row],[Hdébut corrigé]])-data[[#This Row],[NUIT1.1]]-data[[#This Row],[NUIT1.2]])</f>
        <v>0.62499999999999989</v>
      </c>
      <c r="O2" s="39">
        <f>IF(data[[#This Row],[Hfin Interv.]]="",0,(
MIN(FinNuit,MIN(1,data[[#This Row],[Hfin corrigée]]))-MIN(FinNuit,data[[#This Row],[Hdébut corrigé]])
))</f>
        <v>0</v>
      </c>
      <c r="P2" s="39">
        <f>MAX(0,(MAX(0,(MIN(1,data[[#This Row],[Hfin corrigée]])-DebNuit))-MAX(0,(data[[#This Row],[Hdébut corrigé]]-DebNuit))))</f>
        <v>8.333333333333337E-2</v>
      </c>
      <c r="Q2" s="38" t="str">
        <f>IF(OR(WEEKDAY(data[[#This Row],[Date]]+data[[#This Row],[Hfin corrigée]],2)=7,COUNTIF(JF,INT(data[[#This Row],[Date]]+data[[#This Row],[Hfin corrigée]]))=1),"oui","non")</f>
        <v>non</v>
      </c>
      <c r="R2" s="39">
        <f>MAX(0,data[[#This Row],[Hfin corrigée]]-MAX(1,data[[#This Row],[Hdébut corrigé]]))-data[[#This Row],[NUIT2.1]]-data[[#This Row],[NUIT2.2]]</f>
        <v>0</v>
      </c>
      <c r="S2" s="39">
        <f>MAX(0,MIN(1+FinNuit,data[[#This Row],[Hfin corrigée]])-MAX(1,data[[#This Row],[Hdébut corrigé]]))</f>
        <v>0.29166666666666674</v>
      </c>
      <c r="T2" s="39">
        <f>MAX(0,(data[[#This Row],[Hfin corrigée]]-DebNuit-1))</f>
        <v>0</v>
      </c>
      <c r="U2" s="40">
        <f>IF(data[[#This Row],[Garde / Interv.]]="Intervention",MAX(0,data[[#This Row],[Hfin corrigée]]-SUMPRODUCT((data[Date]=data[[#This Row],[Date]])*(data[Garde / Interv.]="Garde")*data[Hfin corrigée])),0)</f>
        <v>0</v>
      </c>
      <c r="V2" s="3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0.57777777777777783</v>
      </c>
      <c r="W2" s="39">
        <f>MAX(0,IF(data[[#This Row],[Garde / Interv.]]="Intervention",(data[[#This Row],[Fin Dim ou Férié]]="non")*data[[#This Row],[JOUR2]]+(data[[#This Row],[Début Dim ou Férié]]="non")*data[[#This Row],[JOUR1]],0))</f>
        <v>0</v>
      </c>
      <c r="X2" s="39">
        <f>IF(data[[#This Row],[Garde / Interv.]]="Intervention",(data[[#This Row],[Fin Dim ou Férié]]="oui")*data[[#This Row],[JOUR2]]+(data[[#This Row],[Début Dim ou Férié]]="oui")*data[[#This Row],[JOUR1]],0)</f>
        <v>0</v>
      </c>
      <c r="Y2" s="39">
        <f>MAX(0,IF(data[[#This Row],[Garde / Interv.]]="Intervention",data[[#This Row],[NUIT1.1]]+data[[#This Row],[NUIT1.2]]+data[[#This Row],[NUIT2.1]]+data[[#This Row],[NUIT2.2]],0))</f>
        <v>0</v>
      </c>
      <c r="Z2" s="165"/>
      <c r="AA2" s="44"/>
      <c r="AB2" s="44"/>
      <c r="AC2" s="44"/>
      <c r="AD2" s="44"/>
      <c r="AE2" s="44"/>
      <c r="AF2" s="44"/>
      <c r="AG2" s="44"/>
      <c r="AH2" s="44"/>
      <c r="AI2" s="44"/>
    </row>
    <row r="3" spans="1:35" x14ac:dyDescent="0.35">
      <c r="A3" s="63">
        <v>43467</v>
      </c>
      <c r="B3" s="122" t="str">
        <f>IF(data[[#This Row],[Hdébut garde]]&lt;&gt;"","Garde",IF(data[[#This Row],[Hdébut corrigé]]&lt;&gt;"","Intervention",""))</f>
        <v>Intervention</v>
      </c>
      <c r="C3" s="77"/>
      <c r="D3" s="47"/>
      <c r="E3" s="39">
        <f>MAX(0,IF(data[[#This Row],[Garde / Interv.]]="Garde",data[[#This Row],[Hfin corrigée]]-data[[#This Row],[Hdébut corrigé]],0))</f>
        <v>0</v>
      </c>
      <c r="F3" s="78"/>
      <c r="G3" s="34"/>
      <c r="H3" s="21" t="s">
        <v>4</v>
      </c>
      <c r="I3" s="36">
        <v>0.30277777777777776</v>
      </c>
      <c r="J3" s="35">
        <v>0.49791666666666662</v>
      </c>
      <c r="K3" s="37">
        <f>IF(data[[#This Row],[Hdébut garde]]&lt;&gt;"",
data[[#This Row],[Hdébut garde]],
data[[#This Row],[Hdébut interv.]]+IF(data[[#This Row],[Hdébut interv.]]&lt;SUMPRODUCT((data[Date]=data[[#This Row],[Date]])*data[Hdébut garde]),1,0)
)</f>
        <v>0.30277777777777776</v>
      </c>
      <c r="L3" s="3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0.49791666666666662</v>
      </c>
      <c r="M3" s="38" t="str">
        <f>IF(OR(WEEKDAY(data[[#This Row],[Date]],2)=7,COUNTIF(JF,data[[#This Row],[Date]])=1),"oui","non")</f>
        <v>non</v>
      </c>
      <c r="N3" s="39">
        <f>MAX(0,(MIN(1,data[[#This Row],[Hfin corrigée]])-data[[#This Row],[Hdébut corrigé]])-data[[#This Row],[NUIT1.1]]-data[[#This Row],[NUIT1.2]])</f>
        <v>0.19513888888888886</v>
      </c>
      <c r="O3" s="39">
        <f>IF(data[[#This Row],[Hfin Interv.]]="",0,(
MIN(FinNuit,MIN(1,data[[#This Row],[Hfin corrigée]]))-MIN(FinNuit,data[[#This Row],[Hdébut corrigé]])
))</f>
        <v>0</v>
      </c>
      <c r="P3" s="39">
        <f>MAX(0,(MAX(0,(MIN(1,data[[#This Row],[Hfin corrigée]])-DebNuit))-MAX(0,(data[[#This Row],[Hdébut corrigé]]-DebNuit))))</f>
        <v>0</v>
      </c>
      <c r="Q3" s="38" t="str">
        <f>IF(OR(WEEKDAY(data[[#This Row],[Date]]+data[[#This Row],[Hfin corrigée]],2)=7,COUNTIF(JF,INT(data[[#This Row],[Date]]+data[[#This Row],[Hfin corrigée]]))=1),"oui","non")</f>
        <v>non</v>
      </c>
      <c r="R3" s="39">
        <f>MAX(0,data[[#This Row],[Hfin corrigée]]-MAX(1,data[[#This Row],[Hdébut corrigé]]))-data[[#This Row],[NUIT2.1]]-data[[#This Row],[NUIT2.2]]</f>
        <v>0</v>
      </c>
      <c r="S3" s="39">
        <f>MAX(0,MIN(1+FinNuit,data[[#This Row],[Hfin corrigée]])-MAX(1,data[[#This Row],[Hdébut corrigé]]))</f>
        <v>0</v>
      </c>
      <c r="T3" s="39">
        <f>MAX(0,(data[[#This Row],[Hfin corrigée]]-DebNuit-1))</f>
        <v>0</v>
      </c>
      <c r="U3" s="40">
        <f>IF(data[[#This Row],[Garde / Interv.]]="Intervention",MAX(0,data[[#This Row],[Hfin corrigée]]-SUMPRODUCT((data[Date]=data[[#This Row],[Date]])*(data[Garde / Interv.]="Garde")*data[Hfin corrigée])),0)</f>
        <v>0</v>
      </c>
      <c r="V3" s="3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" s="39">
        <f>MAX(0,IF(data[[#This Row],[Garde / Interv.]]="Intervention",(data[[#This Row],[Fin Dim ou Férié]]="non")*data[[#This Row],[JOUR2]]+(data[[#This Row],[Début Dim ou Férié]]="non")*data[[#This Row],[JOUR1]],0))</f>
        <v>0.19513888888888886</v>
      </c>
      <c r="X3" s="39">
        <f>IF(data[[#This Row],[Garde / Interv.]]="Intervention",(data[[#This Row],[Fin Dim ou Férié]]="oui")*data[[#This Row],[JOUR2]]+(data[[#This Row],[Début Dim ou Férié]]="oui")*data[[#This Row],[JOUR1]],0)</f>
        <v>0</v>
      </c>
      <c r="Y3" s="39">
        <f>MAX(0,IF(data[[#This Row],[Garde / Interv.]]="Intervention",data[[#This Row],[NUIT1.1]]+data[[#This Row],[NUIT1.2]]+data[[#This Row],[NUIT2.1]]+data[[#This Row],[NUIT2.2]],0))</f>
        <v>0</v>
      </c>
      <c r="Z3" s="165"/>
      <c r="AA3" s="44"/>
      <c r="AB3" s="44"/>
      <c r="AC3" s="44"/>
      <c r="AD3" s="44"/>
      <c r="AE3" s="44"/>
      <c r="AF3" s="44"/>
      <c r="AG3" s="44"/>
      <c r="AH3" s="44"/>
      <c r="AI3" s="44"/>
    </row>
    <row r="4" spans="1:35" x14ac:dyDescent="0.35">
      <c r="A4" s="63">
        <v>43467</v>
      </c>
      <c r="B4" s="122" t="str">
        <f>IF(data[[#This Row],[Hdébut garde]]&lt;&gt;"","Garde",IF(data[[#This Row],[Hdébut corrigé]]&lt;&gt;"","Intervention",""))</f>
        <v>Intervention</v>
      </c>
      <c r="C4" s="77"/>
      <c r="D4" s="47"/>
      <c r="E4" s="39">
        <f>MAX(0,IF(data[[#This Row],[Garde / Interv.]]="Garde",data[[#This Row],[Hfin corrigée]]-data[[#This Row],[Hdébut corrigé]],0))</f>
        <v>0</v>
      </c>
      <c r="F4" s="78"/>
      <c r="G4" s="34"/>
      <c r="H4" s="21" t="s">
        <v>2</v>
      </c>
      <c r="I4" s="36">
        <v>0.54097222222222219</v>
      </c>
      <c r="J4" s="35">
        <v>0.61249999999999993</v>
      </c>
      <c r="K4" s="37">
        <f>IF(data[[#This Row],[Hdébut garde]]&lt;&gt;"",
data[[#This Row],[Hdébut garde]],
data[[#This Row],[Hdébut interv.]]+IF(data[[#This Row],[Hdébut interv.]]&lt;SUMPRODUCT((data[Date]=data[[#This Row],[Date]])*data[Hdébut garde]),1,0)
)</f>
        <v>0.54097222222222219</v>
      </c>
      <c r="L4" s="3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0.61249999999999993</v>
      </c>
      <c r="M4" s="38" t="str">
        <f>IF(OR(WEEKDAY(data[[#This Row],[Date]],2)=7,COUNTIF(JF,data[[#This Row],[Date]])=1),"oui","non")</f>
        <v>non</v>
      </c>
      <c r="N4" s="39">
        <f>MAX(0,(MIN(1,data[[#This Row],[Hfin corrigée]])-data[[#This Row],[Hdébut corrigé]])-data[[#This Row],[NUIT1.1]]-data[[#This Row],[NUIT1.2]])</f>
        <v>7.1527777777777746E-2</v>
      </c>
      <c r="O4" s="39">
        <f>IF(data[[#This Row],[Hfin Interv.]]="",0,(
MIN(FinNuit,MIN(1,data[[#This Row],[Hfin corrigée]]))-MIN(FinNuit,data[[#This Row],[Hdébut corrigé]])
))</f>
        <v>0</v>
      </c>
      <c r="P4" s="39">
        <f>MAX(0,(MAX(0,(MIN(1,data[[#This Row],[Hfin corrigée]])-DebNuit))-MAX(0,(data[[#This Row],[Hdébut corrigé]]-DebNuit))))</f>
        <v>0</v>
      </c>
      <c r="Q4" s="38" t="str">
        <f>IF(OR(WEEKDAY(data[[#This Row],[Date]]+data[[#This Row],[Hfin corrigée]],2)=7,COUNTIF(JF,INT(data[[#This Row],[Date]]+data[[#This Row],[Hfin corrigée]]))=1),"oui","non")</f>
        <v>non</v>
      </c>
      <c r="R4" s="39">
        <f>MAX(0,data[[#This Row],[Hfin corrigée]]-MAX(1,data[[#This Row],[Hdébut corrigé]]))-data[[#This Row],[NUIT2.1]]-data[[#This Row],[NUIT2.2]]</f>
        <v>0</v>
      </c>
      <c r="S4" s="39">
        <f>MAX(0,MIN(1+FinNuit,data[[#This Row],[Hfin corrigée]])-MAX(1,data[[#This Row],[Hdébut corrigé]]))</f>
        <v>0</v>
      </c>
      <c r="T4" s="39">
        <f>MAX(0,(data[[#This Row],[Hfin corrigée]]-DebNuit-1))</f>
        <v>0</v>
      </c>
      <c r="U4" s="40">
        <f>IF(data[[#This Row],[Garde / Interv.]]="Intervention",MAX(0,data[[#This Row],[Hfin corrigée]]-SUMPRODUCT((data[Date]=data[[#This Row],[Date]])*(data[Garde / Interv.]="Garde")*data[Hfin corrigée])),0)</f>
        <v>0</v>
      </c>
      <c r="V4" s="3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" s="39">
        <f>MAX(0,IF(data[[#This Row],[Garde / Interv.]]="Intervention",(data[[#This Row],[Fin Dim ou Férié]]="non")*data[[#This Row],[JOUR2]]+(data[[#This Row],[Début Dim ou Férié]]="non")*data[[#This Row],[JOUR1]],0))</f>
        <v>7.1527777777777746E-2</v>
      </c>
      <c r="X4" s="39">
        <f>IF(data[[#This Row],[Garde / Interv.]]="Intervention",(data[[#This Row],[Fin Dim ou Férié]]="oui")*data[[#This Row],[JOUR2]]+(data[[#This Row],[Début Dim ou Férié]]="oui")*data[[#This Row],[JOUR1]],0)</f>
        <v>0</v>
      </c>
      <c r="Y4" s="39">
        <f>MAX(0,IF(data[[#This Row],[Garde / Interv.]]="Intervention",data[[#This Row],[NUIT1.1]]+data[[#This Row],[NUIT1.2]]+data[[#This Row],[NUIT2.1]]+data[[#This Row],[NUIT2.2]],0))</f>
        <v>0</v>
      </c>
      <c r="Z4" s="165"/>
      <c r="AA4" s="44"/>
      <c r="AB4" s="44"/>
      <c r="AC4" s="44"/>
      <c r="AD4" s="44"/>
      <c r="AE4" s="44"/>
      <c r="AF4" s="44"/>
      <c r="AG4" s="44"/>
      <c r="AH4" s="44"/>
      <c r="AI4" s="44"/>
    </row>
    <row r="5" spans="1:35" x14ac:dyDescent="0.35">
      <c r="A5" s="63">
        <v>43467</v>
      </c>
      <c r="B5" s="122" t="str">
        <f>IF(data[[#This Row],[Hdébut garde]]&lt;&gt;"","Garde",IF(data[[#This Row],[Hdébut corrigé]]&lt;&gt;"","Intervention",""))</f>
        <v>Intervention</v>
      </c>
      <c r="C5" s="79"/>
      <c r="D5" s="56"/>
      <c r="E5" s="47">
        <f>MAX(0,IF(data[[#This Row],[Garde / Interv.]]="Garde",data[[#This Row],[Hfin corrigée]]-data[[#This Row],[Hdébut corrigé]],0))</f>
        <v>0</v>
      </c>
      <c r="F5" s="80"/>
      <c r="G5" s="57"/>
      <c r="H5" s="58" t="s">
        <v>2</v>
      </c>
      <c r="I5" s="59">
        <v>0.61597222222222225</v>
      </c>
      <c r="J5" s="60">
        <v>0.67152777777777783</v>
      </c>
      <c r="K5" s="42">
        <f>IF(data[[#This Row],[Hdébut garde]]&lt;&gt;"",
data[[#This Row],[Hdébut garde]],
data[[#This Row],[Hdébut interv.]]+IF(data[[#This Row],[Hdébut interv.]]&lt;SUMPRODUCT((data[Date]=data[[#This Row],[Date]])*data[Hdébut garde]),1,0)
)</f>
        <v>0.61597222222222225</v>
      </c>
      <c r="L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0.67152777777777783</v>
      </c>
      <c r="M5" s="43" t="str">
        <f>IF(OR(WEEKDAY(data[[#This Row],[Date]],2)=7,COUNTIF(JF,data[[#This Row],[Date]])=1),"oui","non")</f>
        <v>non</v>
      </c>
      <c r="N5" s="44">
        <f>MAX(0,(MIN(1,data[[#This Row],[Hfin corrigée]])-data[[#This Row],[Hdébut corrigé]])-data[[#This Row],[NUIT1.1]]-data[[#This Row],[NUIT1.2]])</f>
        <v>5.555555555555558E-2</v>
      </c>
      <c r="O5" s="44">
        <f>IF(data[[#This Row],[Hfin Interv.]]="",0,(
MIN(FinNuit,MIN(1,data[[#This Row],[Hfin corrigée]]))-MIN(FinNuit,data[[#This Row],[Hdébut corrigé]])
))</f>
        <v>0</v>
      </c>
      <c r="P5" s="44">
        <f>MAX(0,(MAX(0,(MIN(1,data[[#This Row],[Hfin corrigée]])-DebNuit))-MAX(0,(data[[#This Row],[Hdébut corrigé]]-DebNuit))))</f>
        <v>0</v>
      </c>
      <c r="Q5" s="43" t="str">
        <f>IF(OR(WEEKDAY(data[[#This Row],[Date]]+data[[#This Row],[Hfin corrigée]],2)=7,COUNTIF(JF,INT(data[[#This Row],[Date]]+data[[#This Row],[Hfin corrigée]]))=1),"oui","non")</f>
        <v>non</v>
      </c>
      <c r="R5" s="44">
        <f>MAX(0,data[[#This Row],[Hfin corrigée]]-MAX(1,data[[#This Row],[Hdébut corrigé]]))-data[[#This Row],[NUIT2.1]]-data[[#This Row],[NUIT2.2]]</f>
        <v>0</v>
      </c>
      <c r="S5" s="44">
        <f>MAX(0,MIN(1+FinNuit,data[[#This Row],[Hfin corrigée]])-MAX(1,data[[#This Row],[Hdébut corrigé]]))</f>
        <v>0</v>
      </c>
      <c r="T5" s="44">
        <f>MAX(0,(data[[#This Row],[Hfin corrigée]]-DebNuit-1))</f>
        <v>0</v>
      </c>
      <c r="U5" s="45">
        <f>IF(data[[#This Row],[Garde / Interv.]]="Intervention",MAX(0,data[[#This Row],[Hfin corrigée]]-SUMPRODUCT((data[Date]=data[[#This Row],[Date]])*(data[Garde / Interv.]="Garde")*data[Hfin corrigée])),0)</f>
        <v>0</v>
      </c>
      <c r="V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" s="44">
        <f>MAX(0,IF(data[[#This Row],[Garde / Interv.]]="Intervention",(data[[#This Row],[Fin Dim ou Férié]]="non")*data[[#This Row],[JOUR2]]+(data[[#This Row],[Début Dim ou Férié]]="non")*data[[#This Row],[JOUR1]],0))</f>
        <v>5.555555555555558E-2</v>
      </c>
      <c r="X5" s="44">
        <f>IF(data[[#This Row],[Garde / Interv.]]="Intervention",(data[[#This Row],[Fin Dim ou Férié]]="oui")*data[[#This Row],[JOUR2]]+(data[[#This Row],[Début Dim ou Férié]]="oui")*data[[#This Row],[JOUR1]],0)</f>
        <v>0</v>
      </c>
      <c r="Y5" s="44">
        <f>MAX(0,IF(data[[#This Row],[Garde / Interv.]]="Intervention",data[[#This Row],[NUIT1.1]]+data[[#This Row],[NUIT1.2]]+data[[#This Row],[NUIT2.1]]+data[[#This Row],[NUIT2.2]],0))</f>
        <v>0</v>
      </c>
      <c r="Z5" s="165"/>
      <c r="AA5" s="44"/>
      <c r="AB5" s="44"/>
      <c r="AC5" s="44"/>
      <c r="AD5" s="44"/>
      <c r="AE5" s="44"/>
      <c r="AF5" s="44"/>
      <c r="AG5" s="44"/>
      <c r="AH5" s="44"/>
      <c r="AI5" s="44"/>
    </row>
    <row r="6" spans="1:35" x14ac:dyDescent="0.35">
      <c r="A6" s="63">
        <v>43467</v>
      </c>
      <c r="B6" s="122" t="str">
        <f>IF(data[[#This Row],[Hdébut garde]]&lt;&gt;"","Garde",IF(data[[#This Row],[Hdébut corrigé]]&lt;&gt;"","Intervention",""))</f>
        <v>Intervention</v>
      </c>
      <c r="C6" s="79"/>
      <c r="D6" s="56"/>
      <c r="E6" s="47">
        <f>MAX(0,IF(data[[#This Row],[Garde / Interv.]]="Garde",data[[#This Row],[Hfin corrigée]]-data[[#This Row],[Hdébut corrigé]],0))</f>
        <v>0</v>
      </c>
      <c r="F6" s="80"/>
      <c r="G6" s="57"/>
      <c r="H6" s="58" t="s">
        <v>2</v>
      </c>
      <c r="I6" s="59">
        <v>0.79305555555555562</v>
      </c>
      <c r="J6" s="60">
        <v>0.84027777777777779</v>
      </c>
      <c r="K6" s="42">
        <f>IF(data[[#This Row],[Hdébut garde]]&lt;&gt;"",
data[[#This Row],[Hdébut garde]],
data[[#This Row],[Hdébut interv.]]+IF(data[[#This Row],[Hdébut interv.]]&lt;SUMPRODUCT((data[Date]=data[[#This Row],[Date]])*data[Hdébut garde]),1,0)
)</f>
        <v>0.79305555555555562</v>
      </c>
      <c r="L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0.84027777777777779</v>
      </c>
      <c r="M6" s="43" t="str">
        <f>IF(OR(WEEKDAY(data[[#This Row],[Date]],2)=7,COUNTIF(JF,data[[#This Row],[Date]])=1),"oui","non")</f>
        <v>non</v>
      </c>
      <c r="N6" s="44">
        <f>MAX(0,(MIN(1,data[[#This Row],[Hfin corrigée]])-data[[#This Row],[Hdébut corrigé]])-data[[#This Row],[NUIT1.1]]-data[[#This Row],[NUIT1.2]])</f>
        <v>4.7222222222222165E-2</v>
      </c>
      <c r="O6" s="44">
        <f>IF(data[[#This Row],[Hfin Interv.]]="",0,(
MIN(FinNuit,MIN(1,data[[#This Row],[Hfin corrigée]]))-MIN(FinNuit,data[[#This Row],[Hdébut corrigé]])
))</f>
        <v>0</v>
      </c>
      <c r="P6" s="44">
        <f>MAX(0,(MAX(0,(MIN(1,data[[#This Row],[Hfin corrigée]])-DebNuit))-MAX(0,(data[[#This Row],[Hdébut corrigé]]-DebNuit))))</f>
        <v>0</v>
      </c>
      <c r="Q6" s="43" t="str">
        <f>IF(OR(WEEKDAY(data[[#This Row],[Date]]+data[[#This Row],[Hfin corrigée]],2)=7,COUNTIF(JF,INT(data[[#This Row],[Date]]+data[[#This Row],[Hfin corrigée]]))=1),"oui","non")</f>
        <v>non</v>
      </c>
      <c r="R6" s="44">
        <f>MAX(0,data[[#This Row],[Hfin corrigée]]-MAX(1,data[[#This Row],[Hdébut corrigé]]))-data[[#This Row],[NUIT2.1]]-data[[#This Row],[NUIT2.2]]</f>
        <v>0</v>
      </c>
      <c r="S6" s="44">
        <f>MAX(0,MIN(1+FinNuit,data[[#This Row],[Hfin corrigée]])-MAX(1,data[[#This Row],[Hdébut corrigé]]))</f>
        <v>0</v>
      </c>
      <c r="T6" s="44">
        <f>MAX(0,(data[[#This Row],[Hfin corrigée]]-DebNuit-1))</f>
        <v>0</v>
      </c>
      <c r="U6" s="45">
        <f>IF(data[[#This Row],[Garde / Interv.]]="Intervention",MAX(0,data[[#This Row],[Hfin corrigée]]-SUMPRODUCT((data[Date]=data[[#This Row],[Date]])*(data[Garde / Interv.]="Garde")*data[Hfin corrigée])),0)</f>
        <v>0</v>
      </c>
      <c r="V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" s="44">
        <f>MAX(0,IF(data[[#This Row],[Garde / Interv.]]="Intervention",(data[[#This Row],[Fin Dim ou Férié]]="non")*data[[#This Row],[JOUR2]]+(data[[#This Row],[Début Dim ou Férié]]="non")*data[[#This Row],[JOUR1]],0))</f>
        <v>4.7222222222222165E-2</v>
      </c>
      <c r="X6" s="44">
        <f>IF(data[[#This Row],[Garde / Interv.]]="Intervention",(data[[#This Row],[Fin Dim ou Férié]]="oui")*data[[#This Row],[JOUR2]]+(data[[#This Row],[Début Dim ou Férié]]="oui")*data[[#This Row],[JOUR1]],0)</f>
        <v>0</v>
      </c>
      <c r="Y6" s="44">
        <f>MAX(0,IF(data[[#This Row],[Garde / Interv.]]="Intervention",data[[#This Row],[NUIT1.1]]+data[[#This Row],[NUIT1.2]]+data[[#This Row],[NUIT2.1]]+data[[#This Row],[NUIT2.2]],0))</f>
        <v>0</v>
      </c>
      <c r="Z6" s="165"/>
      <c r="AA6" s="44"/>
      <c r="AB6" s="44"/>
      <c r="AC6" s="44"/>
      <c r="AD6" s="44"/>
      <c r="AE6" s="44"/>
      <c r="AF6" s="44"/>
      <c r="AG6" s="44"/>
      <c r="AH6" s="44"/>
      <c r="AI6" s="44"/>
    </row>
    <row r="7" spans="1:35" x14ac:dyDescent="0.35">
      <c r="A7" s="63">
        <v>43467</v>
      </c>
      <c r="B7" s="122" t="str">
        <f>IF(data[[#This Row],[Hdébut garde]]&lt;&gt;"","Garde",IF(data[[#This Row],[Hdébut corrigé]]&lt;&gt;"","Intervention",""))</f>
        <v>Intervention</v>
      </c>
      <c r="C7" s="79"/>
      <c r="D7" s="56"/>
      <c r="E7" s="47">
        <f>MAX(0,IF(data[[#This Row],[Garde / Interv.]]="Garde",data[[#This Row],[Hfin corrigée]]-data[[#This Row],[Hdébut corrigé]],0))</f>
        <v>0</v>
      </c>
      <c r="F7" s="80"/>
      <c r="G7" s="57"/>
      <c r="H7" s="58" t="s">
        <v>4</v>
      </c>
      <c r="I7" s="59">
        <v>1.6666666666666666E-2</v>
      </c>
      <c r="J7" s="60">
        <v>6.9444444444444434E-2</v>
      </c>
      <c r="K7" s="42">
        <f>IF(data[[#This Row],[Hdébut garde]]&lt;&gt;"",
data[[#This Row],[Hdébut garde]],
data[[#This Row],[Hdébut interv.]]+IF(data[[#This Row],[Hdébut interv.]]&lt;SUMPRODUCT((data[Date]=data[[#This Row],[Date]])*data[Hdébut garde]),1,0)
)</f>
        <v>1.0166666666666666</v>
      </c>
      <c r="L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1.0694444444444444</v>
      </c>
      <c r="M7" s="43" t="str">
        <f>IF(OR(WEEKDAY(data[[#This Row],[Date]],2)=7,COUNTIF(JF,data[[#This Row],[Date]])=1),"oui","non")</f>
        <v>non</v>
      </c>
      <c r="N7" s="44">
        <f>MAX(0,(MIN(1,data[[#This Row],[Hfin corrigée]])-data[[#This Row],[Hdébut corrigé]])-data[[#This Row],[NUIT1.1]]-data[[#This Row],[NUIT1.2]])</f>
        <v>0</v>
      </c>
      <c r="O7" s="44">
        <f>IF(data[[#This Row],[Hfin Interv.]]="",0,(
MIN(FinNuit,MIN(1,data[[#This Row],[Hfin corrigée]]))-MIN(FinNuit,data[[#This Row],[Hdébut corrigé]])
))</f>
        <v>0</v>
      </c>
      <c r="P7" s="44">
        <f>MAX(0,(MAX(0,(MIN(1,data[[#This Row],[Hfin corrigée]])-DebNuit))-MAX(0,(data[[#This Row],[Hdébut corrigé]]-DebNuit))))</f>
        <v>0</v>
      </c>
      <c r="Q7" s="43" t="str">
        <f>IF(OR(WEEKDAY(data[[#This Row],[Date]]+data[[#This Row],[Hfin corrigée]],2)=7,COUNTIF(JF,INT(data[[#This Row],[Date]]+data[[#This Row],[Hfin corrigée]]))=1),"oui","non")</f>
        <v>non</v>
      </c>
      <c r="R7" s="44">
        <f>MAX(0,data[[#This Row],[Hfin corrigée]]-MAX(1,data[[#This Row],[Hdébut corrigé]]))-data[[#This Row],[NUIT2.1]]-data[[#This Row],[NUIT2.2]]</f>
        <v>0</v>
      </c>
      <c r="S7" s="44">
        <f>MAX(0,MIN(1+FinNuit,data[[#This Row],[Hfin corrigée]])-MAX(1,data[[#This Row],[Hdébut corrigé]]))</f>
        <v>5.2777777777777812E-2</v>
      </c>
      <c r="T7" s="44">
        <f>MAX(0,(data[[#This Row],[Hfin corrigée]]-DebNuit-1))</f>
        <v>0</v>
      </c>
      <c r="U7" s="45">
        <f>IF(data[[#This Row],[Garde / Interv.]]="Intervention",MAX(0,data[[#This Row],[Hfin corrigée]]-SUMPRODUCT((data[Date]=data[[#This Row],[Date]])*(data[Garde / Interv.]="Garde")*data[Hfin corrigée])),0)</f>
        <v>0</v>
      </c>
      <c r="V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" s="44">
        <f>IF(data[[#This Row],[Garde / Interv.]]="Intervention",(data[[#This Row],[Fin Dim ou Férié]]="oui")*data[[#This Row],[JOUR2]]+(data[[#This Row],[Début Dim ou Férié]]="oui")*data[[#This Row],[JOUR1]],0)</f>
        <v>0</v>
      </c>
      <c r="Y7" s="44">
        <f>MAX(0,IF(data[[#This Row],[Garde / Interv.]]="Intervention",data[[#This Row],[NUIT1.1]]+data[[#This Row],[NUIT1.2]]+data[[#This Row],[NUIT2.1]]+data[[#This Row],[NUIT2.2]],0))</f>
        <v>5.2777777777777812E-2</v>
      </c>
      <c r="Z7" s="165"/>
      <c r="AA7" s="44"/>
      <c r="AB7" s="44"/>
      <c r="AC7" s="44"/>
      <c r="AD7" s="44"/>
      <c r="AE7" s="44"/>
      <c r="AF7" s="44"/>
      <c r="AG7" s="44"/>
      <c r="AH7" s="44"/>
      <c r="AI7" s="44"/>
    </row>
    <row r="8" spans="1:35" x14ac:dyDescent="0.35">
      <c r="A8" s="63">
        <v>43469</v>
      </c>
      <c r="B8" s="122" t="str">
        <f>IF(data[[#This Row],[Hdébut garde]]&lt;&gt;"","Garde",IF(data[[#This Row],[Hdébut corrigé]]&lt;&gt;"","Intervention",""))</f>
        <v>Garde</v>
      </c>
      <c r="C8" s="77">
        <v>0.29166666666666669</v>
      </c>
      <c r="D8" s="47">
        <v>0.29166666666666669</v>
      </c>
      <c r="E8" s="39">
        <f>MAX(0,IF(data[[#This Row],[Garde / Interv.]]="Garde",data[[#This Row],[Hfin corrigée]]-data[[#This Row],[Hdébut corrigé]],0))</f>
        <v>1</v>
      </c>
      <c r="F8" s="78"/>
      <c r="G8" s="34"/>
      <c r="H8" s="21"/>
      <c r="I8" s="36"/>
      <c r="J8" s="35"/>
      <c r="K8" s="37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8" s="3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8" s="38" t="str">
        <f>IF(OR(WEEKDAY(data[[#This Row],[Date]],2)=7,COUNTIF(JF,data[[#This Row],[Date]])=1),"oui","non")</f>
        <v>non</v>
      </c>
      <c r="N8" s="39">
        <f>MAX(0,(MIN(1,data[[#This Row],[Hfin corrigée]])-data[[#This Row],[Hdébut corrigé]])-data[[#This Row],[NUIT1.1]]-data[[#This Row],[NUIT1.2]])</f>
        <v>0.62499999999999989</v>
      </c>
      <c r="O8" s="39">
        <f>IF(data[[#This Row],[Hfin Interv.]]="",0,(
MIN(FinNuit,MIN(1,data[[#This Row],[Hfin corrigée]]))-MIN(FinNuit,data[[#This Row],[Hdébut corrigé]])
))</f>
        <v>0</v>
      </c>
      <c r="P8" s="39">
        <f>MAX(0,(MAX(0,(MIN(1,data[[#This Row],[Hfin corrigée]])-DebNuit))-MAX(0,(data[[#This Row],[Hdébut corrigé]]-DebNuit))))</f>
        <v>8.333333333333337E-2</v>
      </c>
      <c r="Q8" s="38" t="str">
        <f>IF(OR(WEEKDAY(data[[#This Row],[Date]]+data[[#This Row],[Hfin corrigée]],2)=7,COUNTIF(JF,INT(data[[#This Row],[Date]]+data[[#This Row],[Hfin corrigée]]))=1),"oui","non")</f>
        <v>non</v>
      </c>
      <c r="R8" s="39">
        <f>MAX(0,data[[#This Row],[Hfin corrigée]]-MAX(1,data[[#This Row],[Hdébut corrigé]]))-data[[#This Row],[NUIT2.1]]-data[[#This Row],[NUIT2.2]]</f>
        <v>0</v>
      </c>
      <c r="S8" s="39">
        <f>MAX(0,MIN(1+FinNuit,data[[#This Row],[Hfin corrigée]])-MAX(1,data[[#This Row],[Hdébut corrigé]]))</f>
        <v>0.29166666666666674</v>
      </c>
      <c r="T8" s="39">
        <f>MAX(0,(data[[#This Row],[Hfin corrigée]]-DebNuit-1))</f>
        <v>0</v>
      </c>
      <c r="U8" s="40">
        <f>IF(data[[#This Row],[Garde / Interv.]]="Intervention",MAX(0,data[[#This Row],[Hfin corrigée]]-SUMPRODUCT((data[Date]=data[[#This Row],[Date]])*(data[Garde / Interv.]="Garde")*data[Hfin corrigée])),0)</f>
        <v>0</v>
      </c>
      <c r="V8" s="3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0.87222222222222223</v>
      </c>
      <c r="W8" s="39">
        <f>MAX(0,IF(data[[#This Row],[Garde / Interv.]]="Intervention",(data[[#This Row],[Fin Dim ou Férié]]="non")*data[[#This Row],[JOUR2]]+(data[[#This Row],[Début Dim ou Férié]]="non")*data[[#This Row],[JOUR1]],0))</f>
        <v>0</v>
      </c>
      <c r="X8" s="39">
        <f>IF(data[[#This Row],[Garde / Interv.]]="Intervention",(data[[#This Row],[Fin Dim ou Férié]]="oui")*data[[#This Row],[JOUR2]]+(data[[#This Row],[Début Dim ou Férié]]="oui")*data[[#This Row],[JOUR1]],0)</f>
        <v>0</v>
      </c>
      <c r="Y8" s="39">
        <f>MAX(0,IF(data[[#This Row],[Garde / Interv.]]="Intervention",data[[#This Row],[NUIT1.1]]+data[[#This Row],[NUIT1.2]]+data[[#This Row],[NUIT2.1]]+data[[#This Row],[NUIT2.2]],0))</f>
        <v>0</v>
      </c>
      <c r="Z8" s="165"/>
      <c r="AA8" s="44"/>
      <c r="AB8" s="44"/>
      <c r="AC8" s="44"/>
      <c r="AD8" s="44"/>
      <c r="AE8" s="44"/>
      <c r="AF8" s="44"/>
      <c r="AG8" s="44"/>
      <c r="AH8" s="44"/>
      <c r="AI8" s="44"/>
    </row>
    <row r="9" spans="1:35" x14ac:dyDescent="0.35">
      <c r="A9" s="63">
        <v>43469</v>
      </c>
      <c r="B9" s="122" t="str">
        <f>IF(data[[#This Row],[Hdébut garde]]&lt;&gt;"","Garde",IF(data[[#This Row],[Hdébut corrigé]]&lt;&gt;"","Intervention",""))</f>
        <v>Intervention</v>
      </c>
      <c r="C9" s="79"/>
      <c r="D9" s="56"/>
      <c r="E9" s="47">
        <f>MAX(0,IF(data[[#This Row],[Garde / Interv.]]="Garde",data[[#This Row],[Hfin corrigée]]-data[[#This Row],[Hdébut corrigé]],0))</f>
        <v>0</v>
      </c>
      <c r="F9" s="80"/>
      <c r="G9" s="57"/>
      <c r="H9" s="21" t="s">
        <v>2</v>
      </c>
      <c r="I9" s="59">
        <v>0.47361111111111115</v>
      </c>
      <c r="J9" s="60">
        <v>0.48333333333333334</v>
      </c>
      <c r="K9" s="42">
        <f>IF(data[[#This Row],[Hdébut garde]]&lt;&gt;"",
data[[#This Row],[Hdébut garde]],
data[[#This Row],[Hdébut interv.]]+IF(data[[#This Row],[Hdébut interv.]]&lt;SUMPRODUCT((data[Date]=data[[#This Row],[Date]])*data[Hdébut garde]),1,0)
)</f>
        <v>0.47361111111111115</v>
      </c>
      <c r="L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0.48333333333333334</v>
      </c>
      <c r="M9" s="43" t="str">
        <f>IF(OR(WEEKDAY(data[[#This Row],[Date]],2)=7,COUNTIF(JF,data[[#This Row],[Date]])=1),"oui","non")</f>
        <v>non</v>
      </c>
      <c r="N9" s="44">
        <f>MAX(0,(MIN(1,data[[#This Row],[Hfin corrigée]])-data[[#This Row],[Hdébut corrigé]])-data[[#This Row],[NUIT1.1]]-data[[#This Row],[NUIT1.2]])</f>
        <v>9.7222222222221877E-3</v>
      </c>
      <c r="O9" s="44">
        <f>IF(data[[#This Row],[Hfin Interv.]]="",0,(
MIN(FinNuit,MIN(1,data[[#This Row],[Hfin corrigée]]))-MIN(FinNuit,data[[#This Row],[Hdébut corrigé]])
))</f>
        <v>0</v>
      </c>
      <c r="P9" s="44">
        <f>MAX(0,(MAX(0,(MIN(1,data[[#This Row],[Hfin corrigée]])-DebNuit))-MAX(0,(data[[#This Row],[Hdébut corrigé]]-DebNuit))))</f>
        <v>0</v>
      </c>
      <c r="Q9" s="43" t="str">
        <f>IF(OR(WEEKDAY(data[[#This Row],[Date]]+data[[#This Row],[Hfin corrigée]],2)=7,COUNTIF(JF,INT(data[[#This Row],[Date]]+data[[#This Row],[Hfin corrigée]]))=1),"oui","non")</f>
        <v>non</v>
      </c>
      <c r="R9" s="44">
        <f>MAX(0,data[[#This Row],[Hfin corrigée]]-MAX(1,data[[#This Row],[Hdébut corrigé]]))-data[[#This Row],[NUIT2.1]]-data[[#This Row],[NUIT2.2]]</f>
        <v>0</v>
      </c>
      <c r="S9" s="44">
        <f>MAX(0,MIN(1+FinNuit,data[[#This Row],[Hfin corrigée]])-MAX(1,data[[#This Row],[Hdébut corrigé]]))</f>
        <v>0</v>
      </c>
      <c r="T9" s="44">
        <f>MAX(0,(data[[#This Row],[Hfin corrigée]]-DebNuit-1))</f>
        <v>0</v>
      </c>
      <c r="U9" s="45">
        <f>IF(data[[#This Row],[Garde / Interv.]]="Intervention",MAX(0,data[[#This Row],[Hfin corrigée]]-SUMPRODUCT((data[Date]=data[[#This Row],[Date]])*(data[Garde / Interv.]="Garde")*data[Hfin corrigée])),0)</f>
        <v>0</v>
      </c>
      <c r="V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" s="44">
        <f>MAX(0,IF(data[[#This Row],[Garde / Interv.]]="Intervention",(data[[#This Row],[Fin Dim ou Férié]]="non")*data[[#This Row],[JOUR2]]+(data[[#This Row],[Début Dim ou Férié]]="non")*data[[#This Row],[JOUR1]],0))</f>
        <v>9.7222222222221877E-3</v>
      </c>
      <c r="X9" s="44">
        <f>IF(data[[#This Row],[Garde / Interv.]]="Intervention",(data[[#This Row],[Fin Dim ou Férié]]="oui")*data[[#This Row],[JOUR2]]+(data[[#This Row],[Début Dim ou Férié]]="oui")*data[[#This Row],[JOUR1]],0)</f>
        <v>0</v>
      </c>
      <c r="Y9" s="44">
        <f>MAX(0,IF(data[[#This Row],[Garde / Interv.]]="Intervention",data[[#This Row],[NUIT1.1]]+data[[#This Row],[NUIT1.2]]+data[[#This Row],[NUIT2.1]]+data[[#This Row],[NUIT2.2]],0))</f>
        <v>0</v>
      </c>
      <c r="Z9" s="165"/>
      <c r="AA9" s="44"/>
      <c r="AB9" s="44"/>
      <c r="AC9" s="44"/>
      <c r="AD9" s="44"/>
      <c r="AE9" s="44"/>
      <c r="AF9" s="44"/>
      <c r="AG9" s="44"/>
      <c r="AH9" s="44"/>
      <c r="AI9" s="44"/>
    </row>
    <row r="10" spans="1:35" x14ac:dyDescent="0.35">
      <c r="A10" s="63">
        <v>43469</v>
      </c>
      <c r="B10" s="122" t="str">
        <f>IF(data[[#This Row],[Hdébut garde]]&lt;&gt;"","Garde",IF(data[[#This Row],[Hdébut corrigé]]&lt;&gt;"","Intervention",""))</f>
        <v>Intervention</v>
      </c>
      <c r="C10" s="79"/>
      <c r="D10" s="56"/>
      <c r="E10" s="47">
        <f>MAX(0,IF(data[[#This Row],[Garde / Interv.]]="Garde",data[[#This Row],[Hfin corrigée]]-data[[#This Row],[Hdébut corrigé]],0))</f>
        <v>0</v>
      </c>
      <c r="F10" s="80"/>
      <c r="G10" s="57"/>
      <c r="H10" s="21" t="s">
        <v>2</v>
      </c>
      <c r="I10" s="59">
        <v>0.48819444444444443</v>
      </c>
      <c r="J10" s="60">
        <v>0.54166666666666663</v>
      </c>
      <c r="K10" s="42">
        <f>IF(data[[#This Row],[Hdébut garde]]&lt;&gt;"",
data[[#This Row],[Hdébut garde]],
data[[#This Row],[Hdébut interv.]]+IF(data[[#This Row],[Hdébut interv.]]&lt;SUMPRODUCT((data[Date]=data[[#This Row],[Date]])*data[Hdébut garde]),1,0)
)</f>
        <v>0.48819444444444443</v>
      </c>
      <c r="L1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0.54166666666666663</v>
      </c>
      <c r="M10" s="43" t="str">
        <f>IF(OR(WEEKDAY(data[[#This Row],[Date]],2)=7,COUNTIF(JF,data[[#This Row],[Date]])=1),"oui","non")</f>
        <v>non</v>
      </c>
      <c r="N10" s="44">
        <f>MAX(0,(MIN(1,data[[#This Row],[Hfin corrigée]])-data[[#This Row],[Hdébut corrigé]])-data[[#This Row],[NUIT1.1]]-data[[#This Row],[NUIT1.2]])</f>
        <v>5.3472222222222199E-2</v>
      </c>
      <c r="O10" s="44">
        <f>IF(data[[#This Row],[Hfin Interv.]]="",0,(
MIN(FinNuit,MIN(1,data[[#This Row],[Hfin corrigée]]))-MIN(FinNuit,data[[#This Row],[Hdébut corrigé]])
))</f>
        <v>0</v>
      </c>
      <c r="P10" s="44">
        <f>MAX(0,(MAX(0,(MIN(1,data[[#This Row],[Hfin corrigée]])-DebNuit))-MAX(0,(data[[#This Row],[Hdébut corrigé]]-DebNuit))))</f>
        <v>0</v>
      </c>
      <c r="Q10" s="43" t="str">
        <f>IF(OR(WEEKDAY(data[[#This Row],[Date]]+data[[#This Row],[Hfin corrigée]],2)=7,COUNTIF(JF,INT(data[[#This Row],[Date]]+data[[#This Row],[Hfin corrigée]]))=1),"oui","non")</f>
        <v>non</v>
      </c>
      <c r="R10" s="44">
        <f>MAX(0,data[[#This Row],[Hfin corrigée]]-MAX(1,data[[#This Row],[Hdébut corrigé]]))-data[[#This Row],[NUIT2.1]]-data[[#This Row],[NUIT2.2]]</f>
        <v>0</v>
      </c>
      <c r="S10" s="44">
        <f>MAX(0,MIN(1+FinNuit,data[[#This Row],[Hfin corrigée]])-MAX(1,data[[#This Row],[Hdébut corrigé]]))</f>
        <v>0</v>
      </c>
      <c r="T10" s="44">
        <f>MAX(0,(data[[#This Row],[Hfin corrigée]]-DebNuit-1))</f>
        <v>0</v>
      </c>
      <c r="U10" s="45">
        <f>IF(data[[#This Row],[Garde / Interv.]]="Intervention",MAX(0,data[[#This Row],[Hfin corrigée]]-SUMPRODUCT((data[Date]=data[[#This Row],[Date]])*(data[Garde / Interv.]="Garde")*data[Hfin corrigée])),0)</f>
        <v>0</v>
      </c>
      <c r="V1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0" s="44">
        <f>MAX(0,IF(data[[#This Row],[Garde / Interv.]]="Intervention",(data[[#This Row],[Fin Dim ou Férié]]="non")*data[[#This Row],[JOUR2]]+(data[[#This Row],[Début Dim ou Férié]]="non")*data[[#This Row],[JOUR1]],0))</f>
        <v>5.3472222222222199E-2</v>
      </c>
      <c r="X10" s="44">
        <f>IF(data[[#This Row],[Garde / Interv.]]="Intervention",(data[[#This Row],[Fin Dim ou Férié]]="oui")*data[[#This Row],[JOUR2]]+(data[[#This Row],[Début Dim ou Férié]]="oui")*data[[#This Row],[JOUR1]],0)</f>
        <v>0</v>
      </c>
      <c r="Y10" s="44">
        <f>MAX(0,IF(data[[#This Row],[Garde / Interv.]]="Intervention",data[[#This Row],[NUIT1.1]]+data[[#This Row],[NUIT1.2]]+data[[#This Row],[NUIT2.1]]+data[[#This Row],[NUIT2.2]],0))</f>
        <v>0</v>
      </c>
      <c r="Z10" s="165"/>
      <c r="AA10" s="44"/>
      <c r="AB10" s="44"/>
      <c r="AC10" s="44"/>
      <c r="AD10" s="44"/>
      <c r="AE10" s="44"/>
      <c r="AF10" s="44"/>
      <c r="AG10" s="44"/>
      <c r="AH10" s="44"/>
      <c r="AI10" s="44"/>
    </row>
    <row r="11" spans="1:35" x14ac:dyDescent="0.35">
      <c r="A11" s="63">
        <v>43469</v>
      </c>
      <c r="B11" s="122" t="str">
        <f>IF(data[[#This Row],[Hdébut garde]]&lt;&gt;"","Garde",IF(data[[#This Row],[Hdébut corrigé]]&lt;&gt;"","Intervention",""))</f>
        <v>Intervention</v>
      </c>
      <c r="C11" s="79"/>
      <c r="D11" s="56"/>
      <c r="E11" s="47">
        <f>MAX(0,IF(data[[#This Row],[Garde / Interv.]]="Garde",data[[#This Row],[Hfin corrigée]]-data[[#This Row],[Hdébut corrigé]],0))</f>
        <v>0</v>
      </c>
      <c r="F11" s="80"/>
      <c r="G11" s="57"/>
      <c r="H11" s="21" t="s">
        <v>2</v>
      </c>
      <c r="I11" s="59">
        <v>0.58819444444444446</v>
      </c>
      <c r="J11" s="60">
        <v>0.65277777777777779</v>
      </c>
      <c r="K11" s="42">
        <f>IF(data[[#This Row],[Hdébut garde]]&lt;&gt;"",
data[[#This Row],[Hdébut garde]],
data[[#This Row],[Hdébut interv.]]+IF(data[[#This Row],[Hdébut interv.]]&lt;SUMPRODUCT((data[Date]=data[[#This Row],[Date]])*data[Hdébut garde]),1,0)
)</f>
        <v>0.58819444444444446</v>
      </c>
      <c r="L1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0.65277777777777779</v>
      </c>
      <c r="M11" s="43" t="str">
        <f>IF(OR(WEEKDAY(data[[#This Row],[Date]],2)=7,COUNTIF(JF,data[[#This Row],[Date]])=1),"oui","non")</f>
        <v>non</v>
      </c>
      <c r="N11" s="44">
        <f>MAX(0,(MIN(1,data[[#This Row],[Hfin corrigée]])-data[[#This Row],[Hdébut corrigé]])-data[[#This Row],[NUIT1.1]]-data[[#This Row],[NUIT1.2]])</f>
        <v>6.4583333333333326E-2</v>
      </c>
      <c r="O11" s="44">
        <f>IF(data[[#This Row],[Hfin Interv.]]="",0,(
MIN(FinNuit,MIN(1,data[[#This Row],[Hfin corrigée]]))-MIN(FinNuit,data[[#This Row],[Hdébut corrigé]])
))</f>
        <v>0</v>
      </c>
      <c r="P11" s="44">
        <f>MAX(0,(MAX(0,(MIN(1,data[[#This Row],[Hfin corrigée]])-DebNuit))-MAX(0,(data[[#This Row],[Hdébut corrigé]]-DebNuit))))</f>
        <v>0</v>
      </c>
      <c r="Q11" s="43" t="str">
        <f>IF(OR(WEEKDAY(data[[#This Row],[Date]]+data[[#This Row],[Hfin corrigée]],2)=7,COUNTIF(JF,INT(data[[#This Row],[Date]]+data[[#This Row],[Hfin corrigée]]))=1),"oui","non")</f>
        <v>non</v>
      </c>
      <c r="R11" s="44">
        <f>MAX(0,data[[#This Row],[Hfin corrigée]]-MAX(1,data[[#This Row],[Hdébut corrigé]]))-data[[#This Row],[NUIT2.1]]-data[[#This Row],[NUIT2.2]]</f>
        <v>0</v>
      </c>
      <c r="S11" s="44">
        <f>MAX(0,MIN(1+FinNuit,data[[#This Row],[Hfin corrigée]])-MAX(1,data[[#This Row],[Hdébut corrigé]]))</f>
        <v>0</v>
      </c>
      <c r="T11" s="44">
        <f>MAX(0,(data[[#This Row],[Hfin corrigée]]-DebNuit-1))</f>
        <v>0</v>
      </c>
      <c r="U11" s="45">
        <f>IF(data[[#This Row],[Garde / Interv.]]="Intervention",MAX(0,data[[#This Row],[Hfin corrigée]]-SUMPRODUCT((data[Date]=data[[#This Row],[Date]])*(data[Garde / Interv.]="Garde")*data[Hfin corrigée])),0)</f>
        <v>0</v>
      </c>
      <c r="V1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1" s="44">
        <f>MAX(0,IF(data[[#This Row],[Garde / Interv.]]="Intervention",(data[[#This Row],[Fin Dim ou Férié]]="non")*data[[#This Row],[JOUR2]]+(data[[#This Row],[Début Dim ou Férié]]="non")*data[[#This Row],[JOUR1]],0))</f>
        <v>6.4583333333333326E-2</v>
      </c>
      <c r="X11" s="44">
        <f>IF(data[[#This Row],[Garde / Interv.]]="Intervention",(data[[#This Row],[Fin Dim ou Férié]]="oui")*data[[#This Row],[JOUR2]]+(data[[#This Row],[Début Dim ou Férié]]="oui")*data[[#This Row],[JOUR1]],0)</f>
        <v>0</v>
      </c>
      <c r="Y11" s="44">
        <f>MAX(0,IF(data[[#This Row],[Garde / Interv.]]="Intervention",data[[#This Row],[NUIT1.1]]+data[[#This Row],[NUIT1.2]]+data[[#This Row],[NUIT2.1]]+data[[#This Row],[NUIT2.2]],0))</f>
        <v>0</v>
      </c>
      <c r="Z11" s="165"/>
      <c r="AA11" s="44"/>
      <c r="AB11" s="44"/>
      <c r="AC11" s="44"/>
      <c r="AD11" s="44"/>
      <c r="AE11" s="44"/>
      <c r="AF11" s="44"/>
      <c r="AG11" s="44"/>
      <c r="AH11" s="44"/>
      <c r="AI11" s="44"/>
    </row>
    <row r="12" spans="1:35" x14ac:dyDescent="0.35">
      <c r="A12" s="63">
        <v>43476</v>
      </c>
      <c r="B12" s="122" t="str">
        <f>IF(data[[#This Row],[Hdébut garde]]&lt;&gt;"","Garde",IF(data[[#This Row],[Hdébut corrigé]]&lt;&gt;"","Intervention",""))</f>
        <v>Garde</v>
      </c>
      <c r="C12" s="77">
        <v>0.29166666666666669</v>
      </c>
      <c r="D12" s="47">
        <v>0.31736111111111115</v>
      </c>
      <c r="E12" s="39">
        <f>MAX(0,IF(data[[#This Row],[Garde / Interv.]]="Garde",data[[#This Row],[Hfin corrigée]]-data[[#This Row],[Hdébut corrigé]],0))</f>
        <v>1.0256944444444445</v>
      </c>
      <c r="F12" s="78" t="s">
        <v>79</v>
      </c>
      <c r="G12" s="34"/>
      <c r="H12" s="21"/>
      <c r="I12" s="36"/>
      <c r="J12" s="35"/>
      <c r="K12" s="37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12" s="3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1.3173611111111112</v>
      </c>
      <c r="M12" s="38" t="str">
        <f>IF(OR(WEEKDAY(data[[#This Row],[Date]],2)=7,COUNTIF(JF,data[[#This Row],[Date]])=1),"oui","non")</f>
        <v>non</v>
      </c>
      <c r="N12" s="39">
        <f>MAX(0,(MIN(1,data[[#This Row],[Hfin corrigée]])-data[[#This Row],[Hdébut corrigé]])-data[[#This Row],[NUIT1.1]]-data[[#This Row],[NUIT1.2]])</f>
        <v>0.62499999999999989</v>
      </c>
      <c r="O12" s="39">
        <f>IF(data[[#This Row],[Hfin Interv.]]="",0,(
MIN(FinNuit,MIN(1,data[[#This Row],[Hfin corrigée]]))-MIN(FinNuit,data[[#This Row],[Hdébut corrigé]])
))</f>
        <v>0</v>
      </c>
      <c r="P12" s="39">
        <f>MAX(0,(MAX(0,(MIN(1,data[[#This Row],[Hfin corrigée]])-DebNuit))-MAX(0,(data[[#This Row],[Hdébut corrigé]]-DebNuit))))</f>
        <v>8.333333333333337E-2</v>
      </c>
      <c r="Q12" s="38" t="str">
        <f>IF(OR(WEEKDAY(data[[#This Row],[Date]]+data[[#This Row],[Hfin corrigée]],2)=7,COUNTIF(JF,INT(data[[#This Row],[Date]]+data[[#This Row],[Hfin corrigée]]))=1),"oui","non")</f>
        <v>non</v>
      </c>
      <c r="R12" s="39">
        <f>MAX(0,data[[#This Row],[Hfin corrigée]]-MAX(1,data[[#This Row],[Hdébut corrigé]]))-data[[#This Row],[NUIT2.1]]-data[[#This Row],[NUIT2.2]]</f>
        <v>2.5694444444444464E-2</v>
      </c>
      <c r="S12" s="39">
        <f>MAX(0,MIN(1+FinNuit,data[[#This Row],[Hfin corrigée]])-MAX(1,data[[#This Row],[Hdébut corrigé]]))</f>
        <v>0.29166666666666674</v>
      </c>
      <c r="T12" s="39">
        <f>MAX(0,(data[[#This Row],[Hfin corrigée]]-DebNuit-1))</f>
        <v>0</v>
      </c>
      <c r="U12" s="40">
        <f>IF(data[[#This Row],[Garde / Interv.]]="Intervention",MAX(0,data[[#This Row],[Hfin corrigée]]-SUMPRODUCT((data[Date]=data[[#This Row],[Date]])*(data[Garde / Interv.]="Garde")*data[Hfin corrigée])),0)</f>
        <v>0</v>
      </c>
      <c r="V12" s="3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0.80000000000000016</v>
      </c>
      <c r="W12" s="39">
        <f>MAX(0,IF(data[[#This Row],[Garde / Interv.]]="Intervention",(data[[#This Row],[Fin Dim ou Férié]]="non")*data[[#This Row],[JOUR2]]+(data[[#This Row],[Début Dim ou Férié]]="non")*data[[#This Row],[JOUR1]],0))</f>
        <v>0</v>
      </c>
      <c r="X12" s="39">
        <f>IF(data[[#This Row],[Garde / Interv.]]="Intervention",(data[[#This Row],[Fin Dim ou Férié]]="oui")*data[[#This Row],[JOUR2]]+(data[[#This Row],[Début Dim ou Férié]]="oui")*data[[#This Row],[JOUR1]],0)</f>
        <v>0</v>
      </c>
      <c r="Y12" s="39">
        <f>MAX(0,IF(data[[#This Row],[Garde / Interv.]]="Intervention",data[[#This Row],[NUIT1.1]]+data[[#This Row],[NUIT1.2]]+data[[#This Row],[NUIT2.1]]+data[[#This Row],[NUIT2.2]],0))</f>
        <v>0</v>
      </c>
      <c r="Z12" s="165"/>
      <c r="AA12" s="44"/>
      <c r="AB12" s="44"/>
      <c r="AC12" s="44"/>
      <c r="AD12" s="44"/>
      <c r="AE12" s="44"/>
      <c r="AF12" s="44"/>
      <c r="AG12" s="44"/>
      <c r="AH12" s="44"/>
      <c r="AI12" s="44"/>
    </row>
    <row r="13" spans="1:35" x14ac:dyDescent="0.35">
      <c r="A13" s="64">
        <v>43476</v>
      </c>
      <c r="B13" s="122" t="str">
        <f>IF(data[[#This Row],[Hdébut garde]]&lt;&gt;"","Garde",IF(data[[#This Row],[Hdébut corrigé]]&lt;&gt;"","Intervention",""))</f>
        <v>Intervention</v>
      </c>
      <c r="C13" s="79"/>
      <c r="D13" s="56"/>
      <c r="E13" s="47">
        <f>MAX(0,IF(data[[#This Row],[Garde / Interv.]]="Garde",data[[#This Row],[Hfin corrigée]]-data[[#This Row],[Hdébut corrigé]],0))</f>
        <v>0</v>
      </c>
      <c r="F13" s="80"/>
      <c r="G13" s="57"/>
      <c r="H13" s="21" t="s">
        <v>2</v>
      </c>
      <c r="I13" s="59">
        <v>0.69166666666666676</v>
      </c>
      <c r="J13" s="60">
        <v>0.75555555555555554</v>
      </c>
      <c r="K13" s="42">
        <f>IF(data[[#This Row],[Hdébut garde]]&lt;&gt;"",
data[[#This Row],[Hdébut garde]],
data[[#This Row],[Hdébut interv.]]+IF(data[[#This Row],[Hdébut interv.]]&lt;SUMPRODUCT((data[Date]=data[[#This Row],[Date]])*data[Hdébut garde]),1,0)
)</f>
        <v>0.69166666666666676</v>
      </c>
      <c r="L1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0.75555555555555554</v>
      </c>
      <c r="M13" s="43" t="str">
        <f>IF(OR(WEEKDAY(data[[#This Row],[Date]],2)=7,COUNTIF(JF,data[[#This Row],[Date]])=1),"oui","non")</f>
        <v>non</v>
      </c>
      <c r="N13" s="44">
        <f>MAX(0,(MIN(1,data[[#This Row],[Hfin corrigée]])-data[[#This Row],[Hdébut corrigé]])-data[[#This Row],[NUIT1.1]]-data[[#This Row],[NUIT1.2]])</f>
        <v>6.3888888888888773E-2</v>
      </c>
      <c r="O13" s="44">
        <f>IF(data[[#This Row],[Hfin Interv.]]="",0,(
MIN(FinNuit,MIN(1,data[[#This Row],[Hfin corrigée]]))-MIN(FinNuit,data[[#This Row],[Hdébut corrigé]])
))</f>
        <v>0</v>
      </c>
      <c r="P13" s="44">
        <f>MAX(0,(MAX(0,(MIN(1,data[[#This Row],[Hfin corrigée]])-DebNuit))-MAX(0,(data[[#This Row],[Hdébut corrigé]]-DebNuit))))</f>
        <v>0</v>
      </c>
      <c r="Q13" s="43" t="str">
        <f>IF(OR(WEEKDAY(data[[#This Row],[Date]]+data[[#This Row],[Hfin corrigée]],2)=7,COUNTIF(JF,INT(data[[#This Row],[Date]]+data[[#This Row],[Hfin corrigée]]))=1),"oui","non")</f>
        <v>non</v>
      </c>
      <c r="R13" s="44">
        <f>MAX(0,data[[#This Row],[Hfin corrigée]]-MAX(1,data[[#This Row],[Hdébut corrigé]]))-data[[#This Row],[NUIT2.1]]-data[[#This Row],[NUIT2.2]]</f>
        <v>0</v>
      </c>
      <c r="S13" s="44">
        <f>MAX(0,MIN(1+FinNuit,data[[#This Row],[Hfin corrigée]])-MAX(1,data[[#This Row],[Hdébut corrigé]]))</f>
        <v>0</v>
      </c>
      <c r="T13" s="44">
        <f>MAX(0,(data[[#This Row],[Hfin corrigée]]-DebNuit-1))</f>
        <v>0</v>
      </c>
      <c r="U13" s="45">
        <f>IF(data[[#This Row],[Garde / Interv.]]="Intervention",MAX(0,data[[#This Row],[Hfin corrigée]]-SUMPRODUCT((data[Date]=data[[#This Row],[Date]])*(data[Garde / Interv.]="Garde")*data[Hfin corrigée])),0)</f>
        <v>0</v>
      </c>
      <c r="V1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3" s="44">
        <f>MAX(0,IF(data[[#This Row],[Garde / Interv.]]="Intervention",(data[[#This Row],[Fin Dim ou Férié]]="non")*data[[#This Row],[JOUR2]]+(data[[#This Row],[Début Dim ou Férié]]="non")*data[[#This Row],[JOUR1]],0))</f>
        <v>6.3888888888888773E-2</v>
      </c>
      <c r="X13" s="44">
        <f>IF(data[[#This Row],[Garde / Interv.]]="Intervention",(data[[#This Row],[Fin Dim ou Férié]]="oui")*data[[#This Row],[JOUR2]]+(data[[#This Row],[Début Dim ou Férié]]="oui")*data[[#This Row],[JOUR1]],0)</f>
        <v>0</v>
      </c>
      <c r="Y13" s="44">
        <f>MAX(0,IF(data[[#This Row],[Garde / Interv.]]="Intervention",data[[#This Row],[NUIT1.1]]+data[[#This Row],[NUIT1.2]]+data[[#This Row],[NUIT2.1]]+data[[#This Row],[NUIT2.2]],0))</f>
        <v>0</v>
      </c>
      <c r="Z13" s="165"/>
      <c r="AA13" s="44"/>
      <c r="AB13" s="44"/>
      <c r="AC13" s="44"/>
      <c r="AD13" s="44"/>
      <c r="AE13" s="44"/>
      <c r="AF13" s="44"/>
      <c r="AG13" s="44"/>
      <c r="AH13" s="44"/>
      <c r="AI13" s="44"/>
    </row>
    <row r="14" spans="1:35" x14ac:dyDescent="0.35">
      <c r="A14" s="64">
        <v>43476</v>
      </c>
      <c r="B14" s="122" t="str">
        <f>IF(data[[#This Row],[Hdébut garde]]&lt;&gt;"","Garde",IF(data[[#This Row],[Hdébut corrigé]]&lt;&gt;"","Intervention",""))</f>
        <v>Intervention</v>
      </c>
      <c r="C14" s="79"/>
      <c r="D14" s="56"/>
      <c r="E14" s="47">
        <f>MAX(0,IF(data[[#This Row],[Garde / Interv.]]="Garde",data[[#This Row],[Hfin corrigée]]-data[[#This Row],[Hdébut corrigé]],0))</f>
        <v>0</v>
      </c>
      <c r="F14" s="80"/>
      <c r="G14" s="57"/>
      <c r="H14" s="21" t="s">
        <v>2</v>
      </c>
      <c r="I14" s="59">
        <v>0.91736111111111107</v>
      </c>
      <c r="J14" s="60">
        <v>0.97083333333333333</v>
      </c>
      <c r="K14" s="42">
        <f>IF(data[[#This Row],[Hdébut garde]]&lt;&gt;"",
data[[#This Row],[Hdébut garde]],
data[[#This Row],[Hdébut interv.]]+IF(data[[#This Row],[Hdébut interv.]]&lt;SUMPRODUCT((data[Date]=data[[#This Row],[Date]])*data[Hdébut garde]),1,0)
)</f>
        <v>0.91736111111111107</v>
      </c>
      <c r="L1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0.97083333333333333</v>
      </c>
      <c r="M14" s="43" t="str">
        <f>IF(OR(WEEKDAY(data[[#This Row],[Date]],2)=7,COUNTIF(JF,data[[#This Row],[Date]])=1),"oui","non")</f>
        <v>non</v>
      </c>
      <c r="N14" s="44">
        <f>MAX(0,(MIN(1,data[[#This Row],[Hfin corrigée]])-data[[#This Row],[Hdébut corrigé]])-data[[#This Row],[NUIT1.1]]-data[[#This Row],[NUIT1.2]])</f>
        <v>0</v>
      </c>
      <c r="O14" s="44">
        <f>IF(data[[#This Row],[Hfin Interv.]]="",0,(
MIN(FinNuit,MIN(1,data[[#This Row],[Hfin corrigée]]))-MIN(FinNuit,data[[#This Row],[Hdébut corrigé]])
))</f>
        <v>0</v>
      </c>
      <c r="P14" s="44">
        <f>MAX(0,(MAX(0,(MIN(1,data[[#This Row],[Hfin corrigée]])-DebNuit))-MAX(0,(data[[#This Row],[Hdébut corrigé]]-DebNuit))))</f>
        <v>5.3472222222222254E-2</v>
      </c>
      <c r="Q14" s="43" t="str">
        <f>IF(OR(WEEKDAY(data[[#This Row],[Date]]+data[[#This Row],[Hfin corrigée]],2)=7,COUNTIF(JF,INT(data[[#This Row],[Date]]+data[[#This Row],[Hfin corrigée]]))=1),"oui","non")</f>
        <v>non</v>
      </c>
      <c r="R14" s="44">
        <f>MAX(0,data[[#This Row],[Hfin corrigée]]-MAX(1,data[[#This Row],[Hdébut corrigé]]))-data[[#This Row],[NUIT2.1]]-data[[#This Row],[NUIT2.2]]</f>
        <v>0</v>
      </c>
      <c r="S14" s="44">
        <f>MAX(0,MIN(1+FinNuit,data[[#This Row],[Hfin corrigée]])-MAX(1,data[[#This Row],[Hdébut corrigé]]))</f>
        <v>0</v>
      </c>
      <c r="T14" s="44">
        <f>MAX(0,(data[[#This Row],[Hfin corrigée]]-DebNuit-1))</f>
        <v>0</v>
      </c>
      <c r="U14" s="45">
        <f>IF(data[[#This Row],[Garde / Interv.]]="Intervention",MAX(0,data[[#This Row],[Hfin corrigée]]-SUMPRODUCT((data[Date]=data[[#This Row],[Date]])*(data[Garde / Interv.]="Garde")*data[Hfin corrigée])),0)</f>
        <v>0</v>
      </c>
      <c r="V1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4" s="44">
        <f>MAX(0,IF(data[[#This Row],[Garde / Interv.]]="Intervention",(data[[#This Row],[Fin Dim ou Férié]]="non")*data[[#This Row],[JOUR2]]+(data[[#This Row],[Début Dim ou Férié]]="non")*data[[#This Row],[JOUR1]],0))</f>
        <v>0</v>
      </c>
      <c r="X14" s="44">
        <f>IF(data[[#This Row],[Garde / Interv.]]="Intervention",(data[[#This Row],[Fin Dim ou Férié]]="oui")*data[[#This Row],[JOUR2]]+(data[[#This Row],[Début Dim ou Férié]]="oui")*data[[#This Row],[JOUR1]],0)</f>
        <v>0</v>
      </c>
      <c r="Y14" s="44">
        <f>MAX(0,IF(data[[#This Row],[Garde / Interv.]]="Intervention",data[[#This Row],[NUIT1.1]]+data[[#This Row],[NUIT1.2]]+data[[#This Row],[NUIT2.1]]+data[[#This Row],[NUIT2.2]],0))</f>
        <v>5.3472222222222254E-2</v>
      </c>
      <c r="Z14" s="165"/>
      <c r="AA14" s="44"/>
      <c r="AB14" s="44"/>
      <c r="AC14" s="44"/>
      <c r="AD14" s="44"/>
      <c r="AE14" s="44"/>
      <c r="AF14" s="44"/>
      <c r="AG14" s="44"/>
      <c r="AH14" s="44"/>
      <c r="AI14" s="44"/>
    </row>
    <row r="15" spans="1:35" x14ac:dyDescent="0.35">
      <c r="A15" s="64">
        <v>43476</v>
      </c>
      <c r="B15" s="122" t="str">
        <f>IF(data[[#This Row],[Hdébut garde]]&lt;&gt;"","Garde",IF(data[[#This Row],[Hdébut corrigé]]&lt;&gt;"","Intervention",""))</f>
        <v>Intervention</v>
      </c>
      <c r="C15" s="79"/>
      <c r="D15" s="56"/>
      <c r="E15" s="47">
        <f>MAX(0,IF(data[[#This Row],[Garde / Interv.]]="Garde",data[[#This Row],[Hfin corrigée]]-data[[#This Row],[Hdébut corrigé]],0))</f>
        <v>0</v>
      </c>
      <c r="F15" s="80"/>
      <c r="G15" s="57"/>
      <c r="H15" s="21" t="s">
        <v>2</v>
      </c>
      <c r="I15" s="59">
        <v>0.99791666666666667</v>
      </c>
      <c r="J15" s="60">
        <v>4.7916666666666663E-2</v>
      </c>
      <c r="K15" s="42">
        <f>IF(data[[#This Row],[Hdébut garde]]&lt;&gt;"",
data[[#This Row],[Hdébut garde]],
data[[#This Row],[Hdébut interv.]]+IF(data[[#This Row],[Hdébut interv.]]&lt;SUMPRODUCT((data[Date]=data[[#This Row],[Date]])*data[Hdébut garde]),1,0)
)</f>
        <v>0.99791666666666667</v>
      </c>
      <c r="L1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1.0479166666666666</v>
      </c>
      <c r="M15" s="43" t="str">
        <f>IF(OR(WEEKDAY(data[[#This Row],[Date]],2)=7,COUNTIF(JF,data[[#This Row],[Date]])=1),"oui","non")</f>
        <v>non</v>
      </c>
      <c r="N15" s="44">
        <f>MAX(0,(MIN(1,data[[#This Row],[Hfin corrigée]])-data[[#This Row],[Hdébut corrigé]])-data[[#This Row],[NUIT1.1]]-data[[#This Row],[NUIT1.2]])</f>
        <v>0</v>
      </c>
      <c r="O15" s="44">
        <f>IF(data[[#This Row],[Hfin Interv.]]="",0,(
MIN(FinNuit,MIN(1,data[[#This Row],[Hfin corrigée]]))-MIN(FinNuit,data[[#This Row],[Hdébut corrigé]])
))</f>
        <v>0</v>
      </c>
      <c r="P15" s="44">
        <f>MAX(0,(MAX(0,(MIN(1,data[[#This Row],[Hfin corrigée]])-DebNuit))-MAX(0,(data[[#This Row],[Hdébut corrigé]]-DebNuit))))</f>
        <v>2.0833333333333259E-3</v>
      </c>
      <c r="Q15" s="43" t="str">
        <f>IF(OR(WEEKDAY(data[[#This Row],[Date]]+data[[#This Row],[Hfin corrigée]],2)=7,COUNTIF(JF,INT(data[[#This Row],[Date]]+data[[#This Row],[Hfin corrigée]]))=1),"oui","non")</f>
        <v>non</v>
      </c>
      <c r="R15" s="44">
        <f>MAX(0,data[[#This Row],[Hfin corrigée]]-MAX(1,data[[#This Row],[Hdébut corrigé]]))-data[[#This Row],[NUIT2.1]]-data[[#This Row],[NUIT2.2]]</f>
        <v>0</v>
      </c>
      <c r="S15" s="44">
        <f>MAX(0,MIN(1+FinNuit,data[[#This Row],[Hfin corrigée]])-MAX(1,data[[#This Row],[Hdébut corrigé]]))</f>
        <v>4.7916666666666607E-2</v>
      </c>
      <c r="T15" s="44">
        <f>MAX(0,(data[[#This Row],[Hfin corrigée]]-DebNuit-1))</f>
        <v>0</v>
      </c>
      <c r="U15" s="45">
        <f>IF(data[[#This Row],[Garde / Interv.]]="Intervention",MAX(0,data[[#This Row],[Hfin corrigée]]-SUMPRODUCT((data[Date]=data[[#This Row],[Date]])*(data[Garde / Interv.]="Garde")*data[Hfin corrigée])),0)</f>
        <v>0</v>
      </c>
      <c r="V1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5" s="44">
        <f>MAX(0,IF(data[[#This Row],[Garde / Interv.]]="Intervention",(data[[#This Row],[Fin Dim ou Férié]]="non")*data[[#This Row],[JOUR2]]+(data[[#This Row],[Début Dim ou Férié]]="non")*data[[#This Row],[JOUR1]],0))</f>
        <v>0</v>
      </c>
      <c r="X15" s="44">
        <f>IF(data[[#This Row],[Garde / Interv.]]="Intervention",(data[[#This Row],[Fin Dim ou Férié]]="oui")*data[[#This Row],[JOUR2]]+(data[[#This Row],[Début Dim ou Férié]]="oui")*data[[#This Row],[JOUR1]],0)</f>
        <v>0</v>
      </c>
      <c r="Y15" s="44">
        <f>MAX(0,IF(data[[#This Row],[Garde / Interv.]]="Intervention",data[[#This Row],[NUIT1.1]]+data[[#This Row],[NUIT1.2]]+data[[#This Row],[NUIT2.1]]+data[[#This Row],[NUIT2.2]],0))</f>
        <v>4.9999999999999933E-2</v>
      </c>
      <c r="Z15" s="165"/>
      <c r="AA15" s="44"/>
      <c r="AB15" s="44"/>
      <c r="AC15" s="44"/>
      <c r="AD15" s="44"/>
      <c r="AE15" s="44"/>
      <c r="AF15" s="44"/>
      <c r="AG15" s="44"/>
      <c r="AH15" s="44"/>
      <c r="AI15" s="44"/>
    </row>
    <row r="16" spans="1:35" x14ac:dyDescent="0.35">
      <c r="A16" s="64">
        <v>43476</v>
      </c>
      <c r="B16" s="122" t="str">
        <f>IF(data[[#This Row],[Hdébut garde]]&lt;&gt;"","Garde",IF(data[[#This Row],[Hdébut corrigé]]&lt;&gt;"","Intervention",""))</f>
        <v>Intervention</v>
      </c>
      <c r="C16" s="79"/>
      <c r="D16" s="56"/>
      <c r="E16" s="47">
        <f>MAX(0,IF(data[[#This Row],[Garde / Interv.]]="Garde",data[[#This Row],[Hfin corrigée]]-data[[#This Row],[Hdébut corrigé]],0))</f>
        <v>0</v>
      </c>
      <c r="F16" s="80"/>
      <c r="G16" s="57"/>
      <c r="H16" s="21" t="s">
        <v>2</v>
      </c>
      <c r="I16" s="59">
        <v>0.2590277777777778</v>
      </c>
      <c r="J16" s="60">
        <v>0.31736111111111115</v>
      </c>
      <c r="K16" s="42">
        <f>IF(data[[#This Row],[Hdébut garde]]&lt;&gt;"",
data[[#This Row],[Hdébut garde]],
data[[#This Row],[Hdébut interv.]]+IF(data[[#This Row],[Hdébut interv.]]&lt;SUMPRODUCT((data[Date]=data[[#This Row],[Date]])*data[Hdébut garde]),1,0)
)</f>
        <v>1.2590277777777779</v>
      </c>
      <c r="L1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1.3173611111111112</v>
      </c>
      <c r="M16" s="43" t="str">
        <f>IF(OR(WEEKDAY(data[[#This Row],[Date]],2)=7,COUNTIF(JF,data[[#This Row],[Date]])=1),"oui","non")</f>
        <v>non</v>
      </c>
      <c r="N16" s="44">
        <f>MAX(0,(MIN(1,data[[#This Row],[Hfin corrigée]])-data[[#This Row],[Hdébut corrigé]])-data[[#This Row],[NUIT1.1]]-data[[#This Row],[NUIT1.2]])</f>
        <v>0</v>
      </c>
      <c r="O16" s="44">
        <f>IF(data[[#This Row],[Hfin Interv.]]="",0,(
MIN(FinNuit,MIN(1,data[[#This Row],[Hfin corrigée]]))-MIN(FinNuit,data[[#This Row],[Hdébut corrigé]])
))</f>
        <v>0</v>
      </c>
      <c r="P16" s="44">
        <f>MAX(0,(MAX(0,(MIN(1,data[[#This Row],[Hfin corrigée]])-DebNuit))-MAX(0,(data[[#This Row],[Hdébut corrigé]]-DebNuit))))</f>
        <v>0</v>
      </c>
      <c r="Q16" s="43" t="str">
        <f>IF(OR(WEEKDAY(data[[#This Row],[Date]]+data[[#This Row],[Hfin corrigée]],2)=7,COUNTIF(JF,INT(data[[#This Row],[Date]]+data[[#This Row],[Hfin corrigée]]))=1),"oui","non")</f>
        <v>non</v>
      </c>
      <c r="R16" s="44">
        <f>MAX(0,data[[#This Row],[Hfin corrigée]]-MAX(1,data[[#This Row],[Hdébut corrigé]]))-data[[#This Row],[NUIT2.1]]-data[[#This Row],[NUIT2.2]]</f>
        <v>2.5694444444444464E-2</v>
      </c>
      <c r="S16" s="44">
        <f>MAX(0,MIN(1+FinNuit,data[[#This Row],[Hfin corrigée]])-MAX(1,data[[#This Row],[Hdébut corrigé]]))</f>
        <v>3.2638888888888884E-2</v>
      </c>
      <c r="T16" s="44">
        <f>MAX(0,(data[[#This Row],[Hfin corrigée]]-DebNuit-1))</f>
        <v>0</v>
      </c>
      <c r="U16" s="45">
        <f>IF(data[[#This Row],[Garde / Interv.]]="Intervention",MAX(0,data[[#This Row],[Hfin corrigée]]-SUMPRODUCT((data[Date]=data[[#This Row],[Date]])*(data[Garde / Interv.]="Garde")*data[Hfin corrigée])),0)</f>
        <v>0</v>
      </c>
      <c r="V1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6" s="44">
        <f>MAX(0,IF(data[[#This Row],[Garde / Interv.]]="Intervention",(data[[#This Row],[Fin Dim ou Férié]]="non")*data[[#This Row],[JOUR2]]+(data[[#This Row],[Début Dim ou Férié]]="non")*data[[#This Row],[JOUR1]],0))</f>
        <v>2.5694444444444464E-2</v>
      </c>
      <c r="X16" s="44">
        <f>IF(data[[#This Row],[Garde / Interv.]]="Intervention",(data[[#This Row],[Fin Dim ou Férié]]="oui")*data[[#This Row],[JOUR2]]+(data[[#This Row],[Début Dim ou Férié]]="oui")*data[[#This Row],[JOUR1]],0)</f>
        <v>0</v>
      </c>
      <c r="Y16" s="44">
        <f>MAX(0,IF(data[[#This Row],[Garde / Interv.]]="Intervention",data[[#This Row],[NUIT1.1]]+data[[#This Row],[NUIT1.2]]+data[[#This Row],[NUIT2.1]]+data[[#This Row],[NUIT2.2]],0))</f>
        <v>3.2638888888888884E-2</v>
      </c>
      <c r="Z16" s="165"/>
      <c r="AA16" s="44"/>
      <c r="AB16" s="44"/>
      <c r="AC16" s="44"/>
      <c r="AD16" s="44"/>
      <c r="AE16" s="44"/>
      <c r="AF16" s="44"/>
      <c r="AG16" s="44"/>
      <c r="AH16" s="44"/>
      <c r="AI16" s="44"/>
    </row>
    <row r="17" spans="1:35" x14ac:dyDescent="0.35">
      <c r="A17" s="63">
        <v>43483</v>
      </c>
      <c r="B17" s="122" t="str">
        <f>IF(data[[#This Row],[Hdébut garde]]&lt;&gt;"","Garde",IF(data[[#This Row],[Hdébut corrigé]]&lt;&gt;"","Intervention",""))</f>
        <v>Garde</v>
      </c>
      <c r="C17" s="77">
        <v>0.29166666666666669</v>
      </c>
      <c r="D17" s="47">
        <v>0.29166666666666669</v>
      </c>
      <c r="E17" s="39">
        <f>MAX(0,IF(data[[#This Row],[Garde / Interv.]]="Garde",data[[#This Row],[Hfin corrigée]]-data[[#This Row],[Hdébut corrigé]],0))</f>
        <v>1</v>
      </c>
      <c r="F17" s="78"/>
      <c r="G17" s="34"/>
      <c r="H17" s="21"/>
      <c r="I17" s="36"/>
      <c r="J17" s="35"/>
      <c r="K17" s="37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17" s="3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17" s="38" t="str">
        <f>IF(OR(WEEKDAY(data[[#This Row],[Date]],2)=7,COUNTIF(JF,data[[#This Row],[Date]])=1),"oui","non")</f>
        <v>non</v>
      </c>
      <c r="N17" s="39">
        <f>MAX(0,(MIN(1,data[[#This Row],[Hfin corrigée]])-data[[#This Row],[Hdébut corrigé]])-data[[#This Row],[NUIT1.1]]-data[[#This Row],[NUIT1.2]])</f>
        <v>0.62499999999999989</v>
      </c>
      <c r="O17" s="39">
        <f>IF(data[[#This Row],[Hfin Interv.]]="",0,(
MIN(FinNuit,MIN(1,data[[#This Row],[Hfin corrigée]]))-MIN(FinNuit,data[[#This Row],[Hdébut corrigé]])
))</f>
        <v>0</v>
      </c>
      <c r="P17" s="39">
        <f>MAX(0,(MAX(0,(MIN(1,data[[#This Row],[Hfin corrigée]])-DebNuit))-MAX(0,(data[[#This Row],[Hdébut corrigé]]-DebNuit))))</f>
        <v>8.333333333333337E-2</v>
      </c>
      <c r="Q17" s="38" t="str">
        <f>IF(OR(WEEKDAY(data[[#This Row],[Date]]+data[[#This Row],[Hfin corrigée]],2)=7,COUNTIF(JF,INT(data[[#This Row],[Date]]+data[[#This Row],[Hfin corrigée]]))=1),"oui","non")</f>
        <v>non</v>
      </c>
      <c r="R17" s="39">
        <f>MAX(0,data[[#This Row],[Hfin corrigée]]-MAX(1,data[[#This Row],[Hdébut corrigé]]))-data[[#This Row],[NUIT2.1]]-data[[#This Row],[NUIT2.2]]</f>
        <v>0</v>
      </c>
      <c r="S17" s="39">
        <f>MAX(0,MIN(1+FinNuit,data[[#This Row],[Hfin corrigée]])-MAX(1,data[[#This Row],[Hdébut corrigé]]))</f>
        <v>0.29166666666666674</v>
      </c>
      <c r="T17" s="39">
        <f>MAX(0,(data[[#This Row],[Hfin corrigée]]-DebNuit-1))</f>
        <v>0</v>
      </c>
      <c r="U17" s="40">
        <f>IF(data[[#This Row],[Garde / Interv.]]="Intervention",MAX(0,data[[#This Row],[Hfin corrigée]]-SUMPRODUCT((data[Date]=data[[#This Row],[Date]])*(data[Garde / Interv.]="Garde")*data[Hfin corrigée])),0)</f>
        <v>0</v>
      </c>
      <c r="V17" s="3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0.62986111111111109</v>
      </c>
      <c r="W17" s="39">
        <f>MAX(0,IF(data[[#This Row],[Garde / Interv.]]="Intervention",(data[[#This Row],[Fin Dim ou Férié]]="non")*data[[#This Row],[JOUR2]]+(data[[#This Row],[Début Dim ou Férié]]="non")*data[[#This Row],[JOUR1]],0))</f>
        <v>0</v>
      </c>
      <c r="X17" s="39">
        <f>IF(data[[#This Row],[Garde / Interv.]]="Intervention",(data[[#This Row],[Fin Dim ou Férié]]="oui")*data[[#This Row],[JOUR2]]+(data[[#This Row],[Début Dim ou Férié]]="oui")*data[[#This Row],[JOUR1]],0)</f>
        <v>0</v>
      </c>
      <c r="Y17" s="39">
        <f>MAX(0,IF(data[[#This Row],[Garde / Interv.]]="Intervention",data[[#This Row],[NUIT1.1]]+data[[#This Row],[NUIT1.2]]+data[[#This Row],[NUIT2.1]]+data[[#This Row],[NUIT2.2]],0))</f>
        <v>0</v>
      </c>
      <c r="Z17" s="165"/>
      <c r="AA17" s="44"/>
      <c r="AB17" s="44"/>
      <c r="AC17" s="44"/>
      <c r="AD17" s="44"/>
      <c r="AE17" s="44"/>
      <c r="AF17" s="44"/>
      <c r="AG17" s="44"/>
      <c r="AH17" s="44"/>
      <c r="AI17" s="44"/>
    </row>
    <row r="18" spans="1:35" x14ac:dyDescent="0.35">
      <c r="A18" s="64">
        <v>43483</v>
      </c>
      <c r="B18" s="122" t="str">
        <f>IF(data[[#This Row],[Hdébut garde]]&lt;&gt;"","Garde",IF(data[[#This Row],[Hdébut corrigé]]&lt;&gt;"","Intervention",""))</f>
        <v>Intervention</v>
      </c>
      <c r="C18" s="79"/>
      <c r="D18" s="56"/>
      <c r="E18" s="47">
        <f>MAX(0,IF(data[[#This Row],[Garde / Interv.]]="Garde",data[[#This Row],[Hfin corrigée]]-data[[#This Row],[Hdébut corrigé]],0))</f>
        <v>0</v>
      </c>
      <c r="F18" s="80"/>
      <c r="G18" s="57"/>
      <c r="H18" s="21" t="s">
        <v>2</v>
      </c>
      <c r="I18" s="59">
        <v>0.44444444444444442</v>
      </c>
      <c r="J18" s="60">
        <v>0.46319444444444446</v>
      </c>
      <c r="K18" s="42">
        <f>IF(data[[#This Row],[Hdébut garde]]&lt;&gt;"",
data[[#This Row],[Hdébut garde]],
data[[#This Row],[Hdébut interv.]]+IF(data[[#This Row],[Hdébut interv.]]&lt;SUMPRODUCT((data[Date]=data[[#This Row],[Date]])*data[Hdébut garde]),1,0)
)</f>
        <v>0.44444444444444442</v>
      </c>
      <c r="L1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0.46319444444444446</v>
      </c>
      <c r="M18" s="43" t="str">
        <f>IF(OR(WEEKDAY(data[[#This Row],[Date]],2)=7,COUNTIF(JF,data[[#This Row],[Date]])=1),"oui","non")</f>
        <v>non</v>
      </c>
      <c r="N18" s="44">
        <f>MAX(0,(MIN(1,data[[#This Row],[Hfin corrigée]])-data[[#This Row],[Hdébut corrigé]])-data[[#This Row],[NUIT1.1]]-data[[#This Row],[NUIT1.2]])</f>
        <v>1.8750000000000044E-2</v>
      </c>
      <c r="O18" s="44">
        <f>IF(data[[#This Row],[Hfin Interv.]]="",0,(
MIN(FinNuit,MIN(1,data[[#This Row],[Hfin corrigée]]))-MIN(FinNuit,data[[#This Row],[Hdébut corrigé]])
))</f>
        <v>0</v>
      </c>
      <c r="P18" s="44">
        <f>MAX(0,(MAX(0,(MIN(1,data[[#This Row],[Hfin corrigée]])-DebNuit))-MAX(0,(data[[#This Row],[Hdébut corrigé]]-DebNuit))))</f>
        <v>0</v>
      </c>
      <c r="Q18" s="43" t="str">
        <f>IF(OR(WEEKDAY(data[[#This Row],[Date]]+data[[#This Row],[Hfin corrigée]],2)=7,COUNTIF(JF,INT(data[[#This Row],[Date]]+data[[#This Row],[Hfin corrigée]]))=1),"oui","non")</f>
        <v>non</v>
      </c>
      <c r="R18" s="44">
        <f>MAX(0,data[[#This Row],[Hfin corrigée]]-MAX(1,data[[#This Row],[Hdébut corrigé]]))-data[[#This Row],[NUIT2.1]]-data[[#This Row],[NUIT2.2]]</f>
        <v>0</v>
      </c>
      <c r="S18" s="44">
        <f>MAX(0,MIN(1+FinNuit,data[[#This Row],[Hfin corrigée]])-MAX(1,data[[#This Row],[Hdébut corrigé]]))</f>
        <v>0</v>
      </c>
      <c r="T18" s="44">
        <f>MAX(0,(data[[#This Row],[Hfin corrigée]]-DebNuit-1))</f>
        <v>0</v>
      </c>
      <c r="U18" s="45">
        <f>IF(data[[#This Row],[Garde / Interv.]]="Intervention",MAX(0,data[[#This Row],[Hfin corrigée]]-SUMPRODUCT((data[Date]=data[[#This Row],[Date]])*(data[Garde / Interv.]="Garde")*data[Hfin corrigée])),0)</f>
        <v>0</v>
      </c>
      <c r="V1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8" s="44">
        <f>MAX(0,IF(data[[#This Row],[Garde / Interv.]]="Intervention",(data[[#This Row],[Fin Dim ou Férié]]="non")*data[[#This Row],[JOUR2]]+(data[[#This Row],[Début Dim ou Férié]]="non")*data[[#This Row],[JOUR1]],0))</f>
        <v>1.8750000000000044E-2</v>
      </c>
      <c r="X18" s="44">
        <f>IF(data[[#This Row],[Garde / Interv.]]="Intervention",(data[[#This Row],[Fin Dim ou Férié]]="oui")*data[[#This Row],[JOUR2]]+(data[[#This Row],[Début Dim ou Férié]]="oui")*data[[#This Row],[JOUR1]],0)</f>
        <v>0</v>
      </c>
      <c r="Y18" s="44">
        <f>MAX(0,IF(data[[#This Row],[Garde / Interv.]]="Intervention",data[[#This Row],[NUIT1.1]]+data[[#This Row],[NUIT1.2]]+data[[#This Row],[NUIT2.1]]+data[[#This Row],[NUIT2.2]],0))</f>
        <v>0</v>
      </c>
      <c r="Z18" s="165"/>
      <c r="AA18" s="44"/>
      <c r="AB18" s="44"/>
      <c r="AC18" s="44"/>
      <c r="AD18" s="44"/>
      <c r="AE18" s="44"/>
      <c r="AF18" s="44"/>
      <c r="AG18" s="44"/>
      <c r="AH18" s="44"/>
      <c r="AI18" s="44"/>
    </row>
    <row r="19" spans="1:35" x14ac:dyDescent="0.35">
      <c r="A19" s="64">
        <v>43483</v>
      </c>
      <c r="B19" s="122" t="str">
        <f>IF(data[[#This Row],[Hdébut garde]]&lt;&gt;"","Garde",IF(data[[#This Row],[Hdébut corrigé]]&lt;&gt;"","Intervention",""))</f>
        <v>Intervention</v>
      </c>
      <c r="C19" s="79"/>
      <c r="D19" s="56"/>
      <c r="E19" s="47">
        <f>MAX(0,IF(data[[#This Row],[Garde / Interv.]]="Garde",data[[#This Row],[Hfin corrigée]]-data[[#This Row],[Hdébut corrigé]],0))</f>
        <v>0</v>
      </c>
      <c r="F19" s="80"/>
      <c r="G19" s="57"/>
      <c r="H19" s="21" t="s">
        <v>2</v>
      </c>
      <c r="I19" s="59">
        <v>0.46319444444444446</v>
      </c>
      <c r="J19" s="60">
        <v>0.51458333333333328</v>
      </c>
      <c r="K19" s="42">
        <f>IF(data[[#This Row],[Hdébut garde]]&lt;&gt;"",
data[[#This Row],[Hdébut garde]],
data[[#This Row],[Hdébut interv.]]+IF(data[[#This Row],[Hdébut interv.]]&lt;SUMPRODUCT((data[Date]=data[[#This Row],[Date]])*data[Hdébut garde]),1,0)
)</f>
        <v>0.46319444444444446</v>
      </c>
      <c r="L1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0.51458333333333328</v>
      </c>
      <c r="M19" s="43" t="str">
        <f>IF(OR(WEEKDAY(data[[#This Row],[Date]],2)=7,COUNTIF(JF,data[[#This Row],[Date]])=1),"oui","non")</f>
        <v>non</v>
      </c>
      <c r="N19" s="44">
        <f>MAX(0,(MIN(1,data[[#This Row],[Hfin corrigée]])-data[[#This Row],[Hdébut corrigé]])-data[[#This Row],[NUIT1.1]]-data[[#This Row],[NUIT1.2]])</f>
        <v>5.1388888888888817E-2</v>
      </c>
      <c r="O19" s="44">
        <f>IF(data[[#This Row],[Hfin Interv.]]="",0,(
MIN(FinNuit,MIN(1,data[[#This Row],[Hfin corrigée]]))-MIN(FinNuit,data[[#This Row],[Hdébut corrigé]])
))</f>
        <v>0</v>
      </c>
      <c r="P19" s="44">
        <f>MAX(0,(MAX(0,(MIN(1,data[[#This Row],[Hfin corrigée]])-DebNuit))-MAX(0,(data[[#This Row],[Hdébut corrigé]]-DebNuit))))</f>
        <v>0</v>
      </c>
      <c r="Q19" s="43" t="str">
        <f>IF(OR(WEEKDAY(data[[#This Row],[Date]]+data[[#This Row],[Hfin corrigée]],2)=7,COUNTIF(JF,INT(data[[#This Row],[Date]]+data[[#This Row],[Hfin corrigée]]))=1),"oui","non")</f>
        <v>non</v>
      </c>
      <c r="R19" s="44">
        <f>MAX(0,data[[#This Row],[Hfin corrigée]]-MAX(1,data[[#This Row],[Hdébut corrigé]]))-data[[#This Row],[NUIT2.1]]-data[[#This Row],[NUIT2.2]]</f>
        <v>0</v>
      </c>
      <c r="S19" s="44">
        <f>MAX(0,MIN(1+FinNuit,data[[#This Row],[Hfin corrigée]])-MAX(1,data[[#This Row],[Hdébut corrigé]]))</f>
        <v>0</v>
      </c>
      <c r="T19" s="44">
        <f>MAX(0,(data[[#This Row],[Hfin corrigée]]-DebNuit-1))</f>
        <v>0</v>
      </c>
      <c r="U19" s="45">
        <f>IF(data[[#This Row],[Garde / Interv.]]="Intervention",MAX(0,data[[#This Row],[Hfin corrigée]]-SUMPRODUCT((data[Date]=data[[#This Row],[Date]])*(data[Garde / Interv.]="Garde")*data[Hfin corrigée])),0)</f>
        <v>0</v>
      </c>
      <c r="V1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9" s="44">
        <f>MAX(0,IF(data[[#This Row],[Garde / Interv.]]="Intervention",(data[[#This Row],[Fin Dim ou Férié]]="non")*data[[#This Row],[JOUR2]]+(data[[#This Row],[Début Dim ou Férié]]="non")*data[[#This Row],[JOUR1]],0))</f>
        <v>5.1388888888888817E-2</v>
      </c>
      <c r="X19" s="44">
        <f>IF(data[[#This Row],[Garde / Interv.]]="Intervention",(data[[#This Row],[Fin Dim ou Férié]]="oui")*data[[#This Row],[JOUR2]]+(data[[#This Row],[Début Dim ou Férié]]="oui")*data[[#This Row],[JOUR1]],0)</f>
        <v>0</v>
      </c>
      <c r="Y19" s="44">
        <f>MAX(0,IF(data[[#This Row],[Garde / Interv.]]="Intervention",data[[#This Row],[NUIT1.1]]+data[[#This Row],[NUIT1.2]]+data[[#This Row],[NUIT2.1]]+data[[#This Row],[NUIT2.2]],0))</f>
        <v>0</v>
      </c>
      <c r="Z19" s="165"/>
      <c r="AA19" s="44"/>
      <c r="AB19" s="44"/>
      <c r="AC19" s="44"/>
      <c r="AD19" s="44"/>
      <c r="AE19" s="44"/>
      <c r="AF19" s="44"/>
      <c r="AG19" s="44"/>
      <c r="AH19" s="44"/>
      <c r="AI19" s="44"/>
    </row>
    <row r="20" spans="1:35" x14ac:dyDescent="0.35">
      <c r="A20" s="64">
        <v>43483</v>
      </c>
      <c r="B20" s="122" t="str">
        <f>IF(data[[#This Row],[Hdébut garde]]&lt;&gt;"","Garde",IF(data[[#This Row],[Hdébut corrigé]]&lt;&gt;"","Intervention",""))</f>
        <v>Intervention</v>
      </c>
      <c r="C20" s="79"/>
      <c r="D20" s="56"/>
      <c r="E20" s="47">
        <f>MAX(0,IF(data[[#This Row],[Garde / Interv.]]="Garde",data[[#This Row],[Hfin corrigée]]-data[[#This Row],[Hdébut corrigé]],0))</f>
        <v>0</v>
      </c>
      <c r="F20" s="80"/>
      <c r="G20" s="57"/>
      <c r="H20" s="21" t="s">
        <v>2</v>
      </c>
      <c r="I20" s="59">
        <v>0.51458333333333328</v>
      </c>
      <c r="J20" s="60">
        <v>0.57708333333333328</v>
      </c>
      <c r="K20" s="42">
        <f>IF(data[[#This Row],[Hdébut garde]]&lt;&gt;"",
data[[#This Row],[Hdébut garde]],
data[[#This Row],[Hdébut interv.]]+IF(data[[#This Row],[Hdébut interv.]]&lt;SUMPRODUCT((data[Date]=data[[#This Row],[Date]])*data[Hdébut garde]),1,0)
)</f>
        <v>0.51458333333333328</v>
      </c>
      <c r="L2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0.57708333333333328</v>
      </c>
      <c r="M20" s="43" t="str">
        <f>IF(OR(WEEKDAY(data[[#This Row],[Date]],2)=7,COUNTIF(JF,data[[#This Row],[Date]])=1),"oui","non")</f>
        <v>non</v>
      </c>
      <c r="N20" s="44">
        <f>MAX(0,(MIN(1,data[[#This Row],[Hfin corrigée]])-data[[#This Row],[Hdébut corrigé]])-data[[#This Row],[NUIT1.1]]-data[[#This Row],[NUIT1.2]])</f>
        <v>6.25E-2</v>
      </c>
      <c r="O20" s="44">
        <f>IF(data[[#This Row],[Hfin Interv.]]="",0,(
MIN(FinNuit,MIN(1,data[[#This Row],[Hfin corrigée]]))-MIN(FinNuit,data[[#This Row],[Hdébut corrigé]])
))</f>
        <v>0</v>
      </c>
      <c r="P20" s="44">
        <f>MAX(0,(MAX(0,(MIN(1,data[[#This Row],[Hfin corrigée]])-DebNuit))-MAX(0,(data[[#This Row],[Hdébut corrigé]]-DebNuit))))</f>
        <v>0</v>
      </c>
      <c r="Q20" s="43" t="str">
        <f>IF(OR(WEEKDAY(data[[#This Row],[Date]]+data[[#This Row],[Hfin corrigée]],2)=7,COUNTIF(JF,INT(data[[#This Row],[Date]]+data[[#This Row],[Hfin corrigée]]))=1),"oui","non")</f>
        <v>non</v>
      </c>
      <c r="R20" s="44">
        <f>MAX(0,data[[#This Row],[Hfin corrigée]]-MAX(1,data[[#This Row],[Hdébut corrigé]]))-data[[#This Row],[NUIT2.1]]-data[[#This Row],[NUIT2.2]]</f>
        <v>0</v>
      </c>
      <c r="S20" s="44">
        <f>MAX(0,MIN(1+FinNuit,data[[#This Row],[Hfin corrigée]])-MAX(1,data[[#This Row],[Hdébut corrigé]]))</f>
        <v>0</v>
      </c>
      <c r="T20" s="44">
        <f>MAX(0,(data[[#This Row],[Hfin corrigée]]-DebNuit-1))</f>
        <v>0</v>
      </c>
      <c r="U20" s="45">
        <f>IF(data[[#This Row],[Garde / Interv.]]="Intervention",MAX(0,data[[#This Row],[Hfin corrigée]]-SUMPRODUCT((data[Date]=data[[#This Row],[Date]])*(data[Garde / Interv.]="Garde")*data[Hfin corrigée])),0)</f>
        <v>0</v>
      </c>
      <c r="V2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0" s="44">
        <f>MAX(0,IF(data[[#This Row],[Garde / Interv.]]="Intervention",(data[[#This Row],[Fin Dim ou Férié]]="non")*data[[#This Row],[JOUR2]]+(data[[#This Row],[Début Dim ou Férié]]="non")*data[[#This Row],[JOUR1]],0))</f>
        <v>6.25E-2</v>
      </c>
      <c r="X20" s="44">
        <f>IF(data[[#This Row],[Garde / Interv.]]="Intervention",(data[[#This Row],[Fin Dim ou Férié]]="oui")*data[[#This Row],[JOUR2]]+(data[[#This Row],[Début Dim ou Férié]]="oui")*data[[#This Row],[JOUR1]],0)</f>
        <v>0</v>
      </c>
      <c r="Y20" s="44">
        <f>MAX(0,IF(data[[#This Row],[Garde / Interv.]]="Intervention",data[[#This Row],[NUIT1.1]]+data[[#This Row],[NUIT1.2]]+data[[#This Row],[NUIT2.1]]+data[[#This Row],[NUIT2.2]],0))</f>
        <v>0</v>
      </c>
      <c r="Z20" s="165"/>
      <c r="AA20" s="44"/>
      <c r="AB20" s="44"/>
      <c r="AC20" s="44"/>
      <c r="AD20" s="44"/>
      <c r="AE20" s="44"/>
      <c r="AF20" s="44"/>
      <c r="AG20" s="44"/>
      <c r="AH20" s="44"/>
      <c r="AI20" s="44"/>
    </row>
    <row r="21" spans="1:35" x14ac:dyDescent="0.35">
      <c r="A21" s="64">
        <v>43483</v>
      </c>
      <c r="B21" s="122" t="str">
        <f>IF(data[[#This Row],[Hdébut garde]]&lt;&gt;"","Garde",IF(data[[#This Row],[Hdébut corrigé]]&lt;&gt;"","Intervention",""))</f>
        <v>Intervention</v>
      </c>
      <c r="C21" s="79"/>
      <c r="D21" s="56"/>
      <c r="E21" s="47">
        <f>MAX(0,IF(data[[#This Row],[Garde / Interv.]]="Garde",data[[#This Row],[Hfin corrigée]]-data[[#This Row],[Hdébut corrigé]],0))</f>
        <v>0</v>
      </c>
      <c r="F21" s="80"/>
      <c r="G21" s="57"/>
      <c r="H21" s="58" t="s">
        <v>3</v>
      </c>
      <c r="I21" s="59">
        <v>0.66111111111111109</v>
      </c>
      <c r="J21" s="60">
        <v>0.7993055555555556</v>
      </c>
      <c r="K21" s="42">
        <f>IF(data[[#This Row],[Hdébut garde]]&lt;&gt;"",
data[[#This Row],[Hdébut garde]],
data[[#This Row],[Hdébut interv.]]+IF(data[[#This Row],[Hdébut interv.]]&lt;SUMPRODUCT((data[Date]=data[[#This Row],[Date]])*data[Hdébut garde]),1,0)
)</f>
        <v>0.66111111111111109</v>
      </c>
      <c r="L2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0.7993055555555556</v>
      </c>
      <c r="M21" s="43" t="str">
        <f>IF(OR(WEEKDAY(data[[#This Row],[Date]],2)=7,COUNTIF(JF,data[[#This Row],[Date]])=1),"oui","non")</f>
        <v>non</v>
      </c>
      <c r="N21" s="44">
        <f>MAX(0,(MIN(1,data[[#This Row],[Hfin corrigée]])-data[[#This Row],[Hdébut corrigé]])-data[[#This Row],[NUIT1.1]]-data[[#This Row],[NUIT1.2]])</f>
        <v>0.13819444444444451</v>
      </c>
      <c r="O21" s="44">
        <f>IF(data[[#This Row],[Hfin Interv.]]="",0,(
MIN(FinNuit,MIN(1,data[[#This Row],[Hfin corrigée]]))-MIN(FinNuit,data[[#This Row],[Hdébut corrigé]])
))</f>
        <v>0</v>
      </c>
      <c r="P21" s="44">
        <f>MAX(0,(MAX(0,(MIN(1,data[[#This Row],[Hfin corrigée]])-DebNuit))-MAX(0,(data[[#This Row],[Hdébut corrigé]]-DebNuit))))</f>
        <v>0</v>
      </c>
      <c r="Q21" s="43" t="str">
        <f>IF(OR(WEEKDAY(data[[#This Row],[Date]]+data[[#This Row],[Hfin corrigée]],2)=7,COUNTIF(JF,INT(data[[#This Row],[Date]]+data[[#This Row],[Hfin corrigée]]))=1),"oui","non")</f>
        <v>non</v>
      </c>
      <c r="R21" s="44">
        <f>MAX(0,data[[#This Row],[Hfin corrigée]]-MAX(1,data[[#This Row],[Hdébut corrigé]]))-data[[#This Row],[NUIT2.1]]-data[[#This Row],[NUIT2.2]]</f>
        <v>0</v>
      </c>
      <c r="S21" s="44">
        <f>MAX(0,MIN(1+FinNuit,data[[#This Row],[Hfin corrigée]])-MAX(1,data[[#This Row],[Hdébut corrigé]]))</f>
        <v>0</v>
      </c>
      <c r="T21" s="44">
        <f>MAX(0,(data[[#This Row],[Hfin corrigée]]-DebNuit-1))</f>
        <v>0</v>
      </c>
      <c r="U21" s="45">
        <f>IF(data[[#This Row],[Garde / Interv.]]="Intervention",MAX(0,data[[#This Row],[Hfin corrigée]]-SUMPRODUCT((data[Date]=data[[#This Row],[Date]])*(data[Garde / Interv.]="Garde")*data[Hfin corrigée])),0)</f>
        <v>0</v>
      </c>
      <c r="V2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1" s="44">
        <f>MAX(0,IF(data[[#This Row],[Garde / Interv.]]="Intervention",(data[[#This Row],[Fin Dim ou Férié]]="non")*data[[#This Row],[JOUR2]]+(data[[#This Row],[Début Dim ou Férié]]="non")*data[[#This Row],[JOUR1]],0))</f>
        <v>0.13819444444444451</v>
      </c>
      <c r="X21" s="44">
        <f>IF(data[[#This Row],[Garde / Interv.]]="Intervention",(data[[#This Row],[Fin Dim ou Férié]]="oui")*data[[#This Row],[JOUR2]]+(data[[#This Row],[Début Dim ou Férié]]="oui")*data[[#This Row],[JOUR1]],0)</f>
        <v>0</v>
      </c>
      <c r="Y21" s="44">
        <f>MAX(0,IF(data[[#This Row],[Garde / Interv.]]="Intervention",data[[#This Row],[NUIT1.1]]+data[[#This Row],[NUIT1.2]]+data[[#This Row],[NUIT2.1]]+data[[#This Row],[NUIT2.2]],0))</f>
        <v>0</v>
      </c>
      <c r="Z21" s="165"/>
      <c r="AA21" s="44"/>
      <c r="AB21" s="44"/>
      <c r="AC21" s="44"/>
      <c r="AD21" s="44"/>
      <c r="AE21" s="44"/>
      <c r="AF21" s="44"/>
      <c r="AG21" s="44"/>
      <c r="AH21" s="44"/>
      <c r="AI21" s="44"/>
    </row>
    <row r="22" spans="1:35" x14ac:dyDescent="0.35">
      <c r="A22" s="64">
        <v>43483</v>
      </c>
      <c r="B22" s="122" t="str">
        <f>IF(data[[#This Row],[Hdébut garde]]&lt;&gt;"","Garde",IF(data[[#This Row],[Hdébut corrigé]]&lt;&gt;"","Intervention",""))</f>
        <v>Intervention</v>
      </c>
      <c r="C22" s="79"/>
      <c r="D22" s="56"/>
      <c r="E22" s="47">
        <f>MAX(0,IF(data[[#This Row],[Garde / Interv.]]="Garde",data[[#This Row],[Hfin corrigée]]-data[[#This Row],[Hdébut corrigé]],0))</f>
        <v>0</v>
      </c>
      <c r="F22" s="80"/>
      <c r="G22" s="57"/>
      <c r="H22" s="21" t="s">
        <v>2</v>
      </c>
      <c r="I22" s="59">
        <v>0.80347222222222225</v>
      </c>
      <c r="J22" s="60">
        <v>0.86111111111111116</v>
      </c>
      <c r="K22" s="42">
        <f>IF(data[[#This Row],[Hdébut garde]]&lt;&gt;"",
data[[#This Row],[Hdébut garde]],
data[[#This Row],[Hdébut interv.]]+IF(data[[#This Row],[Hdébut interv.]]&lt;SUMPRODUCT((data[Date]=data[[#This Row],[Date]])*data[Hdébut garde]),1,0)
)</f>
        <v>0.80347222222222225</v>
      </c>
      <c r="L2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0.86111111111111116</v>
      </c>
      <c r="M22" s="43" t="str">
        <f>IF(OR(WEEKDAY(data[[#This Row],[Date]],2)=7,COUNTIF(JF,data[[#This Row],[Date]])=1),"oui","non")</f>
        <v>non</v>
      </c>
      <c r="N22" s="44">
        <f>MAX(0,(MIN(1,data[[#This Row],[Hfin corrigée]])-data[[#This Row],[Hdébut corrigé]])-data[[#This Row],[NUIT1.1]]-data[[#This Row],[NUIT1.2]])</f>
        <v>5.7638888888888906E-2</v>
      </c>
      <c r="O22" s="44">
        <f>IF(data[[#This Row],[Hfin Interv.]]="",0,(
MIN(FinNuit,MIN(1,data[[#This Row],[Hfin corrigée]]))-MIN(FinNuit,data[[#This Row],[Hdébut corrigé]])
))</f>
        <v>0</v>
      </c>
      <c r="P22" s="44">
        <f>MAX(0,(MAX(0,(MIN(1,data[[#This Row],[Hfin corrigée]])-DebNuit))-MAX(0,(data[[#This Row],[Hdébut corrigé]]-DebNuit))))</f>
        <v>0</v>
      </c>
      <c r="Q22" s="43" t="str">
        <f>IF(OR(WEEKDAY(data[[#This Row],[Date]]+data[[#This Row],[Hfin corrigée]],2)=7,COUNTIF(JF,INT(data[[#This Row],[Date]]+data[[#This Row],[Hfin corrigée]]))=1),"oui","non")</f>
        <v>non</v>
      </c>
      <c r="R22" s="44">
        <f>MAX(0,data[[#This Row],[Hfin corrigée]]-MAX(1,data[[#This Row],[Hdébut corrigé]]))-data[[#This Row],[NUIT2.1]]-data[[#This Row],[NUIT2.2]]</f>
        <v>0</v>
      </c>
      <c r="S22" s="44">
        <f>MAX(0,MIN(1+FinNuit,data[[#This Row],[Hfin corrigée]])-MAX(1,data[[#This Row],[Hdébut corrigé]]))</f>
        <v>0</v>
      </c>
      <c r="T22" s="44">
        <f>MAX(0,(data[[#This Row],[Hfin corrigée]]-DebNuit-1))</f>
        <v>0</v>
      </c>
      <c r="U22" s="45">
        <f>IF(data[[#This Row],[Garde / Interv.]]="Intervention",MAX(0,data[[#This Row],[Hfin corrigée]]-SUMPRODUCT((data[Date]=data[[#This Row],[Date]])*(data[Garde / Interv.]="Garde")*data[Hfin corrigée])),0)</f>
        <v>0</v>
      </c>
      <c r="V2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2" s="44">
        <f>MAX(0,IF(data[[#This Row],[Garde / Interv.]]="Intervention",(data[[#This Row],[Fin Dim ou Férié]]="non")*data[[#This Row],[JOUR2]]+(data[[#This Row],[Début Dim ou Férié]]="non")*data[[#This Row],[JOUR1]],0))</f>
        <v>5.7638888888888906E-2</v>
      </c>
      <c r="X22" s="44">
        <f>IF(data[[#This Row],[Garde / Interv.]]="Intervention",(data[[#This Row],[Fin Dim ou Férié]]="oui")*data[[#This Row],[JOUR2]]+(data[[#This Row],[Début Dim ou Férié]]="oui")*data[[#This Row],[JOUR1]],0)</f>
        <v>0</v>
      </c>
      <c r="Y22" s="44">
        <f>MAX(0,IF(data[[#This Row],[Garde / Interv.]]="Intervention",data[[#This Row],[NUIT1.1]]+data[[#This Row],[NUIT1.2]]+data[[#This Row],[NUIT2.1]]+data[[#This Row],[NUIT2.2]],0))</f>
        <v>0</v>
      </c>
      <c r="Z22" s="165"/>
      <c r="AA22" s="44"/>
      <c r="AB22" s="44"/>
      <c r="AC22" s="44"/>
      <c r="AD22" s="44"/>
      <c r="AE22" s="44"/>
      <c r="AF22" s="44"/>
      <c r="AG22" s="44"/>
      <c r="AH22" s="44"/>
      <c r="AI22" s="44"/>
    </row>
    <row r="23" spans="1:35" x14ac:dyDescent="0.35">
      <c r="A23" s="64">
        <v>43483</v>
      </c>
      <c r="B23" s="122" t="str">
        <f>IF(data[[#This Row],[Hdébut garde]]&lt;&gt;"","Garde",IF(data[[#This Row],[Hdébut corrigé]]&lt;&gt;"","Intervention",""))</f>
        <v>Intervention</v>
      </c>
      <c r="C23" s="79"/>
      <c r="D23" s="56"/>
      <c r="E23" s="47">
        <f>MAX(0,IF(data[[#This Row],[Garde / Interv.]]="Garde",data[[#This Row],[Hfin corrigée]]-data[[#This Row],[Hdébut corrigé]],0))</f>
        <v>0</v>
      </c>
      <c r="F23" s="80"/>
      <c r="G23" s="57"/>
      <c r="H23" s="21" t="s">
        <v>2</v>
      </c>
      <c r="I23" s="59">
        <v>0.86111111111111116</v>
      </c>
      <c r="J23" s="60">
        <v>0.90277777777777779</v>
      </c>
      <c r="K23" s="42">
        <f>IF(data[[#This Row],[Hdébut garde]]&lt;&gt;"",
data[[#This Row],[Hdébut garde]],
data[[#This Row],[Hdébut interv.]]+IF(data[[#This Row],[Hdébut interv.]]&lt;SUMPRODUCT((data[Date]=data[[#This Row],[Date]])*data[Hdébut garde]),1,0)
)</f>
        <v>0.86111111111111116</v>
      </c>
      <c r="L2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0.90277777777777779</v>
      </c>
      <c r="M23" s="43" t="str">
        <f>IF(OR(WEEKDAY(data[[#This Row],[Date]],2)=7,COUNTIF(JF,data[[#This Row],[Date]])=1),"oui","non")</f>
        <v>non</v>
      </c>
      <c r="N23" s="44">
        <f>MAX(0,(MIN(1,data[[#This Row],[Hfin corrigée]])-data[[#This Row],[Hdébut corrigé]])-data[[#This Row],[NUIT1.1]]-data[[#This Row],[NUIT1.2]])</f>
        <v>4.166666666666663E-2</v>
      </c>
      <c r="O23" s="44">
        <f>IF(data[[#This Row],[Hfin Interv.]]="",0,(
MIN(FinNuit,MIN(1,data[[#This Row],[Hfin corrigée]]))-MIN(FinNuit,data[[#This Row],[Hdébut corrigé]])
))</f>
        <v>0</v>
      </c>
      <c r="P23" s="44">
        <f>MAX(0,(MAX(0,(MIN(1,data[[#This Row],[Hfin corrigée]])-DebNuit))-MAX(0,(data[[#This Row],[Hdébut corrigé]]-DebNuit))))</f>
        <v>0</v>
      </c>
      <c r="Q23" s="43" t="str">
        <f>IF(OR(WEEKDAY(data[[#This Row],[Date]]+data[[#This Row],[Hfin corrigée]],2)=7,COUNTIF(JF,INT(data[[#This Row],[Date]]+data[[#This Row],[Hfin corrigée]]))=1),"oui","non")</f>
        <v>non</v>
      </c>
      <c r="R23" s="44">
        <f>MAX(0,data[[#This Row],[Hfin corrigée]]-MAX(1,data[[#This Row],[Hdébut corrigé]]))-data[[#This Row],[NUIT2.1]]-data[[#This Row],[NUIT2.2]]</f>
        <v>0</v>
      </c>
      <c r="S23" s="44">
        <f>MAX(0,MIN(1+FinNuit,data[[#This Row],[Hfin corrigée]])-MAX(1,data[[#This Row],[Hdébut corrigé]]))</f>
        <v>0</v>
      </c>
      <c r="T23" s="44">
        <f>MAX(0,(data[[#This Row],[Hfin corrigée]]-DebNuit-1))</f>
        <v>0</v>
      </c>
      <c r="U23" s="45">
        <f>IF(data[[#This Row],[Garde / Interv.]]="Intervention",MAX(0,data[[#This Row],[Hfin corrigée]]-SUMPRODUCT((data[Date]=data[[#This Row],[Date]])*(data[Garde / Interv.]="Garde")*data[Hfin corrigée])),0)</f>
        <v>0</v>
      </c>
      <c r="V2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3" s="44">
        <f>MAX(0,IF(data[[#This Row],[Garde / Interv.]]="Intervention",(data[[#This Row],[Fin Dim ou Férié]]="non")*data[[#This Row],[JOUR2]]+(data[[#This Row],[Début Dim ou Férié]]="non")*data[[#This Row],[JOUR1]],0))</f>
        <v>4.166666666666663E-2</v>
      </c>
      <c r="X23" s="44">
        <f>IF(data[[#This Row],[Garde / Interv.]]="Intervention",(data[[#This Row],[Fin Dim ou Férié]]="oui")*data[[#This Row],[JOUR2]]+(data[[#This Row],[Début Dim ou Férié]]="oui")*data[[#This Row],[JOUR1]],0)</f>
        <v>0</v>
      </c>
      <c r="Y23" s="44">
        <f>MAX(0,IF(data[[#This Row],[Garde / Interv.]]="Intervention",data[[#This Row],[NUIT1.1]]+data[[#This Row],[NUIT1.2]]+data[[#This Row],[NUIT2.1]]+data[[#This Row],[NUIT2.2]],0))</f>
        <v>0</v>
      </c>
      <c r="Z23" s="165"/>
      <c r="AA23" s="44"/>
      <c r="AB23" s="44"/>
      <c r="AC23" s="44"/>
      <c r="AD23" s="44"/>
      <c r="AE23" s="44"/>
      <c r="AF23" s="44"/>
      <c r="AG23" s="44"/>
      <c r="AH23" s="44"/>
      <c r="AI23" s="44"/>
    </row>
    <row r="24" spans="1:35" x14ac:dyDescent="0.35">
      <c r="A24" s="64">
        <v>43496</v>
      </c>
      <c r="B24" s="122" t="str">
        <f>IF(data[[#This Row],[Hdébut garde]]&lt;&gt;"","Garde",IF(data[[#This Row],[Hdébut corrigé]]&lt;&gt;"","Intervention",""))</f>
        <v>Garde</v>
      </c>
      <c r="C24" s="79">
        <v>0.29166666666666669</v>
      </c>
      <c r="D24" s="56">
        <v>0.29166666666666669</v>
      </c>
      <c r="E24" s="47">
        <f>MAX(0,IF(data[[#This Row],[Garde / Interv.]]="Garde",data[[#This Row],[Hfin corrigée]]-data[[#This Row],[Hdébut corrigé]],0))</f>
        <v>1</v>
      </c>
      <c r="F24" s="80"/>
      <c r="G24" s="57"/>
      <c r="H24" s="58"/>
      <c r="I24" s="59"/>
      <c r="J24" s="60"/>
      <c r="K24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2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24" s="43" t="str">
        <f>IF(OR(WEEKDAY(data[[#This Row],[Date]],2)=7,COUNTIF(JF,data[[#This Row],[Date]])=1),"oui","non")</f>
        <v>non</v>
      </c>
      <c r="N24" s="44">
        <f>MAX(0,(MIN(1,data[[#This Row],[Hfin corrigée]])-data[[#This Row],[Hdébut corrigé]])-data[[#This Row],[NUIT1.1]]-data[[#This Row],[NUIT1.2]])</f>
        <v>0.62499999999999989</v>
      </c>
      <c r="O24" s="44">
        <f>IF(data[[#This Row],[Hfin Interv.]]="",0,(
MIN(FinNuit,MIN(1,data[[#This Row],[Hfin corrigée]]))-MIN(FinNuit,data[[#This Row],[Hdébut corrigé]])
))</f>
        <v>0</v>
      </c>
      <c r="P24" s="44">
        <f>MAX(0,(MAX(0,(MIN(1,data[[#This Row],[Hfin corrigée]])-DebNuit))-MAX(0,(data[[#This Row],[Hdébut corrigé]]-DebNuit))))</f>
        <v>8.333333333333337E-2</v>
      </c>
      <c r="Q24" s="43" t="str">
        <f>IF(OR(WEEKDAY(data[[#This Row],[Date]]+data[[#This Row],[Hfin corrigée]],2)=7,COUNTIF(JF,INT(data[[#This Row],[Date]]+data[[#This Row],[Hfin corrigée]]))=1),"oui","non")</f>
        <v>non</v>
      </c>
      <c r="R24" s="44">
        <f>MAX(0,data[[#This Row],[Hfin corrigée]]-MAX(1,data[[#This Row],[Hdébut corrigé]]))-data[[#This Row],[NUIT2.1]]-data[[#This Row],[NUIT2.2]]</f>
        <v>0</v>
      </c>
      <c r="S24" s="44">
        <f>MAX(0,MIN(1+FinNuit,data[[#This Row],[Hfin corrigée]])-MAX(1,data[[#This Row],[Hdébut corrigé]]))</f>
        <v>0.29166666666666674</v>
      </c>
      <c r="T24" s="44">
        <f>MAX(0,(data[[#This Row],[Hfin corrigée]]-DebNuit-1))</f>
        <v>0</v>
      </c>
      <c r="U24" s="45">
        <f>IF(data[[#This Row],[Garde / Interv.]]="Intervention",MAX(0,data[[#This Row],[Hfin corrigée]]-SUMPRODUCT((data[Date]=data[[#This Row],[Date]])*(data[Garde / Interv.]="Garde")*data[Hfin corrigée])),0)</f>
        <v>0</v>
      </c>
      <c r="V2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0.68958333333333333</v>
      </c>
      <c r="W24" s="44">
        <f>MAX(0,IF(data[[#This Row],[Garde / Interv.]]="Intervention",(data[[#This Row],[Fin Dim ou Férié]]="non")*data[[#This Row],[JOUR2]]+(data[[#This Row],[Début Dim ou Férié]]="non")*data[[#This Row],[JOUR1]],0))</f>
        <v>0</v>
      </c>
      <c r="X24" s="44">
        <f>IF(data[[#This Row],[Garde / Interv.]]="Intervention",(data[[#This Row],[Fin Dim ou Férié]]="oui")*data[[#This Row],[JOUR2]]+(data[[#This Row],[Début Dim ou Férié]]="oui")*data[[#This Row],[JOUR1]],0)</f>
        <v>0</v>
      </c>
      <c r="Y24" s="44">
        <f>MAX(0,IF(data[[#This Row],[Garde / Interv.]]="Intervention",data[[#This Row],[NUIT1.1]]+data[[#This Row],[NUIT1.2]]+data[[#This Row],[NUIT2.1]]+data[[#This Row],[NUIT2.2]],0))</f>
        <v>0</v>
      </c>
      <c r="Z24" s="165"/>
      <c r="AA24" s="44"/>
      <c r="AB24" s="44"/>
      <c r="AC24" s="44"/>
      <c r="AD24" s="44"/>
      <c r="AE24" s="44"/>
      <c r="AF24" s="44"/>
      <c r="AG24" s="44"/>
      <c r="AH24" s="44"/>
      <c r="AI24" s="44"/>
    </row>
    <row r="25" spans="1:35" x14ac:dyDescent="0.35">
      <c r="A25" s="64">
        <v>43496</v>
      </c>
      <c r="B25" s="122" t="str">
        <f>IF(data[[#This Row],[Hdébut garde]]&lt;&gt;"","Garde",IF(data[[#This Row],[Hdébut corrigé]]&lt;&gt;"","Intervention",""))</f>
        <v>Intervention</v>
      </c>
      <c r="C25" s="79"/>
      <c r="D25" s="56"/>
      <c r="E25" s="47">
        <f>MAX(0,IF(data[[#This Row],[Garde / Interv.]]="Garde",data[[#This Row],[Hfin corrigée]]-data[[#This Row],[Hdébut corrigé]],0))</f>
        <v>0</v>
      </c>
      <c r="F25" s="80"/>
      <c r="G25" s="57"/>
      <c r="H25" s="58" t="s">
        <v>3</v>
      </c>
      <c r="I25" s="59">
        <v>0.53541666666666665</v>
      </c>
      <c r="J25" s="60">
        <v>0.79861111111111116</v>
      </c>
      <c r="K25" s="42">
        <f>IF(data[[#This Row],[Hdébut garde]]&lt;&gt;"",
data[[#This Row],[Hdébut garde]],
data[[#This Row],[Hdébut interv.]]+IF(data[[#This Row],[Hdébut interv.]]&lt;SUMPRODUCT((data[Date]=data[[#This Row],[Date]])*data[Hdébut garde]),1,0)
)</f>
        <v>0.53541666666666665</v>
      </c>
      <c r="L2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0.79861111111111116</v>
      </c>
      <c r="M25" s="43" t="str">
        <f>IF(OR(WEEKDAY(data[[#This Row],[Date]],2)=7,COUNTIF(JF,data[[#This Row],[Date]])=1),"oui","non")</f>
        <v>non</v>
      </c>
      <c r="N25" s="44">
        <f>MAX(0,(MIN(1,data[[#This Row],[Hfin corrigée]])-data[[#This Row],[Hdébut corrigé]])-data[[#This Row],[NUIT1.1]]-data[[#This Row],[NUIT1.2]])</f>
        <v>0.26319444444444451</v>
      </c>
      <c r="O25" s="44">
        <f>IF(data[[#This Row],[Hfin Interv.]]="",0,(
MIN(FinNuit,MIN(1,data[[#This Row],[Hfin corrigée]]))-MIN(FinNuit,data[[#This Row],[Hdébut corrigé]])
))</f>
        <v>0</v>
      </c>
      <c r="P25" s="44">
        <f>MAX(0,(MAX(0,(MIN(1,data[[#This Row],[Hfin corrigée]])-DebNuit))-MAX(0,(data[[#This Row],[Hdébut corrigé]]-DebNuit))))</f>
        <v>0</v>
      </c>
      <c r="Q25" s="43" t="str">
        <f>IF(OR(WEEKDAY(data[[#This Row],[Date]]+data[[#This Row],[Hfin corrigée]],2)=7,COUNTIF(JF,INT(data[[#This Row],[Date]]+data[[#This Row],[Hfin corrigée]]))=1),"oui","non")</f>
        <v>non</v>
      </c>
      <c r="R25" s="44">
        <f>MAX(0,data[[#This Row],[Hfin corrigée]]-MAX(1,data[[#This Row],[Hdébut corrigé]]))-data[[#This Row],[NUIT2.1]]-data[[#This Row],[NUIT2.2]]</f>
        <v>0</v>
      </c>
      <c r="S25" s="44">
        <f>MAX(0,MIN(1+FinNuit,data[[#This Row],[Hfin corrigée]])-MAX(1,data[[#This Row],[Hdébut corrigé]]))</f>
        <v>0</v>
      </c>
      <c r="T25" s="44">
        <f>MAX(0,(data[[#This Row],[Hfin corrigée]]-DebNuit-1))</f>
        <v>0</v>
      </c>
      <c r="U25" s="45">
        <f>IF(data[[#This Row],[Garde / Interv.]]="Intervention",MAX(0,data[[#This Row],[Hfin corrigée]]-SUMPRODUCT((data[Date]=data[[#This Row],[Date]])*(data[Garde / Interv.]="Garde")*data[Hfin corrigée])),0)</f>
        <v>0</v>
      </c>
      <c r="V2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5" s="44">
        <f>MAX(0,IF(data[[#This Row],[Garde / Interv.]]="Intervention",(data[[#This Row],[Fin Dim ou Férié]]="non")*data[[#This Row],[JOUR2]]+(data[[#This Row],[Début Dim ou Férié]]="non")*data[[#This Row],[JOUR1]],0))</f>
        <v>0.26319444444444451</v>
      </c>
      <c r="X25" s="44">
        <f>IF(data[[#This Row],[Garde / Interv.]]="Intervention",(data[[#This Row],[Fin Dim ou Férié]]="oui")*data[[#This Row],[JOUR2]]+(data[[#This Row],[Début Dim ou Férié]]="oui")*data[[#This Row],[JOUR1]],0)</f>
        <v>0</v>
      </c>
      <c r="Y25" s="44">
        <f>MAX(0,IF(data[[#This Row],[Garde / Interv.]]="Intervention",data[[#This Row],[NUIT1.1]]+data[[#This Row],[NUIT1.2]]+data[[#This Row],[NUIT2.1]]+data[[#This Row],[NUIT2.2]],0))</f>
        <v>0</v>
      </c>
      <c r="Z25" s="165"/>
      <c r="AA25" s="44"/>
      <c r="AB25" s="44"/>
      <c r="AC25" s="44"/>
      <c r="AD25" s="44"/>
      <c r="AE25" s="44"/>
      <c r="AF25" s="44"/>
      <c r="AG25" s="44"/>
      <c r="AH25" s="44"/>
      <c r="AI25" s="44"/>
    </row>
    <row r="26" spans="1:35" x14ac:dyDescent="0.35">
      <c r="A26" s="64">
        <v>43496</v>
      </c>
      <c r="B26" s="122" t="str">
        <f>IF(data[[#This Row],[Hdébut garde]]&lt;&gt;"","Garde",IF(data[[#This Row],[Hdébut corrigé]]&lt;&gt;"","Intervention",""))</f>
        <v>Intervention</v>
      </c>
      <c r="C26" s="79"/>
      <c r="D26" s="56"/>
      <c r="E26" s="47">
        <f>MAX(0,IF(data[[#This Row],[Garde / Interv.]]="Garde",data[[#This Row],[Hfin corrigée]]-data[[#This Row],[Hdébut corrigé]],0))</f>
        <v>0</v>
      </c>
      <c r="F26" s="80"/>
      <c r="G26" s="57"/>
      <c r="H26" s="58" t="s">
        <v>3</v>
      </c>
      <c r="I26" s="59">
        <v>0.86875000000000002</v>
      </c>
      <c r="J26" s="60">
        <v>0.88958333333333339</v>
      </c>
      <c r="K26" s="42">
        <f>IF(data[[#This Row],[Hdébut garde]]&lt;&gt;"",
data[[#This Row],[Hdébut garde]],
data[[#This Row],[Hdébut interv.]]+IF(data[[#This Row],[Hdébut interv.]]&lt;SUMPRODUCT((data[Date]=data[[#This Row],[Date]])*data[Hdébut garde]),1,0)
)</f>
        <v>0.86875000000000002</v>
      </c>
      <c r="L2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0.88958333333333339</v>
      </c>
      <c r="M26" s="43" t="str">
        <f>IF(OR(WEEKDAY(data[[#This Row],[Date]],2)=7,COUNTIF(JF,data[[#This Row],[Date]])=1),"oui","non")</f>
        <v>non</v>
      </c>
      <c r="N26" s="44">
        <f>MAX(0,(MIN(1,data[[#This Row],[Hfin corrigée]])-data[[#This Row],[Hdébut corrigé]])-data[[#This Row],[NUIT1.1]]-data[[#This Row],[NUIT1.2]])</f>
        <v>2.083333333333337E-2</v>
      </c>
      <c r="O26" s="44">
        <f>IF(data[[#This Row],[Hfin Interv.]]="",0,(
MIN(FinNuit,MIN(1,data[[#This Row],[Hfin corrigée]]))-MIN(FinNuit,data[[#This Row],[Hdébut corrigé]])
))</f>
        <v>0</v>
      </c>
      <c r="P26" s="44">
        <f>MAX(0,(MAX(0,(MIN(1,data[[#This Row],[Hfin corrigée]])-DebNuit))-MAX(0,(data[[#This Row],[Hdébut corrigé]]-DebNuit))))</f>
        <v>0</v>
      </c>
      <c r="Q26" s="43" t="str">
        <f>IF(OR(WEEKDAY(data[[#This Row],[Date]]+data[[#This Row],[Hfin corrigée]],2)=7,COUNTIF(JF,INT(data[[#This Row],[Date]]+data[[#This Row],[Hfin corrigée]]))=1),"oui","non")</f>
        <v>non</v>
      </c>
      <c r="R26" s="44">
        <f>MAX(0,data[[#This Row],[Hfin corrigée]]-MAX(1,data[[#This Row],[Hdébut corrigé]]))-data[[#This Row],[NUIT2.1]]-data[[#This Row],[NUIT2.2]]</f>
        <v>0</v>
      </c>
      <c r="S26" s="44">
        <f>MAX(0,MIN(1+FinNuit,data[[#This Row],[Hfin corrigée]])-MAX(1,data[[#This Row],[Hdébut corrigé]]))</f>
        <v>0</v>
      </c>
      <c r="T26" s="44">
        <f>MAX(0,(data[[#This Row],[Hfin corrigée]]-DebNuit-1))</f>
        <v>0</v>
      </c>
      <c r="U26" s="45">
        <f>IF(data[[#This Row],[Garde / Interv.]]="Intervention",MAX(0,data[[#This Row],[Hfin corrigée]]-SUMPRODUCT((data[Date]=data[[#This Row],[Date]])*(data[Garde / Interv.]="Garde")*data[Hfin corrigée])),0)</f>
        <v>0</v>
      </c>
      <c r="V2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6" s="44">
        <f>MAX(0,IF(data[[#This Row],[Garde / Interv.]]="Intervention",(data[[#This Row],[Fin Dim ou Férié]]="non")*data[[#This Row],[JOUR2]]+(data[[#This Row],[Début Dim ou Férié]]="non")*data[[#This Row],[JOUR1]],0))</f>
        <v>2.083333333333337E-2</v>
      </c>
      <c r="X26" s="44">
        <f>IF(data[[#This Row],[Garde / Interv.]]="Intervention",(data[[#This Row],[Fin Dim ou Férié]]="oui")*data[[#This Row],[JOUR2]]+(data[[#This Row],[Début Dim ou Férié]]="oui")*data[[#This Row],[JOUR1]],0)</f>
        <v>0</v>
      </c>
      <c r="Y26" s="44">
        <f>MAX(0,IF(data[[#This Row],[Garde / Interv.]]="Intervention",data[[#This Row],[NUIT1.1]]+data[[#This Row],[NUIT1.2]]+data[[#This Row],[NUIT2.1]]+data[[#This Row],[NUIT2.2]],0))</f>
        <v>0</v>
      </c>
      <c r="Z26" s="165"/>
      <c r="AA26" s="44"/>
      <c r="AB26" s="44"/>
      <c r="AC26" s="44"/>
      <c r="AD26" s="44"/>
      <c r="AE26" s="44"/>
      <c r="AF26" s="44"/>
      <c r="AG26" s="44"/>
      <c r="AH26" s="44"/>
      <c r="AI26" s="44"/>
    </row>
    <row r="27" spans="1:35" s="137" customFormat="1" ht="15" thickBot="1" x14ac:dyDescent="0.4">
      <c r="A27" s="123">
        <v>43496</v>
      </c>
      <c r="B27" s="124" t="str">
        <f>IF(data[[#This Row],[Hdébut garde]]&lt;&gt;"","Garde",IF(data[[#This Row],[Hdébut corrigé]]&lt;&gt;"","Intervention",""))</f>
        <v>Intervention</v>
      </c>
      <c r="C27" s="125"/>
      <c r="D27" s="126"/>
      <c r="E27" s="127">
        <f>MAX(0,IF(data[[#This Row],[Garde / Interv.]]="Garde",data[[#This Row],[Hfin corrigée]]-data[[#This Row],[Hdébut corrigé]],0))</f>
        <v>0</v>
      </c>
      <c r="F27" s="128"/>
      <c r="G27" s="129"/>
      <c r="H27" s="130" t="s">
        <v>3</v>
      </c>
      <c r="I27" s="131">
        <v>0.23611111111111113</v>
      </c>
      <c r="J27" s="132">
        <v>0.26250000000000001</v>
      </c>
      <c r="K27" s="133">
        <f>IF(data[[#This Row],[Hdébut garde]]&lt;&gt;"",
data[[#This Row],[Hdébut garde]],
data[[#This Row],[Hdébut interv.]]+IF(data[[#This Row],[Hdébut interv.]]&lt;SUMPRODUCT((data[Date]=data[[#This Row],[Date]])*data[Hdébut garde]),1,0)
)</f>
        <v>1.2361111111111112</v>
      </c>
      <c r="L27" s="133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1.2625</v>
      </c>
      <c r="M27" s="134" t="str">
        <f>IF(OR(WEEKDAY(data[[#This Row],[Date]],2)=7,COUNTIF(JF,data[[#This Row],[Date]])=1),"oui","non")</f>
        <v>non</v>
      </c>
      <c r="N27" s="135">
        <f>MAX(0,(MIN(1,data[[#This Row],[Hfin corrigée]])-data[[#This Row],[Hdébut corrigé]])-data[[#This Row],[NUIT1.1]]-data[[#This Row],[NUIT1.2]])</f>
        <v>0</v>
      </c>
      <c r="O27" s="135">
        <f>IF(data[[#This Row],[Hfin Interv.]]="",0,(
MIN(FinNuit,MIN(1,data[[#This Row],[Hfin corrigée]]))-MIN(FinNuit,data[[#This Row],[Hdébut corrigé]])
))</f>
        <v>0</v>
      </c>
      <c r="P27" s="135">
        <f>MAX(0,(MAX(0,(MIN(1,data[[#This Row],[Hfin corrigée]])-DebNuit))-MAX(0,(data[[#This Row],[Hdébut corrigé]]-DebNuit))))</f>
        <v>0</v>
      </c>
      <c r="Q27" s="134" t="str">
        <f>IF(OR(WEEKDAY(data[[#This Row],[Date]]+data[[#This Row],[Hfin corrigée]],2)=7,COUNTIF(JF,INT(data[[#This Row],[Date]]+data[[#This Row],[Hfin corrigée]]))=1),"oui","non")</f>
        <v>non</v>
      </c>
      <c r="R27" s="135">
        <f>MAX(0,data[[#This Row],[Hfin corrigée]]-MAX(1,data[[#This Row],[Hdébut corrigé]]))-data[[#This Row],[NUIT2.1]]-data[[#This Row],[NUIT2.2]]</f>
        <v>0</v>
      </c>
      <c r="S27" s="135">
        <f>MAX(0,MIN(1+FinNuit,data[[#This Row],[Hfin corrigée]])-MAX(1,data[[#This Row],[Hdébut corrigé]]))</f>
        <v>2.6388888888888795E-2</v>
      </c>
      <c r="T27" s="135">
        <f>MAX(0,(data[[#This Row],[Hfin corrigée]]-DebNuit-1))</f>
        <v>0</v>
      </c>
      <c r="U27" s="136">
        <f>IF(data[[#This Row],[Garde / Interv.]]="Intervention",MAX(0,data[[#This Row],[Hfin corrigée]]-SUMPRODUCT((data[Date]=data[[#This Row],[Date]])*(data[Garde / Interv.]="Garde")*data[Hfin corrigée])),0)</f>
        <v>0</v>
      </c>
      <c r="V27" s="13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7" s="135">
        <f>MAX(0,IF(data[[#This Row],[Garde / Interv.]]="Intervention",(data[[#This Row],[Fin Dim ou Férié]]="non")*data[[#This Row],[JOUR2]]+(data[[#This Row],[Début Dim ou Férié]]="non")*data[[#This Row],[JOUR1]],0))</f>
        <v>0</v>
      </c>
      <c r="X27" s="135">
        <f>IF(data[[#This Row],[Garde / Interv.]]="Intervention",(data[[#This Row],[Fin Dim ou Férié]]="oui")*data[[#This Row],[JOUR2]]+(data[[#This Row],[Début Dim ou Férié]]="oui")*data[[#This Row],[JOUR1]],0)</f>
        <v>0</v>
      </c>
      <c r="Y27" s="135">
        <f>MAX(0,IF(data[[#This Row],[Garde / Interv.]]="Intervention",data[[#This Row],[NUIT1.1]]+data[[#This Row],[NUIT1.2]]+data[[#This Row],[NUIT2.1]]+data[[#This Row],[NUIT2.2]],0))</f>
        <v>2.6388888888888795E-2</v>
      </c>
      <c r="Z27" s="166"/>
      <c r="AA27" s="135"/>
      <c r="AB27" s="135"/>
      <c r="AC27" s="135"/>
      <c r="AD27" s="135"/>
      <c r="AE27" s="135"/>
      <c r="AF27" s="135"/>
      <c r="AG27" s="135"/>
      <c r="AH27" s="135"/>
      <c r="AI27" s="135"/>
    </row>
    <row r="28" spans="1:35" ht="15" thickTop="1" x14ac:dyDescent="0.35">
      <c r="A28" s="64">
        <v>43503</v>
      </c>
      <c r="B28" s="122" t="str">
        <f>IF(data[[#This Row],[Hdébut garde]]&lt;&gt;"","Garde",IF(data[[#This Row],[Hdébut corrigé]]&lt;&gt;"","Intervention",""))</f>
        <v>Garde</v>
      </c>
      <c r="C28" s="79">
        <v>0.29166666666666669</v>
      </c>
      <c r="D28" s="56">
        <v>0.29166666666666669</v>
      </c>
      <c r="E28" s="47">
        <f>MAX(0,IF(data[[#This Row],[Garde / Interv.]]="Garde",data[[#This Row],[Hfin corrigée]]-data[[#This Row],[Hdébut corrigé]],0))</f>
        <v>1</v>
      </c>
      <c r="F28" s="80"/>
      <c r="G28" s="57"/>
      <c r="H28" s="58"/>
      <c r="I28" s="59"/>
      <c r="J28" s="60"/>
      <c r="K28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2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28" s="43" t="str">
        <f>IF(OR(WEEKDAY(data[[#This Row],[Date]],2)=7,COUNTIF(JF,data[[#This Row],[Date]])=1),"oui","non")</f>
        <v>non</v>
      </c>
      <c r="N28" s="44">
        <f>MAX(0,(MIN(1,data[[#This Row],[Hfin corrigée]])-data[[#This Row],[Hdébut corrigé]])-data[[#This Row],[NUIT1.1]]-data[[#This Row],[NUIT1.2]])</f>
        <v>0.62499999999999989</v>
      </c>
      <c r="O28" s="44">
        <f>IF(data[[#This Row],[Hfin Interv.]]="",0,(
MIN(FinNuit,MIN(1,data[[#This Row],[Hfin corrigée]]))-MIN(FinNuit,data[[#This Row],[Hdébut corrigé]])
))</f>
        <v>0</v>
      </c>
      <c r="P28" s="44">
        <f>MAX(0,(MAX(0,(MIN(1,data[[#This Row],[Hfin corrigée]])-DebNuit))-MAX(0,(data[[#This Row],[Hdébut corrigé]]-DebNuit))))</f>
        <v>8.333333333333337E-2</v>
      </c>
      <c r="Q28" s="43" t="str">
        <f>IF(OR(WEEKDAY(data[[#This Row],[Date]]+data[[#This Row],[Hfin corrigée]],2)=7,COUNTIF(JF,INT(data[[#This Row],[Date]]+data[[#This Row],[Hfin corrigée]]))=1),"oui","non")</f>
        <v>non</v>
      </c>
      <c r="R28" s="44">
        <f>MAX(0,data[[#This Row],[Hfin corrigée]]-MAX(1,data[[#This Row],[Hdébut corrigé]]))-data[[#This Row],[NUIT2.1]]-data[[#This Row],[NUIT2.2]]</f>
        <v>0</v>
      </c>
      <c r="S28" s="44">
        <f>MAX(0,MIN(1+FinNuit,data[[#This Row],[Hfin corrigée]])-MAX(1,data[[#This Row],[Hdébut corrigé]]))</f>
        <v>0.29166666666666674</v>
      </c>
      <c r="T28" s="44">
        <f>MAX(0,(data[[#This Row],[Hfin corrigée]]-DebNuit-1))</f>
        <v>0</v>
      </c>
      <c r="U28" s="45">
        <f>IF(data[[#This Row],[Garde / Interv.]]="Intervention",MAX(0,data[[#This Row],[Hfin corrigée]]-SUMPRODUCT((data[Date]=data[[#This Row],[Date]])*(data[Garde / Interv.]="Garde")*data[Hfin corrigée])),0)</f>
        <v>0</v>
      </c>
      <c r="V2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0.70763888888888893</v>
      </c>
      <c r="W28" s="44">
        <f>MAX(0,IF(data[[#This Row],[Garde / Interv.]]="Intervention",(data[[#This Row],[Fin Dim ou Férié]]="non")*data[[#This Row],[JOUR2]]+(data[[#This Row],[Début Dim ou Férié]]="non")*data[[#This Row],[JOUR1]],0))</f>
        <v>0</v>
      </c>
      <c r="X28" s="44">
        <f>IF(data[[#This Row],[Garde / Interv.]]="Intervention",(data[[#This Row],[Fin Dim ou Férié]]="oui")*data[[#This Row],[JOUR2]]+(data[[#This Row],[Début Dim ou Férié]]="oui")*data[[#This Row],[JOUR1]],0)</f>
        <v>0</v>
      </c>
      <c r="Y28" s="44">
        <f>MAX(0,IF(data[[#This Row],[Garde / Interv.]]="Intervention",data[[#This Row],[NUIT1.1]]+data[[#This Row],[NUIT1.2]]+data[[#This Row],[NUIT2.1]]+data[[#This Row],[NUIT2.2]],0))</f>
        <v>0</v>
      </c>
      <c r="Z28" s="165"/>
      <c r="AA28" s="44"/>
      <c r="AB28" s="44"/>
      <c r="AC28" s="44"/>
      <c r="AD28" s="44"/>
      <c r="AE28" s="44"/>
      <c r="AF28" s="44"/>
      <c r="AG28" s="44"/>
      <c r="AH28" s="44"/>
      <c r="AI28" s="44"/>
    </row>
    <row r="29" spans="1:35" x14ac:dyDescent="0.35">
      <c r="A29" s="64">
        <v>43503</v>
      </c>
      <c r="B29" s="122" t="str">
        <f>IF(data[[#This Row],[Hdébut garde]]&lt;&gt;"","Garde",IF(data[[#This Row],[Hdébut corrigé]]&lt;&gt;"","Intervention",""))</f>
        <v>Intervention</v>
      </c>
      <c r="C29" s="79"/>
      <c r="D29" s="56"/>
      <c r="E29" s="47">
        <f>MAX(0,IF(data[[#This Row],[Garde / Interv.]]="Garde",data[[#This Row],[Hfin corrigée]]-data[[#This Row],[Hdébut corrigé]],0))</f>
        <v>0</v>
      </c>
      <c r="F29" s="80"/>
      <c r="G29" s="57"/>
      <c r="H29" s="58" t="s">
        <v>2</v>
      </c>
      <c r="I29" s="59">
        <v>0.37916666666666665</v>
      </c>
      <c r="J29" s="60">
        <v>0.45555555555555555</v>
      </c>
      <c r="K29" s="42">
        <f>IF(data[[#This Row],[Hdébut garde]]&lt;&gt;"",
data[[#This Row],[Hdébut garde]],
data[[#This Row],[Hdébut interv.]]+IF(data[[#This Row],[Hdébut interv.]]&lt;SUMPRODUCT((data[Date]=data[[#This Row],[Date]])*data[Hdébut garde]),1,0)
)</f>
        <v>0.37916666666666665</v>
      </c>
      <c r="L2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0.45555555555555555</v>
      </c>
      <c r="M29" s="43" t="str">
        <f>IF(OR(WEEKDAY(data[[#This Row],[Date]],2)=7,COUNTIF(JF,data[[#This Row],[Date]])=1),"oui","non")</f>
        <v>non</v>
      </c>
      <c r="N29" s="44">
        <f>MAX(0,(MIN(1,data[[#This Row],[Hfin corrigée]])-data[[#This Row],[Hdébut corrigé]])-data[[#This Row],[NUIT1.1]]-data[[#This Row],[NUIT1.2]])</f>
        <v>7.6388888888888895E-2</v>
      </c>
      <c r="O29" s="44">
        <f>IF(data[[#This Row],[Hfin Interv.]]="",0,(
MIN(FinNuit,MIN(1,data[[#This Row],[Hfin corrigée]]))-MIN(FinNuit,data[[#This Row],[Hdébut corrigé]])
))</f>
        <v>0</v>
      </c>
      <c r="P29" s="44">
        <f>MAX(0,(MAX(0,(MIN(1,data[[#This Row],[Hfin corrigée]])-DebNuit))-MAX(0,(data[[#This Row],[Hdébut corrigé]]-DebNuit))))</f>
        <v>0</v>
      </c>
      <c r="Q29" s="43" t="str">
        <f>IF(OR(WEEKDAY(data[[#This Row],[Date]]+data[[#This Row],[Hfin corrigée]],2)=7,COUNTIF(JF,INT(data[[#This Row],[Date]]+data[[#This Row],[Hfin corrigée]]))=1),"oui","non")</f>
        <v>non</v>
      </c>
      <c r="R29" s="44">
        <f>MAX(0,data[[#This Row],[Hfin corrigée]]-MAX(1,data[[#This Row],[Hdébut corrigé]]))-data[[#This Row],[NUIT2.1]]-data[[#This Row],[NUIT2.2]]</f>
        <v>0</v>
      </c>
      <c r="S29" s="44">
        <f>MAX(0,MIN(1+FinNuit,data[[#This Row],[Hfin corrigée]])-MAX(1,data[[#This Row],[Hdébut corrigé]]))</f>
        <v>0</v>
      </c>
      <c r="T29" s="44">
        <f>MAX(0,(data[[#This Row],[Hfin corrigée]]-DebNuit-1))</f>
        <v>0</v>
      </c>
      <c r="U29" s="45">
        <f>IF(data[[#This Row],[Garde / Interv.]]="Intervention",MAX(0,data[[#This Row],[Hfin corrigée]]-SUMPRODUCT((data[Date]=data[[#This Row],[Date]])*(data[Garde / Interv.]="Garde")*data[Hfin corrigée])),0)</f>
        <v>0</v>
      </c>
      <c r="V2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29" s="44">
        <f>MAX(0,IF(data[[#This Row],[Garde / Interv.]]="Intervention",(data[[#This Row],[Fin Dim ou Férié]]="non")*data[[#This Row],[JOUR2]]+(data[[#This Row],[Début Dim ou Férié]]="non")*data[[#This Row],[JOUR1]],0))</f>
        <v>7.6388888888888895E-2</v>
      </c>
      <c r="X29" s="44">
        <f>IF(data[[#This Row],[Garde / Interv.]]="Intervention",(data[[#This Row],[Fin Dim ou Férié]]="oui")*data[[#This Row],[JOUR2]]+(data[[#This Row],[Début Dim ou Férié]]="oui")*data[[#This Row],[JOUR1]],0)</f>
        <v>0</v>
      </c>
      <c r="Y29" s="44">
        <f>MAX(0,IF(data[[#This Row],[Garde / Interv.]]="Intervention",data[[#This Row],[NUIT1.1]]+data[[#This Row],[NUIT1.2]]+data[[#This Row],[NUIT2.1]]+data[[#This Row],[NUIT2.2]],0))</f>
        <v>0</v>
      </c>
      <c r="Z29" s="165"/>
      <c r="AA29" s="44"/>
      <c r="AB29" s="44"/>
      <c r="AC29" s="44"/>
      <c r="AD29" s="44"/>
      <c r="AE29" s="44"/>
      <c r="AF29" s="44"/>
      <c r="AG29" s="44"/>
      <c r="AH29" s="44"/>
      <c r="AI29" s="44"/>
    </row>
    <row r="30" spans="1:35" x14ac:dyDescent="0.35">
      <c r="A30" s="64">
        <v>43503</v>
      </c>
      <c r="B30" s="122" t="str">
        <f>IF(data[[#This Row],[Hdébut garde]]&lt;&gt;"","Garde",IF(data[[#This Row],[Hdébut corrigé]]&lt;&gt;"","Intervention",""))</f>
        <v>Intervention</v>
      </c>
      <c r="C30" s="79"/>
      <c r="D30" s="56"/>
      <c r="E30" s="47">
        <f>MAX(0,IF(data[[#This Row],[Garde / Interv.]]="Garde",data[[#This Row],[Hfin corrigée]]-data[[#This Row],[Hdébut corrigé]],0))</f>
        <v>0</v>
      </c>
      <c r="F30" s="80"/>
      <c r="G30" s="57"/>
      <c r="H30" s="58" t="s">
        <v>2</v>
      </c>
      <c r="I30" s="59">
        <v>0.55208333333333337</v>
      </c>
      <c r="J30" s="60">
        <v>0.60972222222222217</v>
      </c>
      <c r="K30" s="42">
        <f>IF(data[[#This Row],[Hdébut garde]]&lt;&gt;"",
data[[#This Row],[Hdébut garde]],
data[[#This Row],[Hdébut interv.]]+IF(data[[#This Row],[Hdébut interv.]]&lt;SUMPRODUCT((data[Date]=data[[#This Row],[Date]])*data[Hdébut garde]),1,0)
)</f>
        <v>0.55208333333333337</v>
      </c>
      <c r="L3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0.60972222222222217</v>
      </c>
      <c r="M30" s="43" t="str">
        <f>IF(OR(WEEKDAY(data[[#This Row],[Date]],2)=7,COUNTIF(JF,data[[#This Row],[Date]])=1),"oui","non")</f>
        <v>non</v>
      </c>
      <c r="N30" s="44">
        <f>MAX(0,(MIN(1,data[[#This Row],[Hfin corrigée]])-data[[#This Row],[Hdébut corrigé]])-data[[#This Row],[NUIT1.1]]-data[[#This Row],[NUIT1.2]])</f>
        <v>5.7638888888888795E-2</v>
      </c>
      <c r="O30" s="44">
        <f>IF(data[[#This Row],[Hfin Interv.]]="",0,(
MIN(FinNuit,MIN(1,data[[#This Row],[Hfin corrigée]]))-MIN(FinNuit,data[[#This Row],[Hdébut corrigé]])
))</f>
        <v>0</v>
      </c>
      <c r="P30" s="44">
        <f>MAX(0,(MAX(0,(MIN(1,data[[#This Row],[Hfin corrigée]])-DebNuit))-MAX(0,(data[[#This Row],[Hdébut corrigé]]-DebNuit))))</f>
        <v>0</v>
      </c>
      <c r="Q30" s="43" t="str">
        <f>IF(OR(WEEKDAY(data[[#This Row],[Date]]+data[[#This Row],[Hfin corrigée]],2)=7,COUNTIF(JF,INT(data[[#This Row],[Date]]+data[[#This Row],[Hfin corrigée]]))=1),"oui","non")</f>
        <v>non</v>
      </c>
      <c r="R30" s="44">
        <f>MAX(0,data[[#This Row],[Hfin corrigée]]-MAX(1,data[[#This Row],[Hdébut corrigé]]))-data[[#This Row],[NUIT2.1]]-data[[#This Row],[NUIT2.2]]</f>
        <v>0</v>
      </c>
      <c r="S30" s="44">
        <f>MAX(0,MIN(1+FinNuit,data[[#This Row],[Hfin corrigée]])-MAX(1,data[[#This Row],[Hdébut corrigé]]))</f>
        <v>0</v>
      </c>
      <c r="T30" s="44">
        <f>MAX(0,(data[[#This Row],[Hfin corrigée]]-DebNuit-1))</f>
        <v>0</v>
      </c>
      <c r="U30" s="45">
        <f>IF(data[[#This Row],[Garde / Interv.]]="Intervention",MAX(0,data[[#This Row],[Hfin corrigée]]-SUMPRODUCT((data[Date]=data[[#This Row],[Date]])*(data[Garde / Interv.]="Garde")*data[Hfin corrigée])),0)</f>
        <v>0</v>
      </c>
      <c r="V3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0" s="44">
        <f>MAX(0,IF(data[[#This Row],[Garde / Interv.]]="Intervention",(data[[#This Row],[Fin Dim ou Férié]]="non")*data[[#This Row],[JOUR2]]+(data[[#This Row],[Début Dim ou Férié]]="non")*data[[#This Row],[JOUR1]],0))</f>
        <v>5.7638888888888795E-2</v>
      </c>
      <c r="X30" s="44">
        <f>IF(data[[#This Row],[Garde / Interv.]]="Intervention",(data[[#This Row],[Fin Dim ou Férié]]="oui")*data[[#This Row],[JOUR2]]+(data[[#This Row],[Début Dim ou Férié]]="oui")*data[[#This Row],[JOUR1]],0)</f>
        <v>0</v>
      </c>
      <c r="Y30" s="44">
        <f>MAX(0,IF(data[[#This Row],[Garde / Interv.]]="Intervention",data[[#This Row],[NUIT1.1]]+data[[#This Row],[NUIT1.2]]+data[[#This Row],[NUIT2.1]]+data[[#This Row],[NUIT2.2]],0))</f>
        <v>0</v>
      </c>
      <c r="Z30" s="165"/>
      <c r="AA30" s="44"/>
      <c r="AB30" s="44"/>
      <c r="AC30" s="44"/>
      <c r="AD30" s="44"/>
      <c r="AE30" s="44"/>
      <c r="AF30" s="44"/>
      <c r="AG30" s="44"/>
      <c r="AH30" s="44"/>
      <c r="AI30" s="44"/>
    </row>
    <row r="31" spans="1:35" x14ac:dyDescent="0.35">
      <c r="A31" s="64">
        <v>43503</v>
      </c>
      <c r="B31" s="122" t="str">
        <f>IF(data[[#This Row],[Hdébut garde]]&lt;&gt;"","Garde",IF(data[[#This Row],[Hdébut corrigé]]&lt;&gt;"","Intervention",""))</f>
        <v>Intervention</v>
      </c>
      <c r="C31" s="79"/>
      <c r="D31" s="56"/>
      <c r="E31" s="47">
        <f>MAX(0,IF(data[[#This Row],[Garde / Interv.]]="Garde",data[[#This Row],[Hfin corrigée]]-data[[#This Row],[Hdébut corrigé]],0))</f>
        <v>0</v>
      </c>
      <c r="F31" s="80"/>
      <c r="G31" s="57"/>
      <c r="H31" s="58" t="s">
        <v>2</v>
      </c>
      <c r="I31" s="59">
        <v>0.65763888888888888</v>
      </c>
      <c r="J31" s="60">
        <v>0.73402777777777783</v>
      </c>
      <c r="K31" s="42">
        <f>IF(data[[#This Row],[Hdébut garde]]&lt;&gt;"",
data[[#This Row],[Hdébut garde]],
data[[#This Row],[Hdébut interv.]]+IF(data[[#This Row],[Hdébut interv.]]&lt;SUMPRODUCT((data[Date]=data[[#This Row],[Date]])*data[Hdébut garde]),1,0)
)</f>
        <v>0.65763888888888888</v>
      </c>
      <c r="L3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0.73402777777777783</v>
      </c>
      <c r="M31" s="43" t="str">
        <f>IF(OR(WEEKDAY(data[[#This Row],[Date]],2)=7,COUNTIF(JF,data[[#This Row],[Date]])=1),"oui","non")</f>
        <v>non</v>
      </c>
      <c r="N31" s="44">
        <f>MAX(0,(MIN(1,data[[#This Row],[Hfin corrigée]])-data[[#This Row],[Hdébut corrigé]])-data[[#This Row],[NUIT1.1]]-data[[#This Row],[NUIT1.2]])</f>
        <v>7.6388888888888951E-2</v>
      </c>
      <c r="O31" s="44">
        <f>IF(data[[#This Row],[Hfin Interv.]]="",0,(
MIN(FinNuit,MIN(1,data[[#This Row],[Hfin corrigée]]))-MIN(FinNuit,data[[#This Row],[Hdébut corrigé]])
))</f>
        <v>0</v>
      </c>
      <c r="P31" s="44">
        <f>MAX(0,(MAX(0,(MIN(1,data[[#This Row],[Hfin corrigée]])-DebNuit))-MAX(0,(data[[#This Row],[Hdébut corrigé]]-DebNuit))))</f>
        <v>0</v>
      </c>
      <c r="Q31" s="43" t="str">
        <f>IF(OR(WEEKDAY(data[[#This Row],[Date]]+data[[#This Row],[Hfin corrigée]],2)=7,COUNTIF(JF,INT(data[[#This Row],[Date]]+data[[#This Row],[Hfin corrigée]]))=1),"oui","non")</f>
        <v>non</v>
      </c>
      <c r="R31" s="44">
        <f>MAX(0,data[[#This Row],[Hfin corrigée]]-MAX(1,data[[#This Row],[Hdébut corrigé]]))-data[[#This Row],[NUIT2.1]]-data[[#This Row],[NUIT2.2]]</f>
        <v>0</v>
      </c>
      <c r="S31" s="44">
        <f>MAX(0,MIN(1+FinNuit,data[[#This Row],[Hfin corrigée]])-MAX(1,data[[#This Row],[Hdébut corrigé]]))</f>
        <v>0</v>
      </c>
      <c r="T31" s="44">
        <f>MAX(0,(data[[#This Row],[Hfin corrigée]]-DebNuit-1))</f>
        <v>0</v>
      </c>
      <c r="U31" s="45">
        <f>IF(data[[#This Row],[Garde / Interv.]]="Intervention",MAX(0,data[[#This Row],[Hfin corrigée]]-SUMPRODUCT((data[Date]=data[[#This Row],[Date]])*(data[Garde / Interv.]="Garde")*data[Hfin corrigée])),0)</f>
        <v>0</v>
      </c>
      <c r="V3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1" s="44">
        <f>MAX(0,IF(data[[#This Row],[Garde / Interv.]]="Intervention",(data[[#This Row],[Fin Dim ou Férié]]="non")*data[[#This Row],[JOUR2]]+(data[[#This Row],[Début Dim ou Férié]]="non")*data[[#This Row],[JOUR1]],0))</f>
        <v>7.6388888888888951E-2</v>
      </c>
      <c r="X31" s="44">
        <f>IF(data[[#This Row],[Garde / Interv.]]="Intervention",(data[[#This Row],[Fin Dim ou Férié]]="oui")*data[[#This Row],[JOUR2]]+(data[[#This Row],[Début Dim ou Férié]]="oui")*data[[#This Row],[JOUR1]],0)</f>
        <v>0</v>
      </c>
      <c r="Y31" s="44">
        <f>MAX(0,IF(data[[#This Row],[Garde / Interv.]]="Intervention",data[[#This Row],[NUIT1.1]]+data[[#This Row],[NUIT1.2]]+data[[#This Row],[NUIT2.1]]+data[[#This Row],[NUIT2.2]],0))</f>
        <v>0</v>
      </c>
      <c r="Z31" s="165"/>
      <c r="AA31" s="44"/>
      <c r="AB31" s="44"/>
      <c r="AC31" s="44"/>
      <c r="AD31" s="44"/>
      <c r="AE31" s="44"/>
      <c r="AF31" s="44"/>
      <c r="AG31" s="44"/>
      <c r="AH31" s="44"/>
      <c r="AI31" s="44"/>
    </row>
    <row r="32" spans="1:35" x14ac:dyDescent="0.35">
      <c r="A32" s="64">
        <v>43503</v>
      </c>
      <c r="B32" s="122" t="str">
        <f>IF(data[[#This Row],[Hdébut garde]]&lt;&gt;"","Garde",IF(data[[#This Row],[Hdébut corrigé]]&lt;&gt;"","Intervention",""))</f>
        <v>Intervention</v>
      </c>
      <c r="C32" s="79"/>
      <c r="D32" s="56"/>
      <c r="E32" s="47">
        <f>MAX(0,IF(data[[#This Row],[Garde / Interv.]]="Garde",data[[#This Row],[Hfin corrigée]]-data[[#This Row],[Hdébut corrigé]],0))</f>
        <v>0</v>
      </c>
      <c r="F32" s="80"/>
      <c r="G32" s="57"/>
      <c r="H32" s="58" t="s">
        <v>2</v>
      </c>
      <c r="I32" s="59">
        <v>0.73402777777777783</v>
      </c>
      <c r="J32" s="60">
        <v>0.74791666666666667</v>
      </c>
      <c r="K32" s="42">
        <f>IF(data[[#This Row],[Hdébut garde]]&lt;&gt;"",
data[[#This Row],[Hdébut garde]],
data[[#This Row],[Hdébut interv.]]+IF(data[[#This Row],[Hdébut interv.]]&lt;SUMPRODUCT((data[Date]=data[[#This Row],[Date]])*data[Hdébut garde]),1,0)
)</f>
        <v>0.73402777777777783</v>
      </c>
      <c r="L3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0.74791666666666667</v>
      </c>
      <c r="M32" s="43" t="str">
        <f>IF(OR(WEEKDAY(data[[#This Row],[Date]],2)=7,COUNTIF(JF,data[[#This Row],[Date]])=1),"oui","non")</f>
        <v>non</v>
      </c>
      <c r="N32" s="44">
        <f>MAX(0,(MIN(1,data[[#This Row],[Hfin corrigée]])-data[[#This Row],[Hdébut corrigé]])-data[[#This Row],[NUIT1.1]]-data[[#This Row],[NUIT1.2]])</f>
        <v>1.388888888888884E-2</v>
      </c>
      <c r="O32" s="44">
        <f>IF(data[[#This Row],[Hfin Interv.]]="",0,(
MIN(FinNuit,MIN(1,data[[#This Row],[Hfin corrigée]]))-MIN(FinNuit,data[[#This Row],[Hdébut corrigé]])
))</f>
        <v>0</v>
      </c>
      <c r="P32" s="44">
        <f>MAX(0,(MAX(0,(MIN(1,data[[#This Row],[Hfin corrigée]])-DebNuit))-MAX(0,(data[[#This Row],[Hdébut corrigé]]-DebNuit))))</f>
        <v>0</v>
      </c>
      <c r="Q32" s="43" t="str">
        <f>IF(OR(WEEKDAY(data[[#This Row],[Date]]+data[[#This Row],[Hfin corrigée]],2)=7,COUNTIF(JF,INT(data[[#This Row],[Date]]+data[[#This Row],[Hfin corrigée]]))=1),"oui","non")</f>
        <v>non</v>
      </c>
      <c r="R32" s="44">
        <f>MAX(0,data[[#This Row],[Hfin corrigée]]-MAX(1,data[[#This Row],[Hdébut corrigé]]))-data[[#This Row],[NUIT2.1]]-data[[#This Row],[NUIT2.2]]</f>
        <v>0</v>
      </c>
      <c r="S32" s="44">
        <f>MAX(0,MIN(1+FinNuit,data[[#This Row],[Hfin corrigée]])-MAX(1,data[[#This Row],[Hdébut corrigé]]))</f>
        <v>0</v>
      </c>
      <c r="T32" s="44">
        <f>MAX(0,(data[[#This Row],[Hfin corrigée]]-DebNuit-1))</f>
        <v>0</v>
      </c>
      <c r="U32" s="45">
        <f>IF(data[[#This Row],[Garde / Interv.]]="Intervention",MAX(0,data[[#This Row],[Hfin corrigée]]-SUMPRODUCT((data[Date]=data[[#This Row],[Date]])*(data[Garde / Interv.]="Garde")*data[Hfin corrigée])),0)</f>
        <v>0</v>
      </c>
      <c r="V3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2" s="44">
        <f>MAX(0,IF(data[[#This Row],[Garde / Interv.]]="Intervention",(data[[#This Row],[Fin Dim ou Férié]]="non")*data[[#This Row],[JOUR2]]+(data[[#This Row],[Début Dim ou Férié]]="non")*data[[#This Row],[JOUR1]],0))</f>
        <v>1.388888888888884E-2</v>
      </c>
      <c r="X32" s="44">
        <f>IF(data[[#This Row],[Garde / Interv.]]="Intervention",(data[[#This Row],[Fin Dim ou Férié]]="oui")*data[[#This Row],[JOUR2]]+(data[[#This Row],[Début Dim ou Férié]]="oui")*data[[#This Row],[JOUR1]],0)</f>
        <v>0</v>
      </c>
      <c r="Y32" s="44">
        <f>MAX(0,IF(data[[#This Row],[Garde / Interv.]]="Intervention",data[[#This Row],[NUIT1.1]]+data[[#This Row],[NUIT1.2]]+data[[#This Row],[NUIT2.1]]+data[[#This Row],[NUIT2.2]],0))</f>
        <v>0</v>
      </c>
      <c r="Z32" s="165"/>
      <c r="AA32" s="44"/>
      <c r="AB32" s="44"/>
      <c r="AC32" s="44"/>
      <c r="AD32" s="44"/>
      <c r="AE32" s="44"/>
      <c r="AF32" s="44"/>
      <c r="AG32" s="44"/>
      <c r="AH32" s="44"/>
      <c r="AI32" s="44"/>
    </row>
    <row r="33" spans="1:35" x14ac:dyDescent="0.35">
      <c r="A33" s="64">
        <v>43503</v>
      </c>
      <c r="B33" s="122" t="str">
        <f>IF(data[[#This Row],[Hdébut garde]]&lt;&gt;"","Garde",IF(data[[#This Row],[Hdébut corrigé]]&lt;&gt;"","Intervention",""))</f>
        <v>Intervention</v>
      </c>
      <c r="C33" s="79"/>
      <c r="D33" s="56"/>
      <c r="E33" s="47">
        <f>MAX(0,IF(data[[#This Row],[Garde / Interv.]]="Garde",data[[#This Row],[Hfin corrigée]]-data[[#This Row],[Hdébut corrigé]],0))</f>
        <v>0</v>
      </c>
      <c r="F33" s="80"/>
      <c r="G33" s="57"/>
      <c r="H33" s="58" t="s">
        <v>2</v>
      </c>
      <c r="I33" s="59">
        <v>0.87986111111111109</v>
      </c>
      <c r="J33" s="60">
        <v>0.94791666666666663</v>
      </c>
      <c r="K33" s="42">
        <f>IF(data[[#This Row],[Hdébut garde]]&lt;&gt;"",
data[[#This Row],[Hdébut garde]],
data[[#This Row],[Hdébut interv.]]+IF(data[[#This Row],[Hdébut interv.]]&lt;SUMPRODUCT((data[Date]=data[[#This Row],[Date]])*data[Hdébut garde]),1,0)
)</f>
        <v>0.87986111111111109</v>
      </c>
      <c r="L3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0.94791666666666663</v>
      </c>
      <c r="M33" s="43" t="str">
        <f>IF(OR(WEEKDAY(data[[#This Row],[Date]],2)=7,COUNTIF(JF,data[[#This Row],[Date]])=1),"oui","non")</f>
        <v>non</v>
      </c>
      <c r="N33" s="44">
        <f>MAX(0,(MIN(1,data[[#This Row],[Hfin corrigée]])-data[[#This Row],[Hdébut corrigé]])-data[[#This Row],[NUIT1.1]]-data[[#This Row],[NUIT1.2]])</f>
        <v>3.6805555555555536E-2</v>
      </c>
      <c r="O33" s="44">
        <f>IF(data[[#This Row],[Hfin Interv.]]="",0,(
MIN(FinNuit,MIN(1,data[[#This Row],[Hfin corrigée]]))-MIN(FinNuit,data[[#This Row],[Hdébut corrigé]])
))</f>
        <v>0</v>
      </c>
      <c r="P33" s="44">
        <f>MAX(0,(MAX(0,(MIN(1,data[[#This Row],[Hfin corrigée]])-DebNuit))-MAX(0,(data[[#This Row],[Hdébut corrigé]]-DebNuit))))</f>
        <v>3.125E-2</v>
      </c>
      <c r="Q33" s="43" t="str">
        <f>IF(OR(WEEKDAY(data[[#This Row],[Date]]+data[[#This Row],[Hfin corrigée]],2)=7,COUNTIF(JF,INT(data[[#This Row],[Date]]+data[[#This Row],[Hfin corrigée]]))=1),"oui","non")</f>
        <v>non</v>
      </c>
      <c r="R33" s="44">
        <f>MAX(0,data[[#This Row],[Hfin corrigée]]-MAX(1,data[[#This Row],[Hdébut corrigé]]))-data[[#This Row],[NUIT2.1]]-data[[#This Row],[NUIT2.2]]</f>
        <v>0</v>
      </c>
      <c r="S33" s="44">
        <f>MAX(0,MIN(1+FinNuit,data[[#This Row],[Hfin corrigée]])-MAX(1,data[[#This Row],[Hdébut corrigé]]))</f>
        <v>0</v>
      </c>
      <c r="T33" s="44">
        <f>MAX(0,(data[[#This Row],[Hfin corrigée]]-DebNuit-1))</f>
        <v>0</v>
      </c>
      <c r="U33" s="45">
        <f>IF(data[[#This Row],[Garde / Interv.]]="Intervention",MAX(0,data[[#This Row],[Hfin corrigée]]-SUMPRODUCT((data[Date]=data[[#This Row],[Date]])*(data[Garde / Interv.]="Garde")*data[Hfin corrigée])),0)</f>
        <v>0</v>
      </c>
      <c r="V3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3" s="44">
        <f>MAX(0,IF(data[[#This Row],[Garde / Interv.]]="Intervention",(data[[#This Row],[Fin Dim ou Férié]]="non")*data[[#This Row],[JOUR2]]+(data[[#This Row],[Début Dim ou Férié]]="non")*data[[#This Row],[JOUR1]],0))</f>
        <v>3.6805555555555536E-2</v>
      </c>
      <c r="X33" s="44">
        <f>IF(data[[#This Row],[Garde / Interv.]]="Intervention",(data[[#This Row],[Fin Dim ou Férié]]="oui")*data[[#This Row],[JOUR2]]+(data[[#This Row],[Début Dim ou Férié]]="oui")*data[[#This Row],[JOUR1]],0)</f>
        <v>0</v>
      </c>
      <c r="Y33" s="44">
        <f>MAX(0,IF(data[[#This Row],[Garde / Interv.]]="Intervention",data[[#This Row],[NUIT1.1]]+data[[#This Row],[NUIT1.2]]+data[[#This Row],[NUIT2.1]]+data[[#This Row],[NUIT2.2]],0))</f>
        <v>3.125E-2</v>
      </c>
      <c r="Z33" s="165"/>
      <c r="AA33" s="44"/>
      <c r="AB33" s="44"/>
      <c r="AC33" s="44"/>
      <c r="AD33" s="44"/>
      <c r="AE33" s="44"/>
      <c r="AF33" s="44"/>
      <c r="AG33" s="44"/>
      <c r="AH33" s="44"/>
      <c r="AI33" s="44"/>
    </row>
    <row r="34" spans="1:35" x14ac:dyDescent="0.35">
      <c r="A34" s="64">
        <v>43506</v>
      </c>
      <c r="B34" s="122" t="str">
        <f>IF(data[[#This Row],[Hdébut garde]]&lt;&gt;"","Garde",IF(data[[#This Row],[Hdébut corrigé]]&lt;&gt;"","Intervention",""))</f>
        <v>Garde</v>
      </c>
      <c r="C34" s="79">
        <v>0.29166666666666669</v>
      </c>
      <c r="D34" s="56">
        <v>0.79166666666666663</v>
      </c>
      <c r="E34" s="47">
        <f>MAX(0,IF(data[[#This Row],[Garde / Interv.]]="Garde",data[[#This Row],[Hfin corrigée]]-data[[#This Row],[Hdébut corrigé]],0))</f>
        <v>0.49999999999999994</v>
      </c>
      <c r="F34" s="80"/>
      <c r="G34" s="57"/>
      <c r="H34" s="58"/>
      <c r="I34" s="59"/>
      <c r="J34" s="60"/>
      <c r="K34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3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0.79166666666666663</v>
      </c>
      <c r="M34" s="43" t="str">
        <f>IF(OR(WEEKDAY(data[[#This Row],[Date]],2)=7,COUNTIF(JF,data[[#This Row],[Date]])=1),"oui","non")</f>
        <v>oui</v>
      </c>
      <c r="N34" s="44">
        <f>MAX(0,(MIN(1,data[[#This Row],[Hfin corrigée]])-data[[#This Row],[Hdébut corrigé]])-data[[#This Row],[NUIT1.1]]-data[[#This Row],[NUIT1.2]])</f>
        <v>0.49999999999999994</v>
      </c>
      <c r="O34" s="44">
        <f>IF(data[[#This Row],[Hfin Interv.]]="",0,(
MIN(FinNuit,MIN(1,data[[#This Row],[Hfin corrigée]]))-MIN(FinNuit,data[[#This Row],[Hdébut corrigé]])
))</f>
        <v>0</v>
      </c>
      <c r="P34" s="44">
        <f>MAX(0,(MAX(0,(MIN(1,data[[#This Row],[Hfin corrigée]])-DebNuit))-MAX(0,(data[[#This Row],[Hdébut corrigé]]-DebNuit))))</f>
        <v>0</v>
      </c>
      <c r="Q34" s="43" t="str">
        <f>IF(OR(WEEKDAY(data[[#This Row],[Date]]+data[[#This Row],[Hfin corrigée]],2)=7,COUNTIF(JF,INT(data[[#This Row],[Date]]+data[[#This Row],[Hfin corrigée]]))=1),"oui","non")</f>
        <v>oui</v>
      </c>
      <c r="R34" s="44">
        <f>MAX(0,data[[#This Row],[Hfin corrigée]]-MAX(1,data[[#This Row],[Hdébut corrigé]]))-data[[#This Row],[NUIT2.1]]-data[[#This Row],[NUIT2.2]]</f>
        <v>0</v>
      </c>
      <c r="S34" s="44">
        <f>MAX(0,MIN(1+FinNuit,data[[#This Row],[Hfin corrigée]])-MAX(1,data[[#This Row],[Hdébut corrigé]]))</f>
        <v>0</v>
      </c>
      <c r="T34" s="44">
        <f>MAX(0,(data[[#This Row],[Hfin corrigée]]-DebNuit-1))</f>
        <v>0</v>
      </c>
      <c r="U34" s="45">
        <f>IF(data[[#This Row],[Garde / Interv.]]="Intervention",MAX(0,data[[#This Row],[Hfin corrigée]]-SUMPRODUCT((data[Date]=data[[#This Row],[Date]])*(data[Garde / Interv.]="Garde")*data[Hfin corrigée])),0)</f>
        <v>0</v>
      </c>
      <c r="V3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0.40277777777777779</v>
      </c>
      <c r="W34" s="44">
        <f>MAX(0,IF(data[[#This Row],[Garde / Interv.]]="Intervention",(data[[#This Row],[Fin Dim ou Férié]]="non")*data[[#This Row],[JOUR2]]+(data[[#This Row],[Début Dim ou Férié]]="non")*data[[#This Row],[JOUR1]],0))</f>
        <v>0</v>
      </c>
      <c r="X34" s="44">
        <f>IF(data[[#This Row],[Garde / Interv.]]="Intervention",(data[[#This Row],[Fin Dim ou Férié]]="oui")*data[[#This Row],[JOUR2]]+(data[[#This Row],[Début Dim ou Férié]]="oui")*data[[#This Row],[JOUR1]],0)</f>
        <v>0</v>
      </c>
      <c r="Y34" s="44">
        <f>MAX(0,IF(data[[#This Row],[Garde / Interv.]]="Intervention",data[[#This Row],[NUIT1.1]]+data[[#This Row],[NUIT1.2]]+data[[#This Row],[NUIT2.1]]+data[[#This Row],[NUIT2.2]],0))</f>
        <v>0</v>
      </c>
      <c r="Z34" s="165"/>
      <c r="AA34" s="44"/>
      <c r="AB34" s="44"/>
      <c r="AC34" s="44"/>
      <c r="AD34" s="44"/>
      <c r="AE34" s="44"/>
      <c r="AF34" s="44"/>
      <c r="AG34" s="44"/>
      <c r="AH34" s="44"/>
      <c r="AI34" s="44"/>
    </row>
    <row r="35" spans="1:35" x14ac:dyDescent="0.35">
      <c r="A35" s="64">
        <v>43506</v>
      </c>
      <c r="B35" s="122" t="str">
        <f>IF(data[[#This Row],[Hdébut garde]]&lt;&gt;"","Garde",IF(data[[#This Row],[Hdébut corrigé]]&lt;&gt;"","Intervention",""))</f>
        <v>Intervention</v>
      </c>
      <c r="C35" s="79"/>
      <c r="D35" s="56"/>
      <c r="E35" s="47">
        <f>MAX(0,IF(data[[#This Row],[Garde / Interv.]]="Garde",data[[#This Row],[Hfin corrigée]]-data[[#This Row],[Hdébut corrigé]],0))</f>
        <v>0</v>
      </c>
      <c r="F35" s="80"/>
      <c r="G35" s="57"/>
      <c r="H35" s="21" t="s">
        <v>2</v>
      </c>
      <c r="I35" s="59">
        <v>0.37083333333333335</v>
      </c>
      <c r="J35" s="60">
        <v>0.4680555555555555</v>
      </c>
      <c r="K35" s="42">
        <f>IF(data[[#This Row],[Hdébut garde]]&lt;&gt;"",
data[[#This Row],[Hdébut garde]],
data[[#This Row],[Hdébut interv.]]+IF(data[[#This Row],[Hdébut interv.]]&lt;SUMPRODUCT((data[Date]=data[[#This Row],[Date]])*data[Hdébut garde]),1,0)
)</f>
        <v>0.37083333333333335</v>
      </c>
      <c r="L3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0.4680555555555555</v>
      </c>
      <c r="M35" s="43" t="str">
        <f>IF(OR(WEEKDAY(data[[#This Row],[Date]],2)=7,COUNTIF(JF,data[[#This Row],[Date]])=1),"oui","non")</f>
        <v>oui</v>
      </c>
      <c r="N35" s="44">
        <f>MAX(0,(MIN(1,data[[#This Row],[Hfin corrigée]])-data[[#This Row],[Hdébut corrigé]])-data[[#This Row],[NUIT1.1]]-data[[#This Row],[NUIT1.2]])</f>
        <v>9.7222222222222154E-2</v>
      </c>
      <c r="O35" s="44">
        <f>IF(data[[#This Row],[Hfin Interv.]]="",0,(
MIN(FinNuit,MIN(1,data[[#This Row],[Hfin corrigée]]))-MIN(FinNuit,data[[#This Row],[Hdébut corrigé]])
))</f>
        <v>0</v>
      </c>
      <c r="P35" s="44">
        <f>MAX(0,(MAX(0,(MIN(1,data[[#This Row],[Hfin corrigée]])-DebNuit))-MAX(0,(data[[#This Row],[Hdébut corrigé]]-DebNuit))))</f>
        <v>0</v>
      </c>
      <c r="Q35" s="43" t="str">
        <f>IF(OR(WEEKDAY(data[[#This Row],[Date]]+data[[#This Row],[Hfin corrigée]],2)=7,COUNTIF(JF,INT(data[[#This Row],[Date]]+data[[#This Row],[Hfin corrigée]]))=1),"oui","non")</f>
        <v>oui</v>
      </c>
      <c r="R35" s="44">
        <f>MAX(0,data[[#This Row],[Hfin corrigée]]-MAX(1,data[[#This Row],[Hdébut corrigé]]))-data[[#This Row],[NUIT2.1]]-data[[#This Row],[NUIT2.2]]</f>
        <v>0</v>
      </c>
      <c r="S35" s="44">
        <f>MAX(0,MIN(1+FinNuit,data[[#This Row],[Hfin corrigée]])-MAX(1,data[[#This Row],[Hdébut corrigé]]))</f>
        <v>0</v>
      </c>
      <c r="T35" s="44">
        <f>MAX(0,(data[[#This Row],[Hfin corrigée]]-DebNuit-1))</f>
        <v>0</v>
      </c>
      <c r="U35" s="45">
        <f>IF(data[[#This Row],[Garde / Interv.]]="Intervention",MAX(0,data[[#This Row],[Hfin corrigée]]-SUMPRODUCT((data[Date]=data[[#This Row],[Date]])*(data[Garde / Interv.]="Garde")*data[Hfin corrigée])),0)</f>
        <v>0</v>
      </c>
      <c r="V3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5" s="44">
        <f>MAX(0,IF(data[[#This Row],[Garde / Interv.]]="Intervention",(data[[#This Row],[Fin Dim ou Férié]]="non")*data[[#This Row],[JOUR2]]+(data[[#This Row],[Début Dim ou Férié]]="non")*data[[#This Row],[JOUR1]],0))</f>
        <v>0</v>
      </c>
      <c r="X35" s="44">
        <f>IF(data[[#This Row],[Garde / Interv.]]="Intervention",(data[[#This Row],[Fin Dim ou Férié]]="oui")*data[[#This Row],[JOUR2]]+(data[[#This Row],[Début Dim ou Férié]]="oui")*data[[#This Row],[JOUR1]],0)</f>
        <v>9.7222222222222154E-2</v>
      </c>
      <c r="Y35" s="44">
        <f>MAX(0,IF(data[[#This Row],[Garde / Interv.]]="Intervention",data[[#This Row],[NUIT1.1]]+data[[#This Row],[NUIT1.2]]+data[[#This Row],[NUIT2.1]]+data[[#This Row],[NUIT2.2]],0))</f>
        <v>0</v>
      </c>
      <c r="Z35" s="165"/>
      <c r="AA35" s="44"/>
      <c r="AB35" s="44"/>
      <c r="AC35" s="44"/>
      <c r="AD35" s="44"/>
      <c r="AE35" s="44"/>
      <c r="AF35" s="44"/>
      <c r="AG35" s="44"/>
      <c r="AH35" s="44"/>
      <c r="AI35" s="44"/>
    </row>
    <row r="36" spans="1:35" x14ac:dyDescent="0.35">
      <c r="A36" s="64">
        <v>43510</v>
      </c>
      <c r="B36" s="122" t="str">
        <f>IF(data[[#This Row],[Hdébut garde]]&lt;&gt;"","Garde",IF(data[[#This Row],[Hdébut corrigé]]&lt;&gt;"","Intervention",""))</f>
        <v>Garde</v>
      </c>
      <c r="C36" s="79">
        <v>0.29166666666666669</v>
      </c>
      <c r="D36" s="56">
        <v>0.20833333333333334</v>
      </c>
      <c r="E36" s="47">
        <f>MAX(0,IF(data[[#This Row],[Garde / Interv.]]="Garde",data[[#This Row],[Hfin corrigée]]-data[[#This Row],[Hdébut corrigé]],0))</f>
        <v>0.91666666666666652</v>
      </c>
      <c r="F36" s="80"/>
      <c r="G36" s="57"/>
      <c r="H36" s="58" t="s">
        <v>95</v>
      </c>
      <c r="I36" s="59"/>
      <c r="J36" s="60"/>
      <c r="K36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3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1.2083333333333333</v>
      </c>
      <c r="M36" s="43" t="str">
        <f>IF(OR(WEEKDAY(data[[#This Row],[Date]],2)=7,COUNTIF(JF,data[[#This Row],[Date]])=1),"oui","non")</f>
        <v>non</v>
      </c>
      <c r="N36" s="44">
        <f>MAX(0,(MIN(1,data[[#This Row],[Hfin corrigée]])-data[[#This Row],[Hdébut corrigé]])-data[[#This Row],[NUIT1.1]]-data[[#This Row],[NUIT1.2]])</f>
        <v>0.62499999999999989</v>
      </c>
      <c r="O36" s="44">
        <f>IF(data[[#This Row],[Hfin Interv.]]="",0,(
MIN(FinNuit,MIN(1,data[[#This Row],[Hfin corrigée]]))-MIN(FinNuit,data[[#This Row],[Hdébut corrigé]])
))</f>
        <v>0</v>
      </c>
      <c r="P36" s="44">
        <f>MAX(0,(MAX(0,(MIN(1,data[[#This Row],[Hfin corrigée]])-DebNuit))-MAX(0,(data[[#This Row],[Hdébut corrigé]]-DebNuit))))</f>
        <v>8.333333333333337E-2</v>
      </c>
      <c r="Q36" s="43" t="str">
        <f>IF(OR(WEEKDAY(data[[#This Row],[Date]]+data[[#This Row],[Hfin corrigée]],2)=7,COUNTIF(JF,INT(data[[#This Row],[Date]]+data[[#This Row],[Hfin corrigée]]))=1),"oui","non")</f>
        <v>non</v>
      </c>
      <c r="R36" s="44">
        <f>MAX(0,data[[#This Row],[Hfin corrigée]]-MAX(1,data[[#This Row],[Hdébut corrigé]]))-data[[#This Row],[NUIT2.1]]-data[[#This Row],[NUIT2.2]]</f>
        <v>0</v>
      </c>
      <c r="S36" s="44">
        <f>MAX(0,MIN(1+FinNuit,data[[#This Row],[Hfin corrigée]])-MAX(1,data[[#This Row],[Hdébut corrigé]]))</f>
        <v>0.20833333333333326</v>
      </c>
      <c r="T36" s="44">
        <f>MAX(0,(data[[#This Row],[Hfin corrigée]]-DebNuit-1))</f>
        <v>0</v>
      </c>
      <c r="U36" s="45">
        <f>IF(data[[#This Row],[Garde / Interv.]]="Intervention",MAX(0,data[[#This Row],[Hfin corrigée]]-SUMPRODUCT((data[Date]=data[[#This Row],[Date]])*(data[Garde / Interv.]="Garde")*data[Hfin corrigée])),0)</f>
        <v>0</v>
      </c>
      <c r="V3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0.91666666666666652</v>
      </c>
      <c r="W36" s="44">
        <f>MAX(0,IF(data[[#This Row],[Garde / Interv.]]="Intervention",(data[[#This Row],[Fin Dim ou Férié]]="non")*data[[#This Row],[JOUR2]]+(data[[#This Row],[Début Dim ou Férié]]="non")*data[[#This Row],[JOUR1]],0))</f>
        <v>0</v>
      </c>
      <c r="X36" s="44">
        <f>IF(data[[#This Row],[Garde / Interv.]]="Intervention",(data[[#This Row],[Fin Dim ou Férié]]="oui")*data[[#This Row],[JOUR2]]+(data[[#This Row],[Début Dim ou Férié]]="oui")*data[[#This Row],[JOUR1]],0)</f>
        <v>0</v>
      </c>
      <c r="Y36" s="44">
        <f>MAX(0,IF(data[[#This Row],[Garde / Interv.]]="Intervention",data[[#This Row],[NUIT1.1]]+data[[#This Row],[NUIT1.2]]+data[[#This Row],[NUIT2.1]]+data[[#This Row],[NUIT2.2]],0))</f>
        <v>0</v>
      </c>
      <c r="Z36" s="165"/>
      <c r="AA36" s="44"/>
      <c r="AB36" s="44"/>
      <c r="AC36" s="44"/>
      <c r="AD36" s="44"/>
      <c r="AE36" s="44"/>
      <c r="AF36" s="44"/>
      <c r="AG36" s="44"/>
      <c r="AH36" s="44"/>
      <c r="AI36" s="44"/>
    </row>
    <row r="37" spans="1:35" x14ac:dyDescent="0.35">
      <c r="A37" s="64">
        <v>43513</v>
      </c>
      <c r="B37" s="122" t="str">
        <f>IF(data[[#This Row],[Hdébut garde]]&lt;&gt;"","Garde",IF(data[[#This Row],[Hdébut corrigé]]&lt;&gt;"","Intervention",""))</f>
        <v>Garde</v>
      </c>
      <c r="C37" s="79">
        <v>0.29166666666666669</v>
      </c>
      <c r="D37" s="56">
        <v>0.29166666666666669</v>
      </c>
      <c r="E37" s="47">
        <f>MAX(0,IF(data[[#This Row],[Garde / Interv.]]="Garde",data[[#This Row],[Hfin corrigée]]-data[[#This Row],[Hdébut corrigé]],0))</f>
        <v>1</v>
      </c>
      <c r="F37" s="80"/>
      <c r="G37" s="57"/>
      <c r="H37" s="58"/>
      <c r="I37" s="59"/>
      <c r="J37" s="60"/>
      <c r="K37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3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37" s="43" t="str">
        <f>IF(OR(WEEKDAY(data[[#This Row],[Date]],2)=7,COUNTIF(JF,data[[#This Row],[Date]])=1),"oui","non")</f>
        <v>oui</v>
      </c>
      <c r="N37" s="44">
        <f>MAX(0,(MIN(1,data[[#This Row],[Hfin corrigée]])-data[[#This Row],[Hdébut corrigé]])-data[[#This Row],[NUIT1.1]]-data[[#This Row],[NUIT1.2]])</f>
        <v>0.62499999999999989</v>
      </c>
      <c r="O37" s="44">
        <f>IF(data[[#This Row],[Hfin Interv.]]="",0,(
MIN(FinNuit,MIN(1,data[[#This Row],[Hfin corrigée]]))-MIN(FinNuit,data[[#This Row],[Hdébut corrigé]])
))</f>
        <v>0</v>
      </c>
      <c r="P37" s="44">
        <f>MAX(0,(MAX(0,(MIN(1,data[[#This Row],[Hfin corrigée]])-DebNuit))-MAX(0,(data[[#This Row],[Hdébut corrigé]]-DebNuit))))</f>
        <v>8.333333333333337E-2</v>
      </c>
      <c r="Q37" s="43" t="str">
        <f>IF(OR(WEEKDAY(data[[#This Row],[Date]]+data[[#This Row],[Hfin corrigée]],2)=7,COUNTIF(JF,INT(data[[#This Row],[Date]]+data[[#This Row],[Hfin corrigée]]))=1),"oui","non")</f>
        <v>non</v>
      </c>
      <c r="R37" s="44">
        <f>MAX(0,data[[#This Row],[Hfin corrigée]]-MAX(1,data[[#This Row],[Hdébut corrigé]]))-data[[#This Row],[NUIT2.1]]-data[[#This Row],[NUIT2.2]]</f>
        <v>0</v>
      </c>
      <c r="S37" s="44">
        <f>MAX(0,MIN(1+FinNuit,data[[#This Row],[Hfin corrigée]])-MAX(1,data[[#This Row],[Hdébut corrigé]]))</f>
        <v>0.29166666666666674</v>
      </c>
      <c r="T37" s="44">
        <f>MAX(0,(data[[#This Row],[Hfin corrigée]]-DebNuit-1))</f>
        <v>0</v>
      </c>
      <c r="U37" s="45">
        <f>IF(data[[#This Row],[Garde / Interv.]]="Intervention",MAX(0,data[[#This Row],[Hfin corrigée]]-SUMPRODUCT((data[Date]=data[[#This Row],[Date]])*(data[Garde / Interv.]="Garde")*data[Hfin corrigée])),0)</f>
        <v>0</v>
      </c>
      <c r="V3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0.80972222222222223</v>
      </c>
      <c r="W37" s="44">
        <f>MAX(0,IF(data[[#This Row],[Garde / Interv.]]="Intervention",(data[[#This Row],[Fin Dim ou Férié]]="non")*data[[#This Row],[JOUR2]]+(data[[#This Row],[Début Dim ou Férié]]="non")*data[[#This Row],[JOUR1]],0))</f>
        <v>0</v>
      </c>
      <c r="X37" s="44">
        <f>IF(data[[#This Row],[Garde / Interv.]]="Intervention",(data[[#This Row],[Fin Dim ou Férié]]="oui")*data[[#This Row],[JOUR2]]+(data[[#This Row],[Début Dim ou Férié]]="oui")*data[[#This Row],[JOUR1]],0)</f>
        <v>0</v>
      </c>
      <c r="Y37" s="44">
        <f>MAX(0,IF(data[[#This Row],[Garde / Interv.]]="Intervention",data[[#This Row],[NUIT1.1]]+data[[#This Row],[NUIT1.2]]+data[[#This Row],[NUIT2.1]]+data[[#This Row],[NUIT2.2]],0))</f>
        <v>0</v>
      </c>
      <c r="Z37" s="165"/>
      <c r="AA37" s="44"/>
      <c r="AB37" s="44"/>
      <c r="AC37" s="44"/>
      <c r="AD37" s="44"/>
      <c r="AE37" s="44"/>
      <c r="AF37" s="44"/>
      <c r="AG37" s="44"/>
      <c r="AH37" s="44"/>
      <c r="AI37" s="44"/>
    </row>
    <row r="38" spans="1:35" x14ac:dyDescent="0.35">
      <c r="A38" s="64">
        <v>43513</v>
      </c>
      <c r="B38" s="122" t="str">
        <f>IF(data[[#This Row],[Hdébut garde]]&lt;&gt;"","Garde",IF(data[[#This Row],[Hdébut corrigé]]&lt;&gt;"","Intervention",""))</f>
        <v>Intervention</v>
      </c>
      <c r="C38" s="79"/>
      <c r="D38" s="56"/>
      <c r="E38" s="47">
        <f>MAX(0,IF(data[[#This Row],[Garde / Interv.]]="Garde",data[[#This Row],[Hfin corrigée]]-data[[#This Row],[Hdébut corrigé]],0))</f>
        <v>0</v>
      </c>
      <c r="F38" s="80"/>
      <c r="G38" s="57"/>
      <c r="H38" s="58"/>
      <c r="I38" s="59">
        <v>0.35347222222222219</v>
      </c>
      <c r="J38" s="60">
        <v>0.42499999999999999</v>
      </c>
      <c r="K38" s="42">
        <f>IF(data[[#This Row],[Hdébut garde]]&lt;&gt;"",
data[[#This Row],[Hdébut garde]],
data[[#This Row],[Hdébut interv.]]+IF(data[[#This Row],[Hdébut interv.]]&lt;SUMPRODUCT((data[Date]=data[[#This Row],[Date]])*data[Hdébut garde]),1,0)
)</f>
        <v>0.35347222222222219</v>
      </c>
      <c r="L3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0.42499999999999999</v>
      </c>
      <c r="M38" s="43" t="str">
        <f>IF(OR(WEEKDAY(data[[#This Row],[Date]],2)=7,COUNTIF(JF,data[[#This Row],[Date]])=1),"oui","non")</f>
        <v>oui</v>
      </c>
      <c r="N38" s="44">
        <f>MAX(0,(MIN(1,data[[#This Row],[Hfin corrigée]])-data[[#This Row],[Hdébut corrigé]])-data[[#This Row],[NUIT1.1]]-data[[#This Row],[NUIT1.2]])</f>
        <v>7.1527777777777801E-2</v>
      </c>
      <c r="O38" s="44">
        <f>IF(data[[#This Row],[Hfin Interv.]]="",0,(
MIN(FinNuit,MIN(1,data[[#This Row],[Hfin corrigée]]))-MIN(FinNuit,data[[#This Row],[Hdébut corrigé]])
))</f>
        <v>0</v>
      </c>
      <c r="P38" s="44">
        <f>MAX(0,(MAX(0,(MIN(1,data[[#This Row],[Hfin corrigée]])-DebNuit))-MAX(0,(data[[#This Row],[Hdébut corrigé]]-DebNuit))))</f>
        <v>0</v>
      </c>
      <c r="Q38" s="43" t="str">
        <f>IF(OR(WEEKDAY(data[[#This Row],[Date]]+data[[#This Row],[Hfin corrigée]],2)=7,COUNTIF(JF,INT(data[[#This Row],[Date]]+data[[#This Row],[Hfin corrigée]]))=1),"oui","non")</f>
        <v>oui</v>
      </c>
      <c r="R38" s="44">
        <f>MAX(0,data[[#This Row],[Hfin corrigée]]-MAX(1,data[[#This Row],[Hdébut corrigé]]))-data[[#This Row],[NUIT2.1]]-data[[#This Row],[NUIT2.2]]</f>
        <v>0</v>
      </c>
      <c r="S38" s="44">
        <f>MAX(0,MIN(1+FinNuit,data[[#This Row],[Hfin corrigée]])-MAX(1,data[[#This Row],[Hdébut corrigé]]))</f>
        <v>0</v>
      </c>
      <c r="T38" s="44">
        <f>MAX(0,(data[[#This Row],[Hfin corrigée]]-DebNuit-1))</f>
        <v>0</v>
      </c>
      <c r="U38" s="45">
        <f>IF(data[[#This Row],[Garde / Interv.]]="Intervention",MAX(0,data[[#This Row],[Hfin corrigée]]-SUMPRODUCT((data[Date]=data[[#This Row],[Date]])*(data[Garde / Interv.]="Garde")*data[Hfin corrigée])),0)</f>
        <v>0</v>
      </c>
      <c r="V3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8" s="44">
        <f>MAX(0,IF(data[[#This Row],[Garde / Interv.]]="Intervention",(data[[#This Row],[Fin Dim ou Férié]]="non")*data[[#This Row],[JOUR2]]+(data[[#This Row],[Début Dim ou Férié]]="non")*data[[#This Row],[JOUR1]],0))</f>
        <v>0</v>
      </c>
      <c r="X38" s="44">
        <f>IF(data[[#This Row],[Garde / Interv.]]="Intervention",(data[[#This Row],[Fin Dim ou Férié]]="oui")*data[[#This Row],[JOUR2]]+(data[[#This Row],[Début Dim ou Férié]]="oui")*data[[#This Row],[JOUR1]],0)</f>
        <v>7.1527777777777801E-2</v>
      </c>
      <c r="Y38" s="44">
        <f>MAX(0,IF(data[[#This Row],[Garde / Interv.]]="Intervention",data[[#This Row],[NUIT1.1]]+data[[#This Row],[NUIT1.2]]+data[[#This Row],[NUIT2.1]]+data[[#This Row],[NUIT2.2]],0))</f>
        <v>0</v>
      </c>
      <c r="Z38" s="165"/>
      <c r="AA38" s="44"/>
      <c r="AB38" s="44"/>
      <c r="AC38" s="44"/>
      <c r="AD38" s="44"/>
      <c r="AE38" s="44"/>
      <c r="AF38" s="44"/>
      <c r="AG38" s="44"/>
      <c r="AH38" s="44"/>
      <c r="AI38" s="44"/>
    </row>
    <row r="39" spans="1:35" x14ac:dyDescent="0.35">
      <c r="A39" s="64">
        <v>43513</v>
      </c>
      <c r="B39" s="122" t="str">
        <f>IF(data[[#This Row],[Hdébut garde]]&lt;&gt;"","Garde",IF(data[[#This Row],[Hdébut corrigé]]&lt;&gt;"","Intervention",""))</f>
        <v>Intervention</v>
      </c>
      <c r="C39" s="79"/>
      <c r="D39" s="56"/>
      <c r="E39" s="47">
        <f>MAX(0,IF(data[[#This Row],[Garde / Interv.]]="Garde",data[[#This Row],[Hfin corrigée]]-data[[#This Row],[Hdébut corrigé]],0))</f>
        <v>0</v>
      </c>
      <c r="F39" s="80"/>
      <c r="G39" s="57"/>
      <c r="H39" s="58"/>
      <c r="I39" s="59">
        <v>0.46458333333333335</v>
      </c>
      <c r="J39" s="60">
        <v>0.52083333333333337</v>
      </c>
      <c r="K39" s="42">
        <f>IF(data[[#This Row],[Hdébut garde]]&lt;&gt;"",
data[[#This Row],[Hdébut garde]],
data[[#This Row],[Hdébut interv.]]+IF(data[[#This Row],[Hdébut interv.]]&lt;SUMPRODUCT((data[Date]=data[[#This Row],[Date]])*data[Hdébut garde]),1,0)
)</f>
        <v>0.46458333333333335</v>
      </c>
      <c r="L3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0.52083333333333337</v>
      </c>
      <c r="M39" s="43" t="str">
        <f>IF(OR(WEEKDAY(data[[#This Row],[Date]],2)=7,COUNTIF(JF,data[[#This Row],[Date]])=1),"oui","non")</f>
        <v>oui</v>
      </c>
      <c r="N39" s="44">
        <f>MAX(0,(MIN(1,data[[#This Row],[Hfin corrigée]])-data[[#This Row],[Hdébut corrigé]])-data[[#This Row],[NUIT1.1]]-data[[#This Row],[NUIT1.2]])</f>
        <v>5.6250000000000022E-2</v>
      </c>
      <c r="O39" s="44">
        <f>IF(data[[#This Row],[Hfin Interv.]]="",0,(
MIN(FinNuit,MIN(1,data[[#This Row],[Hfin corrigée]]))-MIN(FinNuit,data[[#This Row],[Hdébut corrigé]])
))</f>
        <v>0</v>
      </c>
      <c r="P39" s="44">
        <f>MAX(0,(MAX(0,(MIN(1,data[[#This Row],[Hfin corrigée]])-DebNuit))-MAX(0,(data[[#This Row],[Hdébut corrigé]]-DebNuit))))</f>
        <v>0</v>
      </c>
      <c r="Q39" s="43" t="str">
        <f>IF(OR(WEEKDAY(data[[#This Row],[Date]]+data[[#This Row],[Hfin corrigée]],2)=7,COUNTIF(JF,INT(data[[#This Row],[Date]]+data[[#This Row],[Hfin corrigée]]))=1),"oui","non")</f>
        <v>oui</v>
      </c>
      <c r="R39" s="44">
        <f>MAX(0,data[[#This Row],[Hfin corrigée]]-MAX(1,data[[#This Row],[Hdébut corrigé]]))-data[[#This Row],[NUIT2.1]]-data[[#This Row],[NUIT2.2]]</f>
        <v>0</v>
      </c>
      <c r="S39" s="44">
        <f>MAX(0,MIN(1+FinNuit,data[[#This Row],[Hfin corrigée]])-MAX(1,data[[#This Row],[Hdébut corrigé]]))</f>
        <v>0</v>
      </c>
      <c r="T39" s="44">
        <f>MAX(0,(data[[#This Row],[Hfin corrigée]]-DebNuit-1))</f>
        <v>0</v>
      </c>
      <c r="U39" s="45">
        <f>IF(data[[#This Row],[Garde / Interv.]]="Intervention",MAX(0,data[[#This Row],[Hfin corrigée]]-SUMPRODUCT((data[Date]=data[[#This Row],[Date]])*(data[Garde / Interv.]="Garde")*data[Hfin corrigée])),0)</f>
        <v>0</v>
      </c>
      <c r="V3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39" s="44">
        <f>MAX(0,IF(data[[#This Row],[Garde / Interv.]]="Intervention",(data[[#This Row],[Fin Dim ou Férié]]="non")*data[[#This Row],[JOUR2]]+(data[[#This Row],[Début Dim ou Férié]]="non")*data[[#This Row],[JOUR1]],0))</f>
        <v>0</v>
      </c>
      <c r="X39" s="44">
        <f>IF(data[[#This Row],[Garde / Interv.]]="Intervention",(data[[#This Row],[Fin Dim ou Férié]]="oui")*data[[#This Row],[JOUR2]]+(data[[#This Row],[Début Dim ou Férié]]="oui")*data[[#This Row],[JOUR1]],0)</f>
        <v>5.6250000000000022E-2</v>
      </c>
      <c r="Y39" s="44">
        <f>MAX(0,IF(data[[#This Row],[Garde / Interv.]]="Intervention",data[[#This Row],[NUIT1.1]]+data[[#This Row],[NUIT1.2]]+data[[#This Row],[NUIT2.1]]+data[[#This Row],[NUIT2.2]],0))</f>
        <v>0</v>
      </c>
      <c r="Z39" s="165"/>
      <c r="AA39" s="44"/>
      <c r="AB39" s="44"/>
      <c r="AC39" s="44"/>
      <c r="AD39" s="44"/>
      <c r="AE39" s="44"/>
      <c r="AF39" s="44"/>
      <c r="AG39" s="44"/>
      <c r="AH39" s="44"/>
      <c r="AI39" s="44"/>
    </row>
    <row r="40" spans="1:35" x14ac:dyDescent="0.35">
      <c r="A40" s="64">
        <v>43513</v>
      </c>
      <c r="B40" s="122" t="str">
        <f>IF(data[[#This Row],[Hdébut garde]]&lt;&gt;"","Garde",IF(data[[#This Row],[Hdébut corrigé]]&lt;&gt;"","Intervention",""))</f>
        <v>Intervention</v>
      </c>
      <c r="C40" s="79"/>
      <c r="D40" s="56"/>
      <c r="E40" s="47">
        <f>MAX(0,IF(data[[#This Row],[Garde / Interv.]]="Garde",data[[#This Row],[Hfin corrigée]]-data[[#This Row],[Hdébut corrigé]],0))</f>
        <v>0</v>
      </c>
      <c r="F40" s="80"/>
      <c r="G40" s="57"/>
      <c r="H40" s="58"/>
      <c r="I40" s="59">
        <v>0.59583333333333333</v>
      </c>
      <c r="J40" s="60">
        <v>0.65833333333333333</v>
      </c>
      <c r="K40" s="42">
        <f>IF(data[[#This Row],[Hdébut garde]]&lt;&gt;"",
data[[#This Row],[Hdébut garde]],
data[[#This Row],[Hdébut interv.]]+IF(data[[#This Row],[Hdébut interv.]]&lt;SUMPRODUCT((data[Date]=data[[#This Row],[Date]])*data[Hdébut garde]),1,0)
)</f>
        <v>0.59583333333333333</v>
      </c>
      <c r="L4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0.65833333333333333</v>
      </c>
      <c r="M40" s="43" t="str">
        <f>IF(OR(WEEKDAY(data[[#This Row],[Date]],2)=7,COUNTIF(JF,data[[#This Row],[Date]])=1),"oui","non")</f>
        <v>oui</v>
      </c>
      <c r="N40" s="44">
        <f>MAX(0,(MIN(1,data[[#This Row],[Hfin corrigée]])-data[[#This Row],[Hdébut corrigé]])-data[[#This Row],[NUIT1.1]]-data[[#This Row],[NUIT1.2]])</f>
        <v>6.25E-2</v>
      </c>
      <c r="O40" s="44">
        <f>IF(data[[#This Row],[Hfin Interv.]]="",0,(
MIN(FinNuit,MIN(1,data[[#This Row],[Hfin corrigée]]))-MIN(FinNuit,data[[#This Row],[Hdébut corrigé]])
))</f>
        <v>0</v>
      </c>
      <c r="P40" s="44">
        <f>MAX(0,(MAX(0,(MIN(1,data[[#This Row],[Hfin corrigée]])-DebNuit))-MAX(0,(data[[#This Row],[Hdébut corrigé]]-DebNuit))))</f>
        <v>0</v>
      </c>
      <c r="Q40" s="43" t="str">
        <f>IF(OR(WEEKDAY(data[[#This Row],[Date]]+data[[#This Row],[Hfin corrigée]],2)=7,COUNTIF(JF,INT(data[[#This Row],[Date]]+data[[#This Row],[Hfin corrigée]]))=1),"oui","non")</f>
        <v>oui</v>
      </c>
      <c r="R40" s="44">
        <f>MAX(0,data[[#This Row],[Hfin corrigée]]-MAX(1,data[[#This Row],[Hdébut corrigé]]))-data[[#This Row],[NUIT2.1]]-data[[#This Row],[NUIT2.2]]</f>
        <v>0</v>
      </c>
      <c r="S40" s="44">
        <f>MAX(0,MIN(1+FinNuit,data[[#This Row],[Hfin corrigée]])-MAX(1,data[[#This Row],[Hdébut corrigé]]))</f>
        <v>0</v>
      </c>
      <c r="T40" s="44">
        <f>MAX(0,(data[[#This Row],[Hfin corrigée]]-DebNuit-1))</f>
        <v>0</v>
      </c>
      <c r="U40" s="45">
        <f>IF(data[[#This Row],[Garde / Interv.]]="Intervention",MAX(0,data[[#This Row],[Hfin corrigée]]-SUMPRODUCT((data[Date]=data[[#This Row],[Date]])*(data[Garde / Interv.]="Garde")*data[Hfin corrigée])),0)</f>
        <v>0</v>
      </c>
      <c r="V4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0" s="44">
        <f>MAX(0,IF(data[[#This Row],[Garde / Interv.]]="Intervention",(data[[#This Row],[Fin Dim ou Férié]]="non")*data[[#This Row],[JOUR2]]+(data[[#This Row],[Début Dim ou Férié]]="non")*data[[#This Row],[JOUR1]],0))</f>
        <v>0</v>
      </c>
      <c r="X40" s="44">
        <f>IF(data[[#This Row],[Garde / Interv.]]="Intervention",(data[[#This Row],[Fin Dim ou Férié]]="oui")*data[[#This Row],[JOUR2]]+(data[[#This Row],[Début Dim ou Férié]]="oui")*data[[#This Row],[JOUR1]],0)</f>
        <v>6.25E-2</v>
      </c>
      <c r="Y40" s="44">
        <f>MAX(0,IF(data[[#This Row],[Garde / Interv.]]="Intervention",data[[#This Row],[NUIT1.1]]+data[[#This Row],[NUIT1.2]]+data[[#This Row],[NUIT2.1]]+data[[#This Row],[NUIT2.2]],0))</f>
        <v>0</v>
      </c>
      <c r="Z40" s="165"/>
      <c r="AA40" s="44"/>
      <c r="AB40" s="44"/>
      <c r="AC40" s="44"/>
      <c r="AD40" s="44"/>
      <c r="AE40" s="44"/>
      <c r="AF40" s="44"/>
      <c r="AG40" s="44"/>
      <c r="AH40" s="44"/>
      <c r="AI40" s="44"/>
    </row>
    <row r="41" spans="1:35" s="137" customFormat="1" ht="15" thickBot="1" x14ac:dyDescent="0.4">
      <c r="A41" s="123">
        <v>43517</v>
      </c>
      <c r="B41" s="124" t="str">
        <f>IF(data[[#This Row],[Hdébut garde]]&lt;&gt;"","Garde",IF(data[[#This Row],[Hdébut corrigé]]&lt;&gt;"","Intervention",""))</f>
        <v>Garde</v>
      </c>
      <c r="C41" s="125">
        <v>0.29166666666666669</v>
      </c>
      <c r="D41" s="126">
        <v>0.29166666666666669</v>
      </c>
      <c r="E41" s="127">
        <f>MAX(0,IF(data[[#This Row],[Garde / Interv.]]="Garde",data[[#This Row],[Hfin corrigée]]-data[[#This Row],[Hdébut corrigé]],0))</f>
        <v>1</v>
      </c>
      <c r="F41" s="128"/>
      <c r="G41" s="129"/>
      <c r="H41" s="130" t="s">
        <v>95</v>
      </c>
      <c r="I41" s="131"/>
      <c r="J41" s="132"/>
      <c r="K41" s="133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41" s="133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41" s="134" t="str">
        <f>IF(OR(WEEKDAY(data[[#This Row],[Date]],2)=7,COUNTIF(JF,data[[#This Row],[Date]])=1),"oui","non")</f>
        <v>non</v>
      </c>
      <c r="N41" s="135">
        <f>MAX(0,(MIN(1,data[[#This Row],[Hfin corrigée]])-data[[#This Row],[Hdébut corrigé]])-data[[#This Row],[NUIT1.1]]-data[[#This Row],[NUIT1.2]])</f>
        <v>0.62499999999999989</v>
      </c>
      <c r="O41" s="135">
        <f>IF(data[[#This Row],[Hfin Interv.]]="",0,(
MIN(FinNuit,MIN(1,data[[#This Row],[Hfin corrigée]]))-MIN(FinNuit,data[[#This Row],[Hdébut corrigé]])
))</f>
        <v>0</v>
      </c>
      <c r="P41" s="135">
        <f>MAX(0,(MAX(0,(MIN(1,data[[#This Row],[Hfin corrigée]])-DebNuit))-MAX(0,(data[[#This Row],[Hdébut corrigé]]-DebNuit))))</f>
        <v>8.333333333333337E-2</v>
      </c>
      <c r="Q41" s="134" t="str">
        <f>IF(OR(WEEKDAY(data[[#This Row],[Date]]+data[[#This Row],[Hfin corrigée]],2)=7,COUNTIF(JF,INT(data[[#This Row],[Date]]+data[[#This Row],[Hfin corrigée]]))=1),"oui","non")</f>
        <v>non</v>
      </c>
      <c r="R41" s="135">
        <f>MAX(0,data[[#This Row],[Hfin corrigée]]-MAX(1,data[[#This Row],[Hdébut corrigé]]))-data[[#This Row],[NUIT2.1]]-data[[#This Row],[NUIT2.2]]</f>
        <v>0</v>
      </c>
      <c r="S41" s="135">
        <f>MAX(0,MIN(1+FinNuit,data[[#This Row],[Hfin corrigée]])-MAX(1,data[[#This Row],[Hdébut corrigé]]))</f>
        <v>0.29166666666666674</v>
      </c>
      <c r="T41" s="135">
        <f>MAX(0,(data[[#This Row],[Hfin corrigée]]-DebNuit-1))</f>
        <v>0</v>
      </c>
      <c r="U41" s="136">
        <f>IF(data[[#This Row],[Garde / Interv.]]="Intervention",MAX(0,data[[#This Row],[Hfin corrigée]]-SUMPRODUCT((data[Date]=data[[#This Row],[Date]])*(data[Garde / Interv.]="Garde")*data[Hfin corrigée])),0)</f>
        <v>0</v>
      </c>
      <c r="V41" s="13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1</v>
      </c>
      <c r="W41" s="135">
        <f>MAX(0,IF(data[[#This Row],[Garde / Interv.]]="Intervention",(data[[#This Row],[Fin Dim ou Férié]]="non")*data[[#This Row],[JOUR2]]+(data[[#This Row],[Début Dim ou Férié]]="non")*data[[#This Row],[JOUR1]],0))</f>
        <v>0</v>
      </c>
      <c r="X41" s="135">
        <f>IF(data[[#This Row],[Garde / Interv.]]="Intervention",(data[[#This Row],[Fin Dim ou Férié]]="oui")*data[[#This Row],[JOUR2]]+(data[[#This Row],[Début Dim ou Férié]]="oui")*data[[#This Row],[JOUR1]],0)</f>
        <v>0</v>
      </c>
      <c r="Y41" s="135">
        <f>MAX(0,IF(data[[#This Row],[Garde / Interv.]]="Intervention",data[[#This Row],[NUIT1.1]]+data[[#This Row],[NUIT1.2]]+data[[#This Row],[NUIT2.1]]+data[[#This Row],[NUIT2.2]],0))</f>
        <v>0</v>
      </c>
      <c r="Z41" s="166"/>
      <c r="AA41" s="135"/>
      <c r="AB41" s="135"/>
      <c r="AC41" s="135"/>
      <c r="AD41" s="135"/>
      <c r="AE41" s="135"/>
      <c r="AF41" s="135"/>
      <c r="AG41" s="135"/>
      <c r="AH41" s="135"/>
      <c r="AI41" s="135"/>
    </row>
    <row r="42" spans="1:35" ht="15" thickTop="1" x14ac:dyDescent="0.35">
      <c r="A42" s="64">
        <v>43532</v>
      </c>
      <c r="B42" s="122" t="str">
        <f>IF(data[[#This Row],[Hdébut garde]]&lt;&gt;"","Garde",IF(data[[#This Row],[Hdébut corrigé]]&lt;&gt;"","Intervention",""))</f>
        <v>Garde</v>
      </c>
      <c r="C42" s="79">
        <v>0.45833333333333331</v>
      </c>
      <c r="D42" s="56">
        <v>0.29166666666666669</v>
      </c>
      <c r="E42" s="47">
        <f>MAX(0,IF(data[[#This Row],[Garde / Interv.]]="Garde",data[[#This Row],[Hfin corrigée]]-data[[#This Row],[Hdébut corrigé]],0))</f>
        <v>0.83333333333333348</v>
      </c>
      <c r="F42" s="80"/>
      <c r="G42" s="57"/>
      <c r="H42" s="58"/>
      <c r="I42" s="59"/>
      <c r="J42" s="60"/>
      <c r="K42" s="42">
        <f>IF(data[[#This Row],[Hdébut garde]]&lt;&gt;"",
data[[#This Row],[Hdébut garde]],
data[[#This Row],[Hdébut interv.]]+IF(data[[#This Row],[Hdébut interv.]]&lt;SUMPRODUCT((data[Date]=data[[#This Row],[Date]])*data[Hdébut garde]),1,0)
)</f>
        <v>0.45833333333333331</v>
      </c>
      <c r="L4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42" s="43" t="str">
        <f>IF(OR(WEEKDAY(data[[#This Row],[Date]],2)=7,COUNTIF(JF,data[[#This Row],[Date]])=1),"oui","non")</f>
        <v>non</v>
      </c>
      <c r="N42" s="44">
        <f>MAX(0,(MIN(1,data[[#This Row],[Hfin corrigée]])-data[[#This Row],[Hdébut corrigé]])-data[[#This Row],[NUIT1.1]]-data[[#This Row],[NUIT1.2]])</f>
        <v>0.45833333333333337</v>
      </c>
      <c r="O42" s="44">
        <f>IF(data[[#This Row],[Hfin Interv.]]="",0,(
MIN(FinNuit,MIN(1,data[[#This Row],[Hfin corrigée]]))-MIN(FinNuit,data[[#This Row],[Hdébut corrigé]])
))</f>
        <v>0</v>
      </c>
      <c r="P42" s="44">
        <f>MAX(0,(MAX(0,(MIN(1,data[[#This Row],[Hfin corrigée]])-DebNuit))-MAX(0,(data[[#This Row],[Hdébut corrigé]]-DebNuit))))</f>
        <v>8.333333333333337E-2</v>
      </c>
      <c r="Q42" s="43" t="str">
        <f>IF(OR(WEEKDAY(data[[#This Row],[Date]]+data[[#This Row],[Hfin corrigée]],2)=7,COUNTIF(JF,INT(data[[#This Row],[Date]]+data[[#This Row],[Hfin corrigée]]))=1),"oui","non")</f>
        <v>non</v>
      </c>
      <c r="R42" s="44">
        <f>MAX(0,data[[#This Row],[Hfin corrigée]]-MAX(1,data[[#This Row],[Hdébut corrigé]]))-data[[#This Row],[NUIT2.1]]-data[[#This Row],[NUIT2.2]]</f>
        <v>0</v>
      </c>
      <c r="S42" s="44">
        <f>MAX(0,MIN(1+FinNuit,data[[#This Row],[Hfin corrigée]])-MAX(1,data[[#This Row],[Hdébut corrigé]]))</f>
        <v>0.29166666666666674</v>
      </c>
      <c r="T42" s="44">
        <f>MAX(0,(data[[#This Row],[Hfin corrigée]]-DebNuit-1))</f>
        <v>0</v>
      </c>
      <c r="U42" s="45">
        <f>IF(data[[#This Row],[Garde / Interv.]]="Intervention",MAX(0,data[[#This Row],[Hfin corrigée]]-SUMPRODUCT((data[Date]=data[[#This Row],[Date]])*(data[Garde / Interv.]="Garde")*data[Hfin corrigée])),0)</f>
        <v>0</v>
      </c>
      <c r="V4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0.67638888888888893</v>
      </c>
      <c r="W42" s="44">
        <f>MAX(0,IF(data[[#This Row],[Garde / Interv.]]="Intervention",(data[[#This Row],[Fin Dim ou Férié]]="non")*data[[#This Row],[JOUR2]]+(data[[#This Row],[Début Dim ou Férié]]="non")*data[[#This Row],[JOUR1]],0))</f>
        <v>0</v>
      </c>
      <c r="X42" s="44">
        <f>IF(data[[#This Row],[Garde / Interv.]]="Intervention",(data[[#This Row],[Fin Dim ou Férié]]="oui")*data[[#This Row],[JOUR2]]+(data[[#This Row],[Début Dim ou Férié]]="oui")*data[[#This Row],[JOUR1]],0)</f>
        <v>0</v>
      </c>
      <c r="Y42" s="44">
        <f>MAX(0,IF(data[[#This Row],[Garde / Interv.]]="Intervention",data[[#This Row],[NUIT1.1]]+data[[#This Row],[NUIT1.2]]+data[[#This Row],[NUIT2.1]]+data[[#This Row],[NUIT2.2]],0))</f>
        <v>0</v>
      </c>
      <c r="Z42" s="165"/>
      <c r="AA42" s="44"/>
      <c r="AB42" s="44"/>
      <c r="AC42" s="44"/>
      <c r="AD42" s="44"/>
      <c r="AE42" s="44"/>
      <c r="AF42" s="44"/>
      <c r="AG42" s="44"/>
      <c r="AH42" s="44"/>
      <c r="AI42" s="44"/>
    </row>
    <row r="43" spans="1:35" x14ac:dyDescent="0.35">
      <c r="A43" s="64">
        <v>43532</v>
      </c>
      <c r="B43" s="122" t="str">
        <f>IF(data[[#This Row],[Hdébut garde]]&lt;&gt;"","Garde",IF(data[[#This Row],[Hdébut corrigé]]&lt;&gt;"","Intervention",""))</f>
        <v>Intervention</v>
      </c>
      <c r="C43" s="79"/>
      <c r="D43" s="56"/>
      <c r="E43" s="47">
        <f>MAX(0,IF(data[[#This Row],[Garde / Interv.]]="Garde",data[[#This Row],[Hfin corrigée]]-data[[#This Row],[Hdébut corrigé]],0))</f>
        <v>0</v>
      </c>
      <c r="F43" s="80"/>
      <c r="G43" s="57"/>
      <c r="H43" s="58" t="s">
        <v>2</v>
      </c>
      <c r="I43" s="59">
        <v>0.48194444444444445</v>
      </c>
      <c r="J43" s="60">
        <v>0.51527777777777783</v>
      </c>
      <c r="K43" s="42">
        <f>IF(data[[#This Row],[Hdébut garde]]&lt;&gt;"",
data[[#This Row],[Hdébut garde]],
data[[#This Row],[Hdébut interv.]]+IF(data[[#This Row],[Hdébut interv.]]&lt;SUMPRODUCT((data[Date]=data[[#This Row],[Date]])*data[Hdébut garde]),1,0)
)</f>
        <v>0.48194444444444445</v>
      </c>
      <c r="L4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0.51527777777777783</v>
      </c>
      <c r="M43" s="43" t="str">
        <f>IF(OR(WEEKDAY(data[[#This Row],[Date]],2)=7,COUNTIF(JF,data[[#This Row],[Date]])=1),"oui","non")</f>
        <v>non</v>
      </c>
      <c r="N43" s="44">
        <f>MAX(0,(MIN(1,data[[#This Row],[Hfin corrigée]])-data[[#This Row],[Hdébut corrigé]])-data[[#This Row],[NUIT1.1]]-data[[#This Row],[NUIT1.2]])</f>
        <v>3.3333333333333381E-2</v>
      </c>
      <c r="O43" s="44">
        <f>IF(data[[#This Row],[Hfin Interv.]]="",0,(
MIN(FinNuit,MIN(1,data[[#This Row],[Hfin corrigée]]))-MIN(FinNuit,data[[#This Row],[Hdébut corrigé]])
))</f>
        <v>0</v>
      </c>
      <c r="P43" s="44">
        <f>MAX(0,(MAX(0,(MIN(1,data[[#This Row],[Hfin corrigée]])-DebNuit))-MAX(0,(data[[#This Row],[Hdébut corrigé]]-DebNuit))))</f>
        <v>0</v>
      </c>
      <c r="Q43" s="43" t="str">
        <f>IF(OR(WEEKDAY(data[[#This Row],[Date]]+data[[#This Row],[Hfin corrigée]],2)=7,COUNTIF(JF,INT(data[[#This Row],[Date]]+data[[#This Row],[Hfin corrigée]]))=1),"oui","non")</f>
        <v>non</v>
      </c>
      <c r="R43" s="44">
        <f>MAX(0,data[[#This Row],[Hfin corrigée]]-MAX(1,data[[#This Row],[Hdébut corrigé]]))-data[[#This Row],[NUIT2.1]]-data[[#This Row],[NUIT2.2]]</f>
        <v>0</v>
      </c>
      <c r="S43" s="44">
        <f>MAX(0,MIN(1+FinNuit,data[[#This Row],[Hfin corrigée]])-MAX(1,data[[#This Row],[Hdébut corrigé]]))</f>
        <v>0</v>
      </c>
      <c r="T43" s="44">
        <f>MAX(0,(data[[#This Row],[Hfin corrigée]]-DebNuit-1))</f>
        <v>0</v>
      </c>
      <c r="U43" s="45">
        <f>IF(data[[#This Row],[Garde / Interv.]]="Intervention",MAX(0,data[[#This Row],[Hfin corrigée]]-SUMPRODUCT((data[Date]=data[[#This Row],[Date]])*(data[Garde / Interv.]="Garde")*data[Hfin corrigée])),0)</f>
        <v>0</v>
      </c>
      <c r="V4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3" s="44">
        <f>MAX(0,IF(data[[#This Row],[Garde / Interv.]]="Intervention",(data[[#This Row],[Fin Dim ou Férié]]="non")*data[[#This Row],[JOUR2]]+(data[[#This Row],[Début Dim ou Férié]]="non")*data[[#This Row],[JOUR1]],0))</f>
        <v>3.3333333333333381E-2</v>
      </c>
      <c r="X43" s="44">
        <f>IF(data[[#This Row],[Garde / Interv.]]="Intervention",(data[[#This Row],[Fin Dim ou Férié]]="oui")*data[[#This Row],[JOUR2]]+(data[[#This Row],[Début Dim ou Férié]]="oui")*data[[#This Row],[JOUR1]],0)</f>
        <v>0</v>
      </c>
      <c r="Y43" s="44">
        <f>MAX(0,IF(data[[#This Row],[Garde / Interv.]]="Intervention",data[[#This Row],[NUIT1.1]]+data[[#This Row],[NUIT1.2]]+data[[#This Row],[NUIT2.1]]+data[[#This Row],[NUIT2.2]],0))</f>
        <v>0</v>
      </c>
      <c r="Z43" s="165"/>
      <c r="AA43" s="44"/>
      <c r="AB43" s="44"/>
      <c r="AC43" s="44"/>
      <c r="AD43" s="44"/>
      <c r="AE43" s="44"/>
      <c r="AF43" s="44"/>
      <c r="AG43" s="44"/>
      <c r="AH43" s="44"/>
      <c r="AI43" s="44"/>
    </row>
    <row r="44" spans="1:35" x14ac:dyDescent="0.35">
      <c r="A44" s="64">
        <v>43532</v>
      </c>
      <c r="B44" s="122" t="str">
        <f>IF(data[[#This Row],[Hdébut garde]]&lt;&gt;"","Garde",IF(data[[#This Row],[Hdébut corrigé]]&lt;&gt;"","Intervention",""))</f>
        <v>Intervention</v>
      </c>
      <c r="C44" s="79"/>
      <c r="D44" s="56"/>
      <c r="E44" s="47">
        <f>MAX(0,IF(data[[#This Row],[Garde / Interv.]]="Garde",data[[#This Row],[Hfin corrigée]]-data[[#This Row],[Hdébut corrigé]],0))</f>
        <v>0</v>
      </c>
      <c r="F44" s="80"/>
      <c r="G44" s="57"/>
      <c r="H44" s="58" t="s">
        <v>2</v>
      </c>
      <c r="I44" s="59">
        <v>0.52847222222222223</v>
      </c>
      <c r="J44" s="60">
        <v>0.54513888888888895</v>
      </c>
      <c r="K44" s="42">
        <f>IF(data[[#This Row],[Hdébut garde]]&lt;&gt;"",
data[[#This Row],[Hdébut garde]],
data[[#This Row],[Hdébut interv.]]+IF(data[[#This Row],[Hdébut interv.]]&lt;SUMPRODUCT((data[Date]=data[[#This Row],[Date]])*data[Hdébut garde]),1,0)
)</f>
        <v>0.52847222222222223</v>
      </c>
      <c r="L4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0.54513888888888895</v>
      </c>
      <c r="M44" s="43" t="str">
        <f>IF(OR(WEEKDAY(data[[#This Row],[Date]],2)=7,COUNTIF(JF,data[[#This Row],[Date]])=1),"oui","non")</f>
        <v>non</v>
      </c>
      <c r="N44" s="44">
        <f>MAX(0,(MIN(1,data[[#This Row],[Hfin corrigée]])-data[[#This Row],[Hdébut corrigé]])-data[[#This Row],[NUIT1.1]]-data[[#This Row],[NUIT1.2]])</f>
        <v>1.6666666666666718E-2</v>
      </c>
      <c r="O44" s="44">
        <f>IF(data[[#This Row],[Hfin Interv.]]="",0,(
MIN(FinNuit,MIN(1,data[[#This Row],[Hfin corrigée]]))-MIN(FinNuit,data[[#This Row],[Hdébut corrigé]])
))</f>
        <v>0</v>
      </c>
      <c r="P44" s="44">
        <f>MAX(0,(MAX(0,(MIN(1,data[[#This Row],[Hfin corrigée]])-DebNuit))-MAX(0,(data[[#This Row],[Hdébut corrigé]]-DebNuit))))</f>
        <v>0</v>
      </c>
      <c r="Q44" s="43" t="str">
        <f>IF(OR(WEEKDAY(data[[#This Row],[Date]]+data[[#This Row],[Hfin corrigée]],2)=7,COUNTIF(JF,INT(data[[#This Row],[Date]]+data[[#This Row],[Hfin corrigée]]))=1),"oui","non")</f>
        <v>non</v>
      </c>
      <c r="R44" s="44">
        <f>MAX(0,data[[#This Row],[Hfin corrigée]]-MAX(1,data[[#This Row],[Hdébut corrigé]]))-data[[#This Row],[NUIT2.1]]-data[[#This Row],[NUIT2.2]]</f>
        <v>0</v>
      </c>
      <c r="S44" s="44">
        <f>MAX(0,MIN(1+FinNuit,data[[#This Row],[Hfin corrigée]])-MAX(1,data[[#This Row],[Hdébut corrigé]]))</f>
        <v>0</v>
      </c>
      <c r="T44" s="44">
        <f>MAX(0,(data[[#This Row],[Hfin corrigée]]-DebNuit-1))</f>
        <v>0</v>
      </c>
      <c r="U44" s="45">
        <f>IF(data[[#This Row],[Garde / Interv.]]="Intervention",MAX(0,data[[#This Row],[Hfin corrigée]]-SUMPRODUCT((data[Date]=data[[#This Row],[Date]])*(data[Garde / Interv.]="Garde")*data[Hfin corrigée])),0)</f>
        <v>0</v>
      </c>
      <c r="V4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4" s="44">
        <f>MAX(0,IF(data[[#This Row],[Garde / Interv.]]="Intervention",(data[[#This Row],[Fin Dim ou Férié]]="non")*data[[#This Row],[JOUR2]]+(data[[#This Row],[Début Dim ou Férié]]="non")*data[[#This Row],[JOUR1]],0))</f>
        <v>1.6666666666666718E-2</v>
      </c>
      <c r="X44" s="44">
        <f>IF(data[[#This Row],[Garde / Interv.]]="Intervention",(data[[#This Row],[Fin Dim ou Férié]]="oui")*data[[#This Row],[JOUR2]]+(data[[#This Row],[Début Dim ou Férié]]="oui")*data[[#This Row],[JOUR1]],0)</f>
        <v>0</v>
      </c>
      <c r="Y44" s="44">
        <f>MAX(0,IF(data[[#This Row],[Garde / Interv.]]="Intervention",data[[#This Row],[NUIT1.1]]+data[[#This Row],[NUIT1.2]]+data[[#This Row],[NUIT2.1]]+data[[#This Row],[NUIT2.2]],0))</f>
        <v>0</v>
      </c>
      <c r="Z44" s="165"/>
      <c r="AA44" s="44"/>
      <c r="AB44" s="44"/>
      <c r="AC44" s="44"/>
      <c r="AD44" s="44"/>
      <c r="AE44" s="44"/>
      <c r="AF44" s="44"/>
      <c r="AG44" s="44"/>
      <c r="AH44" s="44"/>
      <c r="AI44" s="44"/>
    </row>
    <row r="45" spans="1:35" x14ac:dyDescent="0.35">
      <c r="A45" s="64">
        <v>43532</v>
      </c>
      <c r="B45" s="122" t="str">
        <f>IF(data[[#This Row],[Hdébut garde]]&lt;&gt;"","Garde",IF(data[[#This Row],[Hdébut corrigé]]&lt;&gt;"","Intervention",""))</f>
        <v>Intervention</v>
      </c>
      <c r="C45" s="79"/>
      <c r="D45" s="56"/>
      <c r="E45" s="47">
        <f>MAX(0,IF(data[[#This Row],[Garde / Interv.]]="Garde",data[[#This Row],[Hfin corrigée]]-data[[#This Row],[Hdébut corrigé]],0))</f>
        <v>0</v>
      </c>
      <c r="F45" s="80"/>
      <c r="G45" s="57"/>
      <c r="H45" s="58" t="s">
        <v>2</v>
      </c>
      <c r="I45" s="59">
        <v>0.55208333333333337</v>
      </c>
      <c r="J45" s="60">
        <v>0.58680555555555558</v>
      </c>
      <c r="K45" s="42">
        <f>IF(data[[#This Row],[Hdébut garde]]&lt;&gt;"",
data[[#This Row],[Hdébut garde]],
data[[#This Row],[Hdébut interv.]]+IF(data[[#This Row],[Hdébut interv.]]&lt;SUMPRODUCT((data[Date]=data[[#This Row],[Date]])*data[Hdébut garde]),1,0)
)</f>
        <v>0.55208333333333337</v>
      </c>
      <c r="L4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0.58680555555555558</v>
      </c>
      <c r="M45" s="43" t="str">
        <f>IF(OR(WEEKDAY(data[[#This Row],[Date]],2)=7,COUNTIF(JF,data[[#This Row],[Date]])=1),"oui","non")</f>
        <v>non</v>
      </c>
      <c r="N45" s="44">
        <f>MAX(0,(MIN(1,data[[#This Row],[Hfin corrigée]])-data[[#This Row],[Hdébut corrigé]])-data[[#This Row],[NUIT1.1]]-data[[#This Row],[NUIT1.2]])</f>
        <v>3.472222222222221E-2</v>
      </c>
      <c r="O45" s="44">
        <f>IF(data[[#This Row],[Hfin Interv.]]="",0,(
MIN(FinNuit,MIN(1,data[[#This Row],[Hfin corrigée]]))-MIN(FinNuit,data[[#This Row],[Hdébut corrigé]])
))</f>
        <v>0</v>
      </c>
      <c r="P45" s="44">
        <f>MAX(0,(MAX(0,(MIN(1,data[[#This Row],[Hfin corrigée]])-DebNuit))-MAX(0,(data[[#This Row],[Hdébut corrigé]]-DebNuit))))</f>
        <v>0</v>
      </c>
      <c r="Q45" s="43" t="str">
        <f>IF(OR(WEEKDAY(data[[#This Row],[Date]]+data[[#This Row],[Hfin corrigée]],2)=7,COUNTIF(JF,INT(data[[#This Row],[Date]]+data[[#This Row],[Hfin corrigée]]))=1),"oui","non")</f>
        <v>non</v>
      </c>
      <c r="R45" s="44">
        <f>MAX(0,data[[#This Row],[Hfin corrigée]]-MAX(1,data[[#This Row],[Hdébut corrigé]]))-data[[#This Row],[NUIT2.1]]-data[[#This Row],[NUIT2.2]]</f>
        <v>0</v>
      </c>
      <c r="S45" s="44">
        <f>MAX(0,MIN(1+FinNuit,data[[#This Row],[Hfin corrigée]])-MAX(1,data[[#This Row],[Hdébut corrigé]]))</f>
        <v>0</v>
      </c>
      <c r="T45" s="44">
        <f>MAX(0,(data[[#This Row],[Hfin corrigée]]-DebNuit-1))</f>
        <v>0</v>
      </c>
      <c r="U45" s="45">
        <f>IF(data[[#This Row],[Garde / Interv.]]="Intervention",MAX(0,data[[#This Row],[Hfin corrigée]]-SUMPRODUCT((data[Date]=data[[#This Row],[Date]])*(data[Garde / Interv.]="Garde")*data[Hfin corrigée])),0)</f>
        <v>0</v>
      </c>
      <c r="V4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5" s="44">
        <f>MAX(0,IF(data[[#This Row],[Garde / Interv.]]="Intervention",(data[[#This Row],[Fin Dim ou Férié]]="non")*data[[#This Row],[JOUR2]]+(data[[#This Row],[Début Dim ou Férié]]="non")*data[[#This Row],[JOUR1]],0))</f>
        <v>3.472222222222221E-2</v>
      </c>
      <c r="X45" s="44">
        <f>IF(data[[#This Row],[Garde / Interv.]]="Intervention",(data[[#This Row],[Fin Dim ou Férié]]="oui")*data[[#This Row],[JOUR2]]+(data[[#This Row],[Début Dim ou Férié]]="oui")*data[[#This Row],[JOUR1]],0)</f>
        <v>0</v>
      </c>
      <c r="Y45" s="44">
        <f>MAX(0,IF(data[[#This Row],[Garde / Interv.]]="Intervention",data[[#This Row],[NUIT1.1]]+data[[#This Row],[NUIT1.2]]+data[[#This Row],[NUIT2.1]]+data[[#This Row],[NUIT2.2]],0))</f>
        <v>0</v>
      </c>
      <c r="Z45" s="165"/>
      <c r="AA45" s="44"/>
      <c r="AB45" s="44"/>
      <c r="AC45" s="44"/>
      <c r="AD45" s="44"/>
      <c r="AE45" s="44"/>
      <c r="AF45" s="44"/>
      <c r="AG45" s="44"/>
      <c r="AH45" s="44"/>
      <c r="AI45" s="44"/>
    </row>
    <row r="46" spans="1:35" x14ac:dyDescent="0.35">
      <c r="A46" s="64">
        <v>43532</v>
      </c>
      <c r="B46" s="122" t="str">
        <f>IF(data[[#This Row],[Hdébut garde]]&lt;&gt;"","Garde",IF(data[[#This Row],[Hdébut corrigé]]&lt;&gt;"","Intervention",""))</f>
        <v>Intervention</v>
      </c>
      <c r="C46" s="79"/>
      <c r="D46" s="56"/>
      <c r="E46" s="47">
        <f>MAX(0,IF(data[[#This Row],[Garde / Interv.]]="Garde",data[[#This Row],[Hfin corrigée]]-data[[#This Row],[Hdébut corrigé]],0))</f>
        <v>0</v>
      </c>
      <c r="F46" s="80"/>
      <c r="G46" s="57"/>
      <c r="H46" s="58" t="s">
        <v>2</v>
      </c>
      <c r="I46" s="59">
        <v>0.65486111111111112</v>
      </c>
      <c r="J46" s="60">
        <v>0.7270833333333333</v>
      </c>
      <c r="K46" s="42">
        <f>IF(data[[#This Row],[Hdébut garde]]&lt;&gt;"",
data[[#This Row],[Hdébut garde]],
data[[#This Row],[Hdébut interv.]]+IF(data[[#This Row],[Hdébut interv.]]&lt;SUMPRODUCT((data[Date]=data[[#This Row],[Date]])*data[Hdébut garde]),1,0)
)</f>
        <v>0.65486111111111112</v>
      </c>
      <c r="L4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0.7270833333333333</v>
      </c>
      <c r="M46" s="43" t="str">
        <f>IF(OR(WEEKDAY(data[[#This Row],[Date]],2)=7,COUNTIF(JF,data[[#This Row],[Date]])=1),"oui","non")</f>
        <v>non</v>
      </c>
      <c r="N46" s="44">
        <f>MAX(0,(MIN(1,data[[#This Row],[Hfin corrigée]])-data[[#This Row],[Hdébut corrigé]])-data[[#This Row],[NUIT1.1]]-data[[#This Row],[NUIT1.2]])</f>
        <v>7.2222222222222188E-2</v>
      </c>
      <c r="O46" s="44">
        <f>IF(data[[#This Row],[Hfin Interv.]]="",0,(
MIN(FinNuit,MIN(1,data[[#This Row],[Hfin corrigée]]))-MIN(FinNuit,data[[#This Row],[Hdébut corrigé]])
))</f>
        <v>0</v>
      </c>
      <c r="P46" s="44">
        <f>MAX(0,(MAX(0,(MIN(1,data[[#This Row],[Hfin corrigée]])-DebNuit))-MAX(0,(data[[#This Row],[Hdébut corrigé]]-DebNuit))))</f>
        <v>0</v>
      </c>
      <c r="Q46" s="43" t="str">
        <f>IF(OR(WEEKDAY(data[[#This Row],[Date]]+data[[#This Row],[Hfin corrigée]],2)=7,COUNTIF(JF,INT(data[[#This Row],[Date]]+data[[#This Row],[Hfin corrigée]]))=1),"oui","non")</f>
        <v>non</v>
      </c>
      <c r="R46" s="44">
        <f>MAX(0,data[[#This Row],[Hfin corrigée]]-MAX(1,data[[#This Row],[Hdébut corrigé]]))-data[[#This Row],[NUIT2.1]]-data[[#This Row],[NUIT2.2]]</f>
        <v>0</v>
      </c>
      <c r="S46" s="44">
        <f>MAX(0,MIN(1+FinNuit,data[[#This Row],[Hfin corrigée]])-MAX(1,data[[#This Row],[Hdébut corrigé]]))</f>
        <v>0</v>
      </c>
      <c r="T46" s="44">
        <f>MAX(0,(data[[#This Row],[Hfin corrigée]]-DebNuit-1))</f>
        <v>0</v>
      </c>
      <c r="U46" s="45">
        <f>IF(data[[#This Row],[Garde / Interv.]]="Intervention",MAX(0,data[[#This Row],[Hfin corrigée]]-SUMPRODUCT((data[Date]=data[[#This Row],[Date]])*(data[Garde / Interv.]="Garde")*data[Hfin corrigée])),0)</f>
        <v>0</v>
      </c>
      <c r="V4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6" s="44">
        <f>MAX(0,IF(data[[#This Row],[Garde / Interv.]]="Intervention",(data[[#This Row],[Fin Dim ou Férié]]="non")*data[[#This Row],[JOUR2]]+(data[[#This Row],[Début Dim ou Férié]]="non")*data[[#This Row],[JOUR1]],0))</f>
        <v>7.2222222222222188E-2</v>
      </c>
      <c r="X46" s="44">
        <f>IF(data[[#This Row],[Garde / Interv.]]="Intervention",(data[[#This Row],[Fin Dim ou Férié]]="oui")*data[[#This Row],[JOUR2]]+(data[[#This Row],[Début Dim ou Férié]]="oui")*data[[#This Row],[JOUR1]],0)</f>
        <v>0</v>
      </c>
      <c r="Y46" s="44">
        <f>MAX(0,IF(data[[#This Row],[Garde / Interv.]]="Intervention",data[[#This Row],[NUIT1.1]]+data[[#This Row],[NUIT1.2]]+data[[#This Row],[NUIT2.1]]+data[[#This Row],[NUIT2.2]],0))</f>
        <v>0</v>
      </c>
      <c r="Z46" s="165"/>
      <c r="AA46" s="44"/>
      <c r="AB46" s="44"/>
      <c r="AC46" s="44"/>
      <c r="AD46" s="44"/>
      <c r="AE46" s="44"/>
      <c r="AF46" s="44"/>
      <c r="AG46" s="44"/>
      <c r="AH46" s="44"/>
      <c r="AI46" s="44"/>
    </row>
    <row r="47" spans="1:35" x14ac:dyDescent="0.35">
      <c r="A47" s="64">
        <v>43534</v>
      </c>
      <c r="B47" s="122" t="str">
        <f>IF(data[[#This Row],[Hdébut garde]]&lt;&gt;"","Garde",IF(data[[#This Row],[Hdébut corrigé]]&lt;&gt;"","Intervention",""))</f>
        <v>Garde</v>
      </c>
      <c r="C47" s="79">
        <v>0.29166666666666669</v>
      </c>
      <c r="D47" s="56">
        <v>0.29166666666666669</v>
      </c>
      <c r="E47" s="47">
        <f>MAX(0,IF(data[[#This Row],[Garde / Interv.]]="Garde",data[[#This Row],[Hfin corrigée]]-data[[#This Row],[Hdébut corrigé]],0))</f>
        <v>1</v>
      </c>
      <c r="F47" s="80"/>
      <c r="G47" s="57"/>
      <c r="H47" s="58"/>
      <c r="I47" s="59"/>
      <c r="J47" s="60"/>
      <c r="K47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4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47" s="43" t="str">
        <f>IF(OR(WEEKDAY(data[[#This Row],[Date]],2)=7,COUNTIF(JF,data[[#This Row],[Date]])=1),"oui","non")</f>
        <v>oui</v>
      </c>
      <c r="N47" s="44">
        <f>MAX(0,(MIN(1,data[[#This Row],[Hfin corrigée]])-data[[#This Row],[Hdébut corrigé]])-data[[#This Row],[NUIT1.1]]-data[[#This Row],[NUIT1.2]])</f>
        <v>0.62499999999999989</v>
      </c>
      <c r="O47" s="44">
        <f>IF(data[[#This Row],[Hfin Interv.]]="",0,(
MIN(FinNuit,MIN(1,data[[#This Row],[Hfin corrigée]]))-MIN(FinNuit,data[[#This Row],[Hdébut corrigé]])
))</f>
        <v>0</v>
      </c>
      <c r="P47" s="44">
        <f>MAX(0,(MAX(0,(MIN(1,data[[#This Row],[Hfin corrigée]])-DebNuit))-MAX(0,(data[[#This Row],[Hdébut corrigé]]-DebNuit))))</f>
        <v>8.333333333333337E-2</v>
      </c>
      <c r="Q47" s="43" t="str">
        <f>IF(OR(WEEKDAY(data[[#This Row],[Date]]+data[[#This Row],[Hfin corrigée]],2)=7,COUNTIF(JF,INT(data[[#This Row],[Date]]+data[[#This Row],[Hfin corrigée]]))=1),"oui","non")</f>
        <v>non</v>
      </c>
      <c r="R47" s="44">
        <f>MAX(0,data[[#This Row],[Hfin corrigée]]-MAX(1,data[[#This Row],[Hdébut corrigé]]))-data[[#This Row],[NUIT2.1]]-data[[#This Row],[NUIT2.2]]</f>
        <v>0</v>
      </c>
      <c r="S47" s="44">
        <f>MAX(0,MIN(1+FinNuit,data[[#This Row],[Hfin corrigée]])-MAX(1,data[[#This Row],[Hdébut corrigé]]))</f>
        <v>0.29166666666666674</v>
      </c>
      <c r="T47" s="44">
        <f>MAX(0,(data[[#This Row],[Hfin corrigée]]-DebNuit-1))</f>
        <v>0</v>
      </c>
      <c r="U47" s="45">
        <f>IF(data[[#This Row],[Garde / Interv.]]="Intervention",MAX(0,data[[#This Row],[Hfin corrigée]]-SUMPRODUCT((data[Date]=data[[#This Row],[Date]])*(data[Garde / Interv.]="Garde")*data[Hfin corrigée])),0)</f>
        <v>0</v>
      </c>
      <c r="V4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0.92777777777777792</v>
      </c>
      <c r="W47" s="44">
        <f>MAX(0,IF(data[[#This Row],[Garde / Interv.]]="Intervention",(data[[#This Row],[Fin Dim ou Férié]]="non")*data[[#This Row],[JOUR2]]+(data[[#This Row],[Début Dim ou Férié]]="non")*data[[#This Row],[JOUR1]],0))</f>
        <v>0</v>
      </c>
      <c r="X47" s="44">
        <f>IF(data[[#This Row],[Garde / Interv.]]="Intervention",(data[[#This Row],[Fin Dim ou Férié]]="oui")*data[[#This Row],[JOUR2]]+(data[[#This Row],[Début Dim ou Férié]]="oui")*data[[#This Row],[JOUR1]],0)</f>
        <v>0</v>
      </c>
      <c r="Y47" s="44">
        <f>MAX(0,IF(data[[#This Row],[Garde / Interv.]]="Intervention",data[[#This Row],[NUIT1.1]]+data[[#This Row],[NUIT1.2]]+data[[#This Row],[NUIT2.1]]+data[[#This Row],[NUIT2.2]],0))</f>
        <v>0</v>
      </c>
      <c r="Z47" s="165"/>
      <c r="AA47" s="44"/>
      <c r="AB47" s="44"/>
      <c r="AC47" s="44"/>
      <c r="AD47" s="44"/>
      <c r="AE47" s="44"/>
      <c r="AF47" s="44"/>
      <c r="AG47" s="44"/>
      <c r="AH47" s="44"/>
      <c r="AI47" s="44"/>
    </row>
    <row r="48" spans="1:35" x14ac:dyDescent="0.35">
      <c r="A48" s="64">
        <v>43534</v>
      </c>
      <c r="B48" s="122" t="str">
        <f>IF(data[[#This Row],[Hdébut garde]]&lt;&gt;"","Garde",IF(data[[#This Row],[Hdébut corrigé]]&lt;&gt;"","Intervention",""))</f>
        <v>Intervention</v>
      </c>
      <c r="C48" s="79"/>
      <c r="D48" s="56"/>
      <c r="E48" s="47">
        <f>MAX(0,IF(data[[#This Row],[Garde / Interv.]]="Garde",data[[#This Row],[Hfin corrigée]]-data[[#This Row],[Hdébut corrigé]],0))</f>
        <v>0</v>
      </c>
      <c r="F48" s="80"/>
      <c r="G48" s="57"/>
      <c r="H48" s="58" t="s">
        <v>2</v>
      </c>
      <c r="I48" s="59">
        <v>0.57638888888888895</v>
      </c>
      <c r="J48" s="60">
        <v>0.62638888888888888</v>
      </c>
      <c r="K48" s="42">
        <f>IF(data[[#This Row],[Hdébut garde]]&lt;&gt;"",
data[[#This Row],[Hdébut garde]],
data[[#This Row],[Hdébut interv.]]+IF(data[[#This Row],[Hdébut interv.]]&lt;SUMPRODUCT((data[Date]=data[[#This Row],[Date]])*data[Hdébut garde]),1,0)
)</f>
        <v>0.57638888888888895</v>
      </c>
      <c r="L4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0.62638888888888888</v>
      </c>
      <c r="M48" s="43" t="str">
        <f>IF(OR(WEEKDAY(data[[#This Row],[Date]],2)=7,COUNTIF(JF,data[[#This Row],[Date]])=1),"oui","non")</f>
        <v>oui</v>
      </c>
      <c r="N48" s="44">
        <f>MAX(0,(MIN(1,data[[#This Row],[Hfin corrigée]])-data[[#This Row],[Hdébut corrigé]])-data[[#This Row],[NUIT1.1]]-data[[#This Row],[NUIT1.2]])</f>
        <v>4.9999999999999933E-2</v>
      </c>
      <c r="O48" s="44">
        <f>IF(data[[#This Row],[Hfin Interv.]]="",0,(
MIN(FinNuit,MIN(1,data[[#This Row],[Hfin corrigée]]))-MIN(FinNuit,data[[#This Row],[Hdébut corrigé]])
))</f>
        <v>0</v>
      </c>
      <c r="P48" s="44">
        <f>MAX(0,(MAX(0,(MIN(1,data[[#This Row],[Hfin corrigée]])-DebNuit))-MAX(0,(data[[#This Row],[Hdébut corrigé]]-DebNuit))))</f>
        <v>0</v>
      </c>
      <c r="Q48" s="43" t="str">
        <f>IF(OR(WEEKDAY(data[[#This Row],[Date]]+data[[#This Row],[Hfin corrigée]],2)=7,COUNTIF(JF,INT(data[[#This Row],[Date]]+data[[#This Row],[Hfin corrigée]]))=1),"oui","non")</f>
        <v>oui</v>
      </c>
      <c r="R48" s="44">
        <f>MAX(0,data[[#This Row],[Hfin corrigée]]-MAX(1,data[[#This Row],[Hdébut corrigé]]))-data[[#This Row],[NUIT2.1]]-data[[#This Row],[NUIT2.2]]</f>
        <v>0</v>
      </c>
      <c r="S48" s="44">
        <f>MAX(0,MIN(1+FinNuit,data[[#This Row],[Hfin corrigée]])-MAX(1,data[[#This Row],[Hdébut corrigé]]))</f>
        <v>0</v>
      </c>
      <c r="T48" s="44">
        <f>MAX(0,(data[[#This Row],[Hfin corrigée]]-DebNuit-1))</f>
        <v>0</v>
      </c>
      <c r="U48" s="45">
        <f>IF(data[[#This Row],[Garde / Interv.]]="Intervention",MAX(0,data[[#This Row],[Hfin corrigée]]-SUMPRODUCT((data[Date]=data[[#This Row],[Date]])*(data[Garde / Interv.]="Garde")*data[Hfin corrigée])),0)</f>
        <v>0</v>
      </c>
      <c r="V4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8" s="44">
        <f>MAX(0,IF(data[[#This Row],[Garde / Interv.]]="Intervention",(data[[#This Row],[Fin Dim ou Férié]]="non")*data[[#This Row],[JOUR2]]+(data[[#This Row],[Début Dim ou Férié]]="non")*data[[#This Row],[JOUR1]],0))</f>
        <v>0</v>
      </c>
      <c r="X48" s="44">
        <f>IF(data[[#This Row],[Garde / Interv.]]="Intervention",(data[[#This Row],[Fin Dim ou Férié]]="oui")*data[[#This Row],[JOUR2]]+(data[[#This Row],[Début Dim ou Férié]]="oui")*data[[#This Row],[JOUR1]],0)</f>
        <v>4.9999999999999933E-2</v>
      </c>
      <c r="Y48" s="44">
        <f>MAX(0,IF(data[[#This Row],[Garde / Interv.]]="Intervention",data[[#This Row],[NUIT1.1]]+data[[#This Row],[NUIT1.2]]+data[[#This Row],[NUIT2.1]]+data[[#This Row],[NUIT2.2]],0))</f>
        <v>0</v>
      </c>
      <c r="Z48" s="165"/>
      <c r="AA48" s="44"/>
      <c r="AB48" s="44"/>
      <c r="AC48" s="44"/>
      <c r="AD48" s="44"/>
      <c r="AE48" s="44"/>
      <c r="AF48" s="44"/>
      <c r="AG48" s="44"/>
      <c r="AH48" s="44"/>
      <c r="AI48" s="44"/>
    </row>
    <row r="49" spans="1:35" x14ac:dyDescent="0.35">
      <c r="A49" s="64">
        <v>43534</v>
      </c>
      <c r="B49" s="122" t="str">
        <f>IF(data[[#This Row],[Hdébut garde]]&lt;&gt;"","Garde",IF(data[[#This Row],[Hdébut corrigé]]&lt;&gt;"","Intervention",""))</f>
        <v>Intervention</v>
      </c>
      <c r="C49" s="79"/>
      <c r="D49" s="56"/>
      <c r="E49" s="47">
        <f>MAX(0,IF(data[[#This Row],[Garde / Interv.]]="Garde",data[[#This Row],[Hfin corrigée]]-data[[#This Row],[Hdébut corrigé]],0))</f>
        <v>0</v>
      </c>
      <c r="F49" s="80"/>
      <c r="G49" s="57"/>
      <c r="H49" s="58" t="s">
        <v>2</v>
      </c>
      <c r="I49" s="59">
        <v>0.73055555555555562</v>
      </c>
      <c r="J49" s="60">
        <v>0.75277777777777777</v>
      </c>
      <c r="K49" s="42">
        <f>IF(data[[#This Row],[Hdébut garde]]&lt;&gt;"",
data[[#This Row],[Hdébut garde]],
data[[#This Row],[Hdébut interv.]]+IF(data[[#This Row],[Hdébut interv.]]&lt;SUMPRODUCT((data[Date]=data[[#This Row],[Date]])*data[Hdébut garde]),1,0)
)</f>
        <v>0.73055555555555562</v>
      </c>
      <c r="L4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0.75277777777777777</v>
      </c>
      <c r="M49" s="43" t="str">
        <f>IF(OR(WEEKDAY(data[[#This Row],[Date]],2)=7,COUNTIF(JF,data[[#This Row],[Date]])=1),"oui","non")</f>
        <v>oui</v>
      </c>
      <c r="N49" s="44">
        <f>MAX(0,(MIN(1,data[[#This Row],[Hfin corrigée]])-data[[#This Row],[Hdébut corrigé]])-data[[#This Row],[NUIT1.1]]-data[[#This Row],[NUIT1.2]])</f>
        <v>2.2222222222222143E-2</v>
      </c>
      <c r="O49" s="44">
        <f>IF(data[[#This Row],[Hfin Interv.]]="",0,(
MIN(FinNuit,MIN(1,data[[#This Row],[Hfin corrigée]]))-MIN(FinNuit,data[[#This Row],[Hdébut corrigé]])
))</f>
        <v>0</v>
      </c>
      <c r="P49" s="44">
        <f>MAX(0,(MAX(0,(MIN(1,data[[#This Row],[Hfin corrigée]])-DebNuit))-MAX(0,(data[[#This Row],[Hdébut corrigé]]-DebNuit))))</f>
        <v>0</v>
      </c>
      <c r="Q49" s="43" t="str">
        <f>IF(OR(WEEKDAY(data[[#This Row],[Date]]+data[[#This Row],[Hfin corrigée]],2)=7,COUNTIF(JF,INT(data[[#This Row],[Date]]+data[[#This Row],[Hfin corrigée]]))=1),"oui","non")</f>
        <v>oui</v>
      </c>
      <c r="R49" s="44">
        <f>MAX(0,data[[#This Row],[Hfin corrigée]]-MAX(1,data[[#This Row],[Hdébut corrigé]]))-data[[#This Row],[NUIT2.1]]-data[[#This Row],[NUIT2.2]]</f>
        <v>0</v>
      </c>
      <c r="S49" s="44">
        <f>MAX(0,MIN(1+FinNuit,data[[#This Row],[Hfin corrigée]])-MAX(1,data[[#This Row],[Hdébut corrigé]]))</f>
        <v>0</v>
      </c>
      <c r="T49" s="44">
        <f>MAX(0,(data[[#This Row],[Hfin corrigée]]-DebNuit-1))</f>
        <v>0</v>
      </c>
      <c r="U49" s="45">
        <f>IF(data[[#This Row],[Garde / Interv.]]="Intervention",MAX(0,data[[#This Row],[Hfin corrigée]]-SUMPRODUCT((data[Date]=data[[#This Row],[Date]])*(data[Garde / Interv.]="Garde")*data[Hfin corrigée])),0)</f>
        <v>0</v>
      </c>
      <c r="V4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49" s="44">
        <f>MAX(0,IF(data[[#This Row],[Garde / Interv.]]="Intervention",(data[[#This Row],[Fin Dim ou Férié]]="non")*data[[#This Row],[JOUR2]]+(data[[#This Row],[Début Dim ou Férié]]="non")*data[[#This Row],[JOUR1]],0))</f>
        <v>0</v>
      </c>
      <c r="X49" s="44">
        <f>IF(data[[#This Row],[Garde / Interv.]]="Intervention",(data[[#This Row],[Fin Dim ou Férié]]="oui")*data[[#This Row],[JOUR2]]+(data[[#This Row],[Début Dim ou Férié]]="oui")*data[[#This Row],[JOUR1]],0)</f>
        <v>2.2222222222222143E-2</v>
      </c>
      <c r="Y49" s="44">
        <f>MAX(0,IF(data[[#This Row],[Garde / Interv.]]="Intervention",data[[#This Row],[NUIT1.1]]+data[[#This Row],[NUIT1.2]]+data[[#This Row],[NUIT2.1]]+data[[#This Row],[NUIT2.2]],0))</f>
        <v>0</v>
      </c>
      <c r="Z49" s="165"/>
      <c r="AA49" s="44"/>
      <c r="AB49" s="44"/>
      <c r="AC49" s="44"/>
      <c r="AD49" s="44"/>
      <c r="AE49" s="44"/>
      <c r="AF49" s="44"/>
      <c r="AG49" s="44"/>
      <c r="AH49" s="44"/>
      <c r="AI49" s="44"/>
    </row>
    <row r="50" spans="1:35" x14ac:dyDescent="0.35">
      <c r="A50" s="64">
        <v>43537</v>
      </c>
      <c r="B50" s="122" t="str">
        <f>IF(data[[#This Row],[Hdébut garde]]&lt;&gt;"","Garde",IF(data[[#This Row],[Hdébut corrigé]]&lt;&gt;"","Intervention",""))</f>
        <v>Garde</v>
      </c>
      <c r="C50" s="79">
        <v>0.29166666666666669</v>
      </c>
      <c r="D50" s="56">
        <v>0.29166666666666669</v>
      </c>
      <c r="E50" s="47">
        <f>MAX(0,IF(data[[#This Row],[Garde / Interv.]]="Garde",data[[#This Row],[Hfin corrigée]]-data[[#This Row],[Hdébut corrigé]],0))</f>
        <v>1</v>
      </c>
      <c r="F50" s="80"/>
      <c r="G50" s="57"/>
      <c r="H50" s="58"/>
      <c r="I50" s="59"/>
      <c r="J50" s="60"/>
      <c r="K50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5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50" s="43" t="str">
        <f>IF(OR(WEEKDAY(data[[#This Row],[Date]],2)=7,COUNTIF(JF,data[[#This Row],[Date]])=1),"oui","non")</f>
        <v>non</v>
      </c>
      <c r="N50" s="44">
        <f>MAX(0,(MIN(1,data[[#This Row],[Hfin corrigée]])-data[[#This Row],[Hdébut corrigé]])-data[[#This Row],[NUIT1.1]]-data[[#This Row],[NUIT1.2]])</f>
        <v>0.62499999999999989</v>
      </c>
      <c r="O50" s="44">
        <f>IF(data[[#This Row],[Hfin Interv.]]="",0,(
MIN(FinNuit,MIN(1,data[[#This Row],[Hfin corrigée]]))-MIN(FinNuit,data[[#This Row],[Hdébut corrigé]])
))</f>
        <v>0</v>
      </c>
      <c r="P50" s="44">
        <f>MAX(0,(MAX(0,(MIN(1,data[[#This Row],[Hfin corrigée]])-DebNuit))-MAX(0,(data[[#This Row],[Hdébut corrigé]]-DebNuit))))</f>
        <v>8.333333333333337E-2</v>
      </c>
      <c r="Q50" s="43" t="str">
        <f>IF(OR(WEEKDAY(data[[#This Row],[Date]]+data[[#This Row],[Hfin corrigée]],2)=7,COUNTIF(JF,INT(data[[#This Row],[Date]]+data[[#This Row],[Hfin corrigée]]))=1),"oui","non")</f>
        <v>non</v>
      </c>
      <c r="R50" s="44">
        <f>MAX(0,data[[#This Row],[Hfin corrigée]]-MAX(1,data[[#This Row],[Hdébut corrigé]]))-data[[#This Row],[NUIT2.1]]-data[[#This Row],[NUIT2.2]]</f>
        <v>0</v>
      </c>
      <c r="S50" s="44">
        <f>MAX(0,MIN(1+FinNuit,data[[#This Row],[Hfin corrigée]])-MAX(1,data[[#This Row],[Hdébut corrigé]]))</f>
        <v>0.29166666666666674</v>
      </c>
      <c r="T50" s="44">
        <f>MAX(0,(data[[#This Row],[Hfin corrigée]]-DebNuit-1))</f>
        <v>0</v>
      </c>
      <c r="U50" s="45">
        <f>IF(data[[#This Row],[Garde / Interv.]]="Intervention",MAX(0,data[[#This Row],[Hfin corrigée]]-SUMPRODUCT((data[Date]=data[[#This Row],[Date]])*(data[Garde / Interv.]="Garde")*data[Hfin corrigée])),0)</f>
        <v>0</v>
      </c>
      <c r="V5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0.93888888888888877</v>
      </c>
      <c r="W50" s="44">
        <f>MAX(0,IF(data[[#This Row],[Garde / Interv.]]="Intervention",(data[[#This Row],[Fin Dim ou Férié]]="non")*data[[#This Row],[JOUR2]]+(data[[#This Row],[Début Dim ou Férié]]="non")*data[[#This Row],[JOUR1]],0))</f>
        <v>0</v>
      </c>
      <c r="X50" s="44">
        <f>IF(data[[#This Row],[Garde / Interv.]]="Intervention",(data[[#This Row],[Fin Dim ou Férié]]="oui")*data[[#This Row],[JOUR2]]+(data[[#This Row],[Début Dim ou Férié]]="oui")*data[[#This Row],[JOUR1]],0)</f>
        <v>0</v>
      </c>
      <c r="Y50" s="44">
        <f>MAX(0,IF(data[[#This Row],[Garde / Interv.]]="Intervention",data[[#This Row],[NUIT1.1]]+data[[#This Row],[NUIT1.2]]+data[[#This Row],[NUIT2.1]]+data[[#This Row],[NUIT2.2]],0))</f>
        <v>0</v>
      </c>
      <c r="Z50" s="165"/>
      <c r="AA50" s="44"/>
      <c r="AB50" s="44"/>
      <c r="AC50" s="44"/>
      <c r="AD50" s="44"/>
      <c r="AE50" s="44"/>
      <c r="AF50" s="44"/>
      <c r="AG50" s="44"/>
      <c r="AH50" s="44"/>
      <c r="AI50" s="44"/>
    </row>
    <row r="51" spans="1:35" x14ac:dyDescent="0.35">
      <c r="A51" s="64">
        <v>43537</v>
      </c>
      <c r="B51" s="122" t="str">
        <f>IF(data[[#This Row],[Hdébut garde]]&lt;&gt;"","Garde",IF(data[[#This Row],[Hdébut corrigé]]&lt;&gt;"","Intervention",""))</f>
        <v>Intervention</v>
      </c>
      <c r="C51" s="79"/>
      <c r="D51" s="56"/>
      <c r="E51" s="47">
        <f>MAX(0,IF(data[[#This Row],[Garde / Interv.]]="Garde",data[[#This Row],[Hfin corrigée]]-data[[#This Row],[Hdébut corrigé]],0))</f>
        <v>0</v>
      </c>
      <c r="F51" s="80"/>
      <c r="G51" s="57"/>
      <c r="H51" s="58" t="s">
        <v>2</v>
      </c>
      <c r="I51" s="59">
        <v>0.73263888888888884</v>
      </c>
      <c r="J51" s="60">
        <v>0.79375000000000007</v>
      </c>
      <c r="K51" s="42">
        <f>IF(data[[#This Row],[Hdébut garde]]&lt;&gt;"",
data[[#This Row],[Hdébut garde]],
data[[#This Row],[Hdébut interv.]]+IF(data[[#This Row],[Hdébut interv.]]&lt;SUMPRODUCT((data[Date]=data[[#This Row],[Date]])*data[Hdébut garde]),1,0)
)</f>
        <v>0.73263888888888884</v>
      </c>
      <c r="L5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0.79375000000000007</v>
      </c>
      <c r="M51" s="43" t="str">
        <f>IF(OR(WEEKDAY(data[[#This Row],[Date]],2)=7,COUNTIF(JF,data[[#This Row],[Date]])=1),"oui","non")</f>
        <v>non</v>
      </c>
      <c r="N51" s="44">
        <f>MAX(0,(MIN(1,data[[#This Row],[Hfin corrigée]])-data[[#This Row],[Hdébut corrigé]])-data[[#This Row],[NUIT1.1]]-data[[#This Row],[NUIT1.2]])</f>
        <v>6.1111111111111227E-2</v>
      </c>
      <c r="O51" s="44">
        <f>IF(data[[#This Row],[Hfin Interv.]]="",0,(
MIN(FinNuit,MIN(1,data[[#This Row],[Hfin corrigée]]))-MIN(FinNuit,data[[#This Row],[Hdébut corrigé]])
))</f>
        <v>0</v>
      </c>
      <c r="P51" s="44">
        <f>MAX(0,(MAX(0,(MIN(1,data[[#This Row],[Hfin corrigée]])-DebNuit))-MAX(0,(data[[#This Row],[Hdébut corrigé]]-DebNuit))))</f>
        <v>0</v>
      </c>
      <c r="Q51" s="43" t="str">
        <f>IF(OR(WEEKDAY(data[[#This Row],[Date]]+data[[#This Row],[Hfin corrigée]],2)=7,COUNTIF(JF,INT(data[[#This Row],[Date]]+data[[#This Row],[Hfin corrigée]]))=1),"oui","non")</f>
        <v>non</v>
      </c>
      <c r="R51" s="44">
        <f>MAX(0,data[[#This Row],[Hfin corrigée]]-MAX(1,data[[#This Row],[Hdébut corrigé]]))-data[[#This Row],[NUIT2.1]]-data[[#This Row],[NUIT2.2]]</f>
        <v>0</v>
      </c>
      <c r="S51" s="44">
        <f>MAX(0,MIN(1+FinNuit,data[[#This Row],[Hfin corrigée]])-MAX(1,data[[#This Row],[Hdébut corrigé]]))</f>
        <v>0</v>
      </c>
      <c r="T51" s="44">
        <f>MAX(0,(data[[#This Row],[Hfin corrigée]]-DebNuit-1))</f>
        <v>0</v>
      </c>
      <c r="U51" s="45">
        <f>IF(data[[#This Row],[Garde / Interv.]]="Intervention",MAX(0,data[[#This Row],[Hfin corrigée]]-SUMPRODUCT((data[Date]=data[[#This Row],[Date]])*(data[Garde / Interv.]="Garde")*data[Hfin corrigée])),0)</f>
        <v>0</v>
      </c>
      <c r="V5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1" s="44">
        <f>MAX(0,IF(data[[#This Row],[Garde / Interv.]]="Intervention",(data[[#This Row],[Fin Dim ou Férié]]="non")*data[[#This Row],[JOUR2]]+(data[[#This Row],[Début Dim ou Férié]]="non")*data[[#This Row],[JOUR1]],0))</f>
        <v>6.1111111111111227E-2</v>
      </c>
      <c r="X51" s="44">
        <f>IF(data[[#This Row],[Garde / Interv.]]="Intervention",(data[[#This Row],[Fin Dim ou Férié]]="oui")*data[[#This Row],[JOUR2]]+(data[[#This Row],[Début Dim ou Férié]]="oui")*data[[#This Row],[JOUR1]],0)</f>
        <v>0</v>
      </c>
      <c r="Y51" s="44">
        <f>MAX(0,IF(data[[#This Row],[Garde / Interv.]]="Intervention",data[[#This Row],[NUIT1.1]]+data[[#This Row],[NUIT1.2]]+data[[#This Row],[NUIT2.1]]+data[[#This Row],[NUIT2.2]],0))</f>
        <v>0</v>
      </c>
      <c r="Z51" s="165"/>
      <c r="AA51" s="44"/>
      <c r="AB51" s="44"/>
      <c r="AC51" s="44"/>
      <c r="AD51" s="44"/>
      <c r="AE51" s="44"/>
      <c r="AF51" s="44"/>
      <c r="AG51" s="44"/>
      <c r="AH51" s="44"/>
      <c r="AI51" s="44"/>
    </row>
    <row r="52" spans="1:35" x14ac:dyDescent="0.35">
      <c r="A52" s="64">
        <v>43539</v>
      </c>
      <c r="B52" s="122" t="str">
        <f>IF(data[[#This Row],[Hdébut garde]]&lt;&gt;"","Garde",IF(data[[#This Row],[Hdébut corrigé]]&lt;&gt;"","Intervention",""))</f>
        <v>Garde</v>
      </c>
      <c r="C52" s="79">
        <v>0.29166666666666669</v>
      </c>
      <c r="D52" s="56">
        <v>0.29166666666666669</v>
      </c>
      <c r="E52" s="47">
        <f>MAX(0,IF(data[[#This Row],[Garde / Interv.]]="Garde",data[[#This Row],[Hfin corrigée]]-data[[#This Row],[Hdébut corrigé]],0))</f>
        <v>1</v>
      </c>
      <c r="F52" s="80"/>
      <c r="G52" s="57"/>
      <c r="H52" s="58"/>
      <c r="I52" s="59"/>
      <c r="J52" s="60"/>
      <c r="K52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5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52" s="43" t="str">
        <f>IF(OR(WEEKDAY(data[[#This Row],[Date]],2)=7,COUNTIF(JF,data[[#This Row],[Date]])=1),"oui","non")</f>
        <v>non</v>
      </c>
      <c r="N52" s="44">
        <f>MAX(0,(MIN(1,data[[#This Row],[Hfin corrigée]])-data[[#This Row],[Hdébut corrigé]])-data[[#This Row],[NUIT1.1]]-data[[#This Row],[NUIT1.2]])</f>
        <v>0.62499999999999989</v>
      </c>
      <c r="O52" s="44">
        <f>IF(data[[#This Row],[Hfin Interv.]]="",0,(
MIN(FinNuit,MIN(1,data[[#This Row],[Hfin corrigée]]))-MIN(FinNuit,data[[#This Row],[Hdébut corrigé]])
))</f>
        <v>0</v>
      </c>
      <c r="P52" s="44">
        <f>MAX(0,(MAX(0,(MIN(1,data[[#This Row],[Hfin corrigée]])-DebNuit))-MAX(0,(data[[#This Row],[Hdébut corrigé]]-DebNuit))))</f>
        <v>8.333333333333337E-2</v>
      </c>
      <c r="Q52" s="43" t="str">
        <f>IF(OR(WEEKDAY(data[[#This Row],[Date]]+data[[#This Row],[Hfin corrigée]],2)=7,COUNTIF(JF,INT(data[[#This Row],[Date]]+data[[#This Row],[Hfin corrigée]]))=1),"oui","non")</f>
        <v>non</v>
      </c>
      <c r="R52" s="44">
        <f>MAX(0,data[[#This Row],[Hfin corrigée]]-MAX(1,data[[#This Row],[Hdébut corrigé]]))-data[[#This Row],[NUIT2.1]]-data[[#This Row],[NUIT2.2]]</f>
        <v>0</v>
      </c>
      <c r="S52" s="44">
        <f>MAX(0,MIN(1+FinNuit,data[[#This Row],[Hfin corrigée]])-MAX(1,data[[#This Row],[Hdébut corrigé]]))</f>
        <v>0.29166666666666674</v>
      </c>
      <c r="T52" s="44">
        <f>MAX(0,(data[[#This Row],[Hfin corrigée]]-DebNuit-1))</f>
        <v>0</v>
      </c>
      <c r="U52" s="45">
        <f>IF(data[[#This Row],[Garde / Interv.]]="Intervention",MAX(0,data[[#This Row],[Hfin corrigée]]-SUMPRODUCT((data[Date]=data[[#This Row],[Date]])*(data[Garde / Interv.]="Garde")*data[Hfin corrigée])),0)</f>
        <v>0</v>
      </c>
      <c r="V5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0.88888888888888884</v>
      </c>
      <c r="W52" s="44">
        <f>MAX(0,IF(data[[#This Row],[Garde / Interv.]]="Intervention",(data[[#This Row],[Fin Dim ou Férié]]="non")*data[[#This Row],[JOUR2]]+(data[[#This Row],[Début Dim ou Férié]]="non")*data[[#This Row],[JOUR1]],0))</f>
        <v>0</v>
      </c>
      <c r="X52" s="44">
        <f>IF(data[[#This Row],[Garde / Interv.]]="Intervention",(data[[#This Row],[Fin Dim ou Férié]]="oui")*data[[#This Row],[JOUR2]]+(data[[#This Row],[Début Dim ou Férié]]="oui")*data[[#This Row],[JOUR1]],0)</f>
        <v>0</v>
      </c>
      <c r="Y52" s="44">
        <f>MAX(0,IF(data[[#This Row],[Garde / Interv.]]="Intervention",data[[#This Row],[NUIT1.1]]+data[[#This Row],[NUIT1.2]]+data[[#This Row],[NUIT2.1]]+data[[#This Row],[NUIT2.2]],0))</f>
        <v>0</v>
      </c>
      <c r="Z52" s="165"/>
      <c r="AA52" s="44"/>
      <c r="AB52" s="44"/>
      <c r="AC52" s="44"/>
      <c r="AD52" s="44"/>
      <c r="AE52" s="44"/>
      <c r="AF52" s="44"/>
      <c r="AG52" s="44"/>
      <c r="AH52" s="44"/>
      <c r="AI52" s="44"/>
    </row>
    <row r="53" spans="1:35" x14ac:dyDescent="0.35">
      <c r="A53" s="64">
        <v>43539</v>
      </c>
      <c r="B53" s="122" t="str">
        <f>IF(data[[#This Row],[Hdébut garde]]&lt;&gt;"","Garde",IF(data[[#This Row],[Hdébut corrigé]]&lt;&gt;"","Intervention",""))</f>
        <v>Intervention</v>
      </c>
      <c r="C53" s="79"/>
      <c r="D53" s="56"/>
      <c r="E53" s="47">
        <f>MAX(0,IF(data[[#This Row],[Garde / Interv.]]="Garde",data[[#This Row],[Hfin corrigée]]-data[[#This Row],[Hdébut corrigé]],0))</f>
        <v>0</v>
      </c>
      <c r="F53" s="80"/>
      <c r="G53" s="57"/>
      <c r="H53" s="58" t="s">
        <v>2</v>
      </c>
      <c r="I53" s="59">
        <v>0.53263888888888888</v>
      </c>
      <c r="J53" s="60">
        <v>0.5805555555555556</v>
      </c>
      <c r="K53" s="42">
        <f>IF(data[[#This Row],[Hdébut garde]]&lt;&gt;"",
data[[#This Row],[Hdébut garde]],
data[[#This Row],[Hdébut interv.]]+IF(data[[#This Row],[Hdébut interv.]]&lt;SUMPRODUCT((data[Date]=data[[#This Row],[Date]])*data[Hdébut garde]),1,0)
)</f>
        <v>0.53263888888888888</v>
      </c>
      <c r="L5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0.5805555555555556</v>
      </c>
      <c r="M53" s="43" t="str">
        <f>IF(OR(WEEKDAY(data[[#This Row],[Date]],2)=7,COUNTIF(JF,data[[#This Row],[Date]])=1),"oui","non")</f>
        <v>non</v>
      </c>
      <c r="N53" s="44">
        <f>MAX(0,(MIN(1,data[[#This Row],[Hfin corrigée]])-data[[#This Row],[Hdébut corrigé]])-data[[#This Row],[NUIT1.1]]-data[[#This Row],[NUIT1.2]])</f>
        <v>4.7916666666666718E-2</v>
      </c>
      <c r="O53" s="44">
        <f>IF(data[[#This Row],[Hfin Interv.]]="",0,(
MIN(FinNuit,MIN(1,data[[#This Row],[Hfin corrigée]]))-MIN(FinNuit,data[[#This Row],[Hdébut corrigé]])
))</f>
        <v>0</v>
      </c>
      <c r="P53" s="44">
        <f>MAX(0,(MAX(0,(MIN(1,data[[#This Row],[Hfin corrigée]])-DebNuit))-MAX(0,(data[[#This Row],[Hdébut corrigé]]-DebNuit))))</f>
        <v>0</v>
      </c>
      <c r="Q53" s="43" t="str">
        <f>IF(OR(WEEKDAY(data[[#This Row],[Date]]+data[[#This Row],[Hfin corrigée]],2)=7,COUNTIF(JF,INT(data[[#This Row],[Date]]+data[[#This Row],[Hfin corrigée]]))=1),"oui","non")</f>
        <v>non</v>
      </c>
      <c r="R53" s="44">
        <f>MAX(0,data[[#This Row],[Hfin corrigée]]-MAX(1,data[[#This Row],[Hdébut corrigé]]))-data[[#This Row],[NUIT2.1]]-data[[#This Row],[NUIT2.2]]</f>
        <v>0</v>
      </c>
      <c r="S53" s="44">
        <f>MAX(0,MIN(1+FinNuit,data[[#This Row],[Hfin corrigée]])-MAX(1,data[[#This Row],[Hdébut corrigé]]))</f>
        <v>0</v>
      </c>
      <c r="T53" s="44">
        <f>MAX(0,(data[[#This Row],[Hfin corrigée]]-DebNuit-1))</f>
        <v>0</v>
      </c>
      <c r="U53" s="45">
        <f>IF(data[[#This Row],[Garde / Interv.]]="Intervention",MAX(0,data[[#This Row],[Hfin corrigée]]-SUMPRODUCT((data[Date]=data[[#This Row],[Date]])*(data[Garde / Interv.]="Garde")*data[Hfin corrigée])),0)</f>
        <v>0</v>
      </c>
      <c r="V5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3" s="44">
        <f>MAX(0,IF(data[[#This Row],[Garde / Interv.]]="Intervention",(data[[#This Row],[Fin Dim ou Férié]]="non")*data[[#This Row],[JOUR2]]+(data[[#This Row],[Début Dim ou Férié]]="non")*data[[#This Row],[JOUR1]],0))</f>
        <v>4.7916666666666718E-2</v>
      </c>
      <c r="X53" s="44">
        <f>IF(data[[#This Row],[Garde / Interv.]]="Intervention",(data[[#This Row],[Fin Dim ou Férié]]="oui")*data[[#This Row],[JOUR2]]+(data[[#This Row],[Début Dim ou Férié]]="oui")*data[[#This Row],[JOUR1]],0)</f>
        <v>0</v>
      </c>
      <c r="Y53" s="44">
        <f>MAX(0,IF(data[[#This Row],[Garde / Interv.]]="Intervention",data[[#This Row],[NUIT1.1]]+data[[#This Row],[NUIT1.2]]+data[[#This Row],[NUIT2.1]]+data[[#This Row],[NUIT2.2]],0))</f>
        <v>0</v>
      </c>
      <c r="Z53" s="165"/>
      <c r="AA53" s="44"/>
      <c r="AB53" s="44"/>
      <c r="AC53" s="44"/>
      <c r="AD53" s="44"/>
      <c r="AE53" s="44"/>
      <c r="AF53" s="44"/>
      <c r="AG53" s="44"/>
      <c r="AH53" s="44"/>
      <c r="AI53" s="44"/>
    </row>
    <row r="54" spans="1:35" x14ac:dyDescent="0.35">
      <c r="A54" s="64">
        <v>43539</v>
      </c>
      <c r="B54" s="122" t="str">
        <f>IF(data[[#This Row],[Hdébut garde]]&lt;&gt;"","Garde",IF(data[[#This Row],[Hdébut corrigé]]&lt;&gt;"","Intervention",""))</f>
        <v>Intervention</v>
      </c>
      <c r="C54" s="79"/>
      <c r="D54" s="56"/>
      <c r="E54" s="47">
        <f>MAX(0,IF(data[[#This Row],[Garde / Interv.]]="Garde",data[[#This Row],[Hfin corrigée]]-data[[#This Row],[Hdébut corrigé]],0))</f>
        <v>0</v>
      </c>
      <c r="F54" s="80"/>
      <c r="G54" s="57"/>
      <c r="H54" s="58" t="s">
        <v>2</v>
      </c>
      <c r="I54" s="59">
        <v>0.76180555555555562</v>
      </c>
      <c r="J54" s="60">
        <v>0.77847222222222223</v>
      </c>
      <c r="K54" s="42">
        <f>IF(data[[#This Row],[Hdébut garde]]&lt;&gt;"",
data[[#This Row],[Hdébut garde]],
data[[#This Row],[Hdébut interv.]]+IF(data[[#This Row],[Hdébut interv.]]&lt;SUMPRODUCT((data[Date]=data[[#This Row],[Date]])*data[Hdébut garde]),1,0)
)</f>
        <v>0.76180555555555562</v>
      </c>
      <c r="L5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0.77847222222222223</v>
      </c>
      <c r="M54" s="43" t="str">
        <f>IF(OR(WEEKDAY(data[[#This Row],[Date]],2)=7,COUNTIF(JF,data[[#This Row],[Date]])=1),"oui","non")</f>
        <v>non</v>
      </c>
      <c r="N54" s="44">
        <f>MAX(0,(MIN(1,data[[#This Row],[Hfin corrigée]])-data[[#This Row],[Hdébut corrigé]])-data[[#This Row],[NUIT1.1]]-data[[#This Row],[NUIT1.2]])</f>
        <v>1.6666666666666607E-2</v>
      </c>
      <c r="O54" s="44">
        <f>IF(data[[#This Row],[Hfin Interv.]]="",0,(
MIN(FinNuit,MIN(1,data[[#This Row],[Hfin corrigée]]))-MIN(FinNuit,data[[#This Row],[Hdébut corrigé]])
))</f>
        <v>0</v>
      </c>
      <c r="P54" s="44">
        <f>MAX(0,(MAX(0,(MIN(1,data[[#This Row],[Hfin corrigée]])-DebNuit))-MAX(0,(data[[#This Row],[Hdébut corrigé]]-DebNuit))))</f>
        <v>0</v>
      </c>
      <c r="Q54" s="43" t="str">
        <f>IF(OR(WEEKDAY(data[[#This Row],[Date]]+data[[#This Row],[Hfin corrigée]],2)=7,COUNTIF(JF,INT(data[[#This Row],[Date]]+data[[#This Row],[Hfin corrigée]]))=1),"oui","non")</f>
        <v>non</v>
      </c>
      <c r="R54" s="44">
        <f>MAX(0,data[[#This Row],[Hfin corrigée]]-MAX(1,data[[#This Row],[Hdébut corrigé]]))-data[[#This Row],[NUIT2.1]]-data[[#This Row],[NUIT2.2]]</f>
        <v>0</v>
      </c>
      <c r="S54" s="44">
        <f>MAX(0,MIN(1+FinNuit,data[[#This Row],[Hfin corrigée]])-MAX(1,data[[#This Row],[Hdébut corrigé]]))</f>
        <v>0</v>
      </c>
      <c r="T54" s="44">
        <f>MAX(0,(data[[#This Row],[Hfin corrigée]]-DebNuit-1))</f>
        <v>0</v>
      </c>
      <c r="U54" s="45">
        <f>IF(data[[#This Row],[Garde / Interv.]]="Intervention",MAX(0,data[[#This Row],[Hfin corrigée]]-SUMPRODUCT((data[Date]=data[[#This Row],[Date]])*(data[Garde / Interv.]="Garde")*data[Hfin corrigée])),0)</f>
        <v>0</v>
      </c>
      <c r="V5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4" s="44">
        <f>MAX(0,IF(data[[#This Row],[Garde / Interv.]]="Intervention",(data[[#This Row],[Fin Dim ou Férié]]="non")*data[[#This Row],[JOUR2]]+(data[[#This Row],[Début Dim ou Férié]]="non")*data[[#This Row],[JOUR1]],0))</f>
        <v>1.6666666666666607E-2</v>
      </c>
      <c r="X54" s="44">
        <f>IF(data[[#This Row],[Garde / Interv.]]="Intervention",(data[[#This Row],[Fin Dim ou Férié]]="oui")*data[[#This Row],[JOUR2]]+(data[[#This Row],[Début Dim ou Férié]]="oui")*data[[#This Row],[JOUR1]],0)</f>
        <v>0</v>
      </c>
      <c r="Y54" s="44">
        <f>MAX(0,IF(data[[#This Row],[Garde / Interv.]]="Intervention",data[[#This Row],[NUIT1.1]]+data[[#This Row],[NUIT1.2]]+data[[#This Row],[NUIT2.1]]+data[[#This Row],[NUIT2.2]],0))</f>
        <v>0</v>
      </c>
      <c r="Z54" s="165"/>
      <c r="AA54" s="44"/>
      <c r="AB54" s="44"/>
      <c r="AC54" s="44"/>
      <c r="AD54" s="44"/>
      <c r="AE54" s="44"/>
      <c r="AF54" s="44"/>
      <c r="AG54" s="44"/>
      <c r="AH54" s="44"/>
      <c r="AI54" s="44"/>
    </row>
    <row r="55" spans="1:35" x14ac:dyDescent="0.35">
      <c r="A55" s="64">
        <v>43539</v>
      </c>
      <c r="B55" s="122" t="str">
        <f>IF(data[[#This Row],[Hdébut garde]]&lt;&gt;"","Garde",IF(data[[#This Row],[Hdébut corrigé]]&lt;&gt;"","Intervention",""))</f>
        <v>Intervention</v>
      </c>
      <c r="C55" s="79"/>
      <c r="D55" s="56"/>
      <c r="E55" s="47">
        <f>MAX(0,IF(data[[#This Row],[Garde / Interv.]]="Garde",data[[#This Row],[Hfin corrigée]]-data[[#This Row],[Hdébut corrigé]],0))</f>
        <v>0</v>
      </c>
      <c r="F55" s="80"/>
      <c r="G55" s="57"/>
      <c r="H55" s="58" t="s">
        <v>2</v>
      </c>
      <c r="I55" s="59">
        <v>0.94305555555555554</v>
      </c>
      <c r="J55" s="60">
        <v>0.98958333333333337</v>
      </c>
      <c r="K55" s="42">
        <f>IF(data[[#This Row],[Hdébut garde]]&lt;&gt;"",
data[[#This Row],[Hdébut garde]],
data[[#This Row],[Hdébut interv.]]+IF(data[[#This Row],[Hdébut interv.]]&lt;SUMPRODUCT((data[Date]=data[[#This Row],[Date]])*data[Hdébut garde]),1,0)
)</f>
        <v>0.94305555555555554</v>
      </c>
      <c r="L5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0.98958333333333337</v>
      </c>
      <c r="M55" s="43" t="str">
        <f>IF(OR(WEEKDAY(data[[#This Row],[Date]],2)=7,COUNTIF(JF,data[[#This Row],[Date]])=1),"oui","non")</f>
        <v>non</v>
      </c>
      <c r="N55" s="44">
        <f>MAX(0,(MIN(1,data[[#This Row],[Hfin corrigée]])-data[[#This Row],[Hdébut corrigé]])-data[[#This Row],[NUIT1.1]]-data[[#This Row],[NUIT1.2]])</f>
        <v>0</v>
      </c>
      <c r="O55" s="44">
        <f>IF(data[[#This Row],[Hfin Interv.]]="",0,(
MIN(FinNuit,MIN(1,data[[#This Row],[Hfin corrigée]]))-MIN(FinNuit,data[[#This Row],[Hdébut corrigé]])
))</f>
        <v>0</v>
      </c>
      <c r="P55" s="44">
        <f>MAX(0,(MAX(0,(MIN(1,data[[#This Row],[Hfin corrigée]])-DebNuit))-MAX(0,(data[[#This Row],[Hdébut corrigé]]-DebNuit))))</f>
        <v>4.6527777777777835E-2</v>
      </c>
      <c r="Q55" s="43" t="str">
        <f>IF(OR(WEEKDAY(data[[#This Row],[Date]]+data[[#This Row],[Hfin corrigée]],2)=7,COUNTIF(JF,INT(data[[#This Row],[Date]]+data[[#This Row],[Hfin corrigée]]))=1),"oui","non")</f>
        <v>non</v>
      </c>
      <c r="R55" s="44">
        <f>MAX(0,data[[#This Row],[Hfin corrigée]]-MAX(1,data[[#This Row],[Hdébut corrigé]]))-data[[#This Row],[NUIT2.1]]-data[[#This Row],[NUIT2.2]]</f>
        <v>0</v>
      </c>
      <c r="S55" s="44">
        <f>MAX(0,MIN(1+FinNuit,data[[#This Row],[Hfin corrigée]])-MAX(1,data[[#This Row],[Hdébut corrigé]]))</f>
        <v>0</v>
      </c>
      <c r="T55" s="44">
        <f>MAX(0,(data[[#This Row],[Hfin corrigée]]-DebNuit-1))</f>
        <v>0</v>
      </c>
      <c r="U55" s="45">
        <f>IF(data[[#This Row],[Garde / Interv.]]="Intervention",MAX(0,data[[#This Row],[Hfin corrigée]]-SUMPRODUCT((data[Date]=data[[#This Row],[Date]])*(data[Garde / Interv.]="Garde")*data[Hfin corrigée])),0)</f>
        <v>0</v>
      </c>
      <c r="V5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5" s="44">
        <f>MAX(0,IF(data[[#This Row],[Garde / Interv.]]="Intervention",(data[[#This Row],[Fin Dim ou Férié]]="non")*data[[#This Row],[JOUR2]]+(data[[#This Row],[Début Dim ou Férié]]="non")*data[[#This Row],[JOUR1]],0))</f>
        <v>0</v>
      </c>
      <c r="X55" s="44">
        <f>IF(data[[#This Row],[Garde / Interv.]]="Intervention",(data[[#This Row],[Fin Dim ou Férié]]="oui")*data[[#This Row],[JOUR2]]+(data[[#This Row],[Début Dim ou Férié]]="oui")*data[[#This Row],[JOUR1]],0)</f>
        <v>0</v>
      </c>
      <c r="Y55" s="44">
        <f>MAX(0,IF(data[[#This Row],[Garde / Interv.]]="Intervention",data[[#This Row],[NUIT1.1]]+data[[#This Row],[NUIT1.2]]+data[[#This Row],[NUIT2.1]]+data[[#This Row],[NUIT2.2]],0))</f>
        <v>4.6527777777777835E-2</v>
      </c>
      <c r="Z55" s="165"/>
      <c r="AA55" s="44"/>
      <c r="AB55" s="44"/>
      <c r="AC55" s="44"/>
      <c r="AD55" s="44"/>
      <c r="AE55" s="44"/>
      <c r="AF55" s="44"/>
      <c r="AG55" s="44"/>
      <c r="AH55" s="44"/>
      <c r="AI55" s="44"/>
    </row>
    <row r="56" spans="1:35" x14ac:dyDescent="0.35">
      <c r="A56" s="64">
        <v>43545</v>
      </c>
      <c r="B56" s="122" t="str">
        <f>IF(data[[#This Row],[Hdébut garde]]&lt;&gt;"","Garde",IF(data[[#This Row],[Hdébut corrigé]]&lt;&gt;"","Intervention",""))</f>
        <v>Garde</v>
      </c>
      <c r="C56" s="79">
        <v>0.29166666666666669</v>
      </c>
      <c r="D56" s="56">
        <v>0.35416666666666669</v>
      </c>
      <c r="E56" s="47">
        <f>MAX(0,IF(data[[#This Row],[Garde / Interv.]]="Garde",data[[#This Row],[Hfin corrigée]]-data[[#This Row],[Hdébut corrigé]],0))</f>
        <v>1.0625</v>
      </c>
      <c r="F56" s="80" t="s">
        <v>79</v>
      </c>
      <c r="G56" s="57"/>
      <c r="H56" s="58"/>
      <c r="I56" s="59"/>
      <c r="J56" s="60"/>
      <c r="K56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5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1.3541666666666667</v>
      </c>
      <c r="M56" s="43" t="str">
        <f>IF(OR(WEEKDAY(data[[#This Row],[Date]],2)=7,COUNTIF(JF,data[[#This Row],[Date]])=1),"oui","non")</f>
        <v>non</v>
      </c>
      <c r="N56" s="44">
        <f>MAX(0,(MIN(1,data[[#This Row],[Hfin corrigée]])-data[[#This Row],[Hdébut corrigé]])-data[[#This Row],[NUIT1.1]]-data[[#This Row],[NUIT1.2]])</f>
        <v>0.62499999999999989</v>
      </c>
      <c r="O56" s="44">
        <f>IF(data[[#This Row],[Hfin Interv.]]="",0,(
MIN(FinNuit,MIN(1,data[[#This Row],[Hfin corrigée]]))-MIN(FinNuit,data[[#This Row],[Hdébut corrigé]])
))</f>
        <v>0</v>
      </c>
      <c r="P56" s="44">
        <f>MAX(0,(MAX(0,(MIN(1,data[[#This Row],[Hfin corrigée]])-DebNuit))-MAX(0,(data[[#This Row],[Hdébut corrigé]]-DebNuit))))</f>
        <v>8.333333333333337E-2</v>
      </c>
      <c r="Q56" s="43" t="str">
        <f>IF(OR(WEEKDAY(data[[#This Row],[Date]]+data[[#This Row],[Hfin corrigée]],2)=7,COUNTIF(JF,INT(data[[#This Row],[Date]]+data[[#This Row],[Hfin corrigée]]))=1),"oui","non")</f>
        <v>non</v>
      </c>
      <c r="R56" s="44">
        <f>MAX(0,data[[#This Row],[Hfin corrigée]]-MAX(1,data[[#This Row],[Hdébut corrigé]]))-data[[#This Row],[NUIT2.1]]-data[[#This Row],[NUIT2.2]]</f>
        <v>6.25E-2</v>
      </c>
      <c r="S56" s="44">
        <f>MAX(0,MIN(1+FinNuit,data[[#This Row],[Hfin corrigée]])-MAX(1,data[[#This Row],[Hdébut corrigé]]))</f>
        <v>0.29166666666666674</v>
      </c>
      <c r="T56" s="44">
        <f>MAX(0,(data[[#This Row],[Hfin corrigée]]-DebNuit-1))</f>
        <v>0</v>
      </c>
      <c r="U56" s="45">
        <f>IF(data[[#This Row],[Garde / Interv.]]="Intervention",MAX(0,data[[#This Row],[Hfin corrigée]]-SUMPRODUCT((data[Date]=data[[#This Row],[Date]])*(data[Garde / Interv.]="Garde")*data[Hfin corrigée])),0)</f>
        <v>0</v>
      </c>
      <c r="V5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0.8256944444444444</v>
      </c>
      <c r="W56" s="44">
        <f>MAX(0,IF(data[[#This Row],[Garde / Interv.]]="Intervention",(data[[#This Row],[Fin Dim ou Férié]]="non")*data[[#This Row],[JOUR2]]+(data[[#This Row],[Début Dim ou Férié]]="non")*data[[#This Row],[JOUR1]],0))</f>
        <v>0</v>
      </c>
      <c r="X56" s="44">
        <f>IF(data[[#This Row],[Garde / Interv.]]="Intervention",(data[[#This Row],[Fin Dim ou Férié]]="oui")*data[[#This Row],[JOUR2]]+(data[[#This Row],[Début Dim ou Férié]]="oui")*data[[#This Row],[JOUR1]],0)</f>
        <v>0</v>
      </c>
      <c r="Y56" s="44">
        <f>MAX(0,IF(data[[#This Row],[Garde / Interv.]]="Intervention",data[[#This Row],[NUIT1.1]]+data[[#This Row],[NUIT1.2]]+data[[#This Row],[NUIT2.1]]+data[[#This Row],[NUIT2.2]],0))</f>
        <v>0</v>
      </c>
      <c r="Z56" s="165"/>
      <c r="AA56" s="44"/>
      <c r="AB56" s="44"/>
      <c r="AC56" s="44"/>
      <c r="AD56" s="44"/>
      <c r="AE56" s="44"/>
      <c r="AF56" s="44"/>
      <c r="AG56" s="44"/>
      <c r="AH56" s="44"/>
      <c r="AI56" s="44"/>
    </row>
    <row r="57" spans="1:35" x14ac:dyDescent="0.35">
      <c r="A57" s="64">
        <v>43545</v>
      </c>
      <c r="B57" s="122" t="str">
        <f>IF(data[[#This Row],[Hdébut garde]]&lt;&gt;"","Garde",IF(data[[#This Row],[Hdébut corrigé]]&lt;&gt;"","Intervention",""))</f>
        <v>Intervention</v>
      </c>
      <c r="C57" s="79"/>
      <c r="D57" s="56"/>
      <c r="E57" s="47">
        <f>MAX(0,IF(data[[#This Row],[Garde / Interv.]]="Garde",data[[#This Row],[Hfin corrigée]]-data[[#This Row],[Hdébut corrigé]],0))</f>
        <v>0</v>
      </c>
      <c r="F57" s="80"/>
      <c r="G57" s="57"/>
      <c r="H57" s="58" t="s">
        <v>4</v>
      </c>
      <c r="I57" s="59">
        <v>0.59027777777777779</v>
      </c>
      <c r="J57" s="60">
        <v>0.64236111111111105</v>
      </c>
      <c r="K57" s="42">
        <f>IF(data[[#This Row],[Hdébut garde]]&lt;&gt;"",
data[[#This Row],[Hdébut garde]],
data[[#This Row],[Hdébut interv.]]+IF(data[[#This Row],[Hdébut interv.]]&lt;SUMPRODUCT((data[Date]=data[[#This Row],[Date]])*data[Hdébut garde]),1,0)
)</f>
        <v>0.59027777777777779</v>
      </c>
      <c r="L5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0.64236111111111105</v>
      </c>
      <c r="M57" s="43" t="str">
        <f>IF(OR(WEEKDAY(data[[#This Row],[Date]],2)=7,COUNTIF(JF,data[[#This Row],[Date]])=1),"oui","non")</f>
        <v>non</v>
      </c>
      <c r="N57" s="44">
        <f>MAX(0,(MIN(1,data[[#This Row],[Hfin corrigée]])-data[[#This Row],[Hdébut corrigé]])-data[[#This Row],[NUIT1.1]]-data[[#This Row],[NUIT1.2]])</f>
        <v>5.2083333333333259E-2</v>
      </c>
      <c r="O57" s="44">
        <f>IF(data[[#This Row],[Hfin Interv.]]="",0,(
MIN(FinNuit,MIN(1,data[[#This Row],[Hfin corrigée]]))-MIN(FinNuit,data[[#This Row],[Hdébut corrigé]])
))</f>
        <v>0</v>
      </c>
      <c r="P57" s="44">
        <f>MAX(0,(MAX(0,(MIN(1,data[[#This Row],[Hfin corrigée]])-DebNuit))-MAX(0,(data[[#This Row],[Hdébut corrigé]]-DebNuit))))</f>
        <v>0</v>
      </c>
      <c r="Q57" s="43" t="str">
        <f>IF(OR(WEEKDAY(data[[#This Row],[Date]]+data[[#This Row],[Hfin corrigée]],2)=7,COUNTIF(JF,INT(data[[#This Row],[Date]]+data[[#This Row],[Hfin corrigée]]))=1),"oui","non")</f>
        <v>non</v>
      </c>
      <c r="R57" s="44">
        <f>MAX(0,data[[#This Row],[Hfin corrigée]]-MAX(1,data[[#This Row],[Hdébut corrigé]]))-data[[#This Row],[NUIT2.1]]-data[[#This Row],[NUIT2.2]]</f>
        <v>0</v>
      </c>
      <c r="S57" s="44">
        <f>MAX(0,MIN(1+FinNuit,data[[#This Row],[Hfin corrigée]])-MAX(1,data[[#This Row],[Hdébut corrigé]]))</f>
        <v>0</v>
      </c>
      <c r="T57" s="44">
        <f>MAX(0,(data[[#This Row],[Hfin corrigée]]-DebNuit-1))</f>
        <v>0</v>
      </c>
      <c r="U57" s="45">
        <f>IF(data[[#This Row],[Garde / Interv.]]="Intervention",MAX(0,data[[#This Row],[Hfin corrigée]]-SUMPRODUCT((data[Date]=data[[#This Row],[Date]])*(data[Garde / Interv.]="Garde")*data[Hfin corrigée])),0)</f>
        <v>0</v>
      </c>
      <c r="V5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7" s="44">
        <f>MAX(0,IF(data[[#This Row],[Garde / Interv.]]="Intervention",(data[[#This Row],[Fin Dim ou Férié]]="non")*data[[#This Row],[JOUR2]]+(data[[#This Row],[Début Dim ou Férié]]="non")*data[[#This Row],[JOUR1]],0))</f>
        <v>5.2083333333333259E-2</v>
      </c>
      <c r="X57" s="44">
        <f>IF(data[[#This Row],[Garde / Interv.]]="Intervention",(data[[#This Row],[Fin Dim ou Férié]]="oui")*data[[#This Row],[JOUR2]]+(data[[#This Row],[Début Dim ou Férié]]="oui")*data[[#This Row],[JOUR1]],0)</f>
        <v>0</v>
      </c>
      <c r="Y57" s="44">
        <f>MAX(0,IF(data[[#This Row],[Garde / Interv.]]="Intervention",data[[#This Row],[NUIT1.1]]+data[[#This Row],[NUIT1.2]]+data[[#This Row],[NUIT2.1]]+data[[#This Row],[NUIT2.2]],0))</f>
        <v>0</v>
      </c>
      <c r="Z57" s="165"/>
      <c r="AA57" s="44"/>
      <c r="AB57" s="44"/>
      <c r="AC57" s="44"/>
      <c r="AD57" s="44"/>
      <c r="AE57" s="44"/>
      <c r="AF57" s="44"/>
      <c r="AG57" s="44"/>
      <c r="AH57" s="44"/>
      <c r="AI57" s="44"/>
    </row>
    <row r="58" spans="1:35" x14ac:dyDescent="0.35">
      <c r="A58" s="64">
        <v>43545</v>
      </c>
      <c r="B58" s="122" t="str">
        <f>IF(data[[#This Row],[Hdébut garde]]&lt;&gt;"","Garde",IF(data[[#This Row],[Hdébut corrigé]]&lt;&gt;"","Intervention",""))</f>
        <v>Intervention</v>
      </c>
      <c r="C58" s="79"/>
      <c r="D58" s="56"/>
      <c r="E58" s="47">
        <f>MAX(0,IF(data[[#This Row],[Garde / Interv.]]="Garde",data[[#This Row],[Hfin corrigée]]-data[[#This Row],[Hdébut corrigé]],0))</f>
        <v>0</v>
      </c>
      <c r="F58" s="80"/>
      <c r="G58" s="57"/>
      <c r="H58" s="58" t="s">
        <v>2</v>
      </c>
      <c r="I58" s="59">
        <v>0.66111111111111109</v>
      </c>
      <c r="J58" s="60">
        <v>0.72499999999999998</v>
      </c>
      <c r="K58" s="42">
        <f>IF(data[[#This Row],[Hdébut garde]]&lt;&gt;"",
data[[#This Row],[Hdébut garde]],
data[[#This Row],[Hdébut interv.]]+IF(data[[#This Row],[Hdébut interv.]]&lt;SUMPRODUCT((data[Date]=data[[#This Row],[Date]])*data[Hdébut garde]),1,0)
)</f>
        <v>0.66111111111111109</v>
      </c>
      <c r="L5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0.72499999999999998</v>
      </c>
      <c r="M58" s="43" t="str">
        <f>IF(OR(WEEKDAY(data[[#This Row],[Date]],2)=7,COUNTIF(JF,data[[#This Row],[Date]])=1),"oui","non")</f>
        <v>non</v>
      </c>
      <c r="N58" s="44">
        <f>MAX(0,(MIN(1,data[[#This Row],[Hfin corrigée]])-data[[#This Row],[Hdébut corrigé]])-data[[#This Row],[NUIT1.1]]-data[[#This Row],[NUIT1.2]])</f>
        <v>6.3888888888888884E-2</v>
      </c>
      <c r="O58" s="44">
        <f>IF(data[[#This Row],[Hfin Interv.]]="",0,(
MIN(FinNuit,MIN(1,data[[#This Row],[Hfin corrigée]]))-MIN(FinNuit,data[[#This Row],[Hdébut corrigé]])
))</f>
        <v>0</v>
      </c>
      <c r="P58" s="44">
        <f>MAX(0,(MAX(0,(MIN(1,data[[#This Row],[Hfin corrigée]])-DebNuit))-MAX(0,(data[[#This Row],[Hdébut corrigé]]-DebNuit))))</f>
        <v>0</v>
      </c>
      <c r="Q58" s="43" t="str">
        <f>IF(OR(WEEKDAY(data[[#This Row],[Date]]+data[[#This Row],[Hfin corrigée]],2)=7,COUNTIF(JF,INT(data[[#This Row],[Date]]+data[[#This Row],[Hfin corrigée]]))=1),"oui","non")</f>
        <v>non</v>
      </c>
      <c r="R58" s="44">
        <f>MAX(0,data[[#This Row],[Hfin corrigée]]-MAX(1,data[[#This Row],[Hdébut corrigé]]))-data[[#This Row],[NUIT2.1]]-data[[#This Row],[NUIT2.2]]</f>
        <v>0</v>
      </c>
      <c r="S58" s="44">
        <f>MAX(0,MIN(1+FinNuit,data[[#This Row],[Hfin corrigée]])-MAX(1,data[[#This Row],[Hdébut corrigé]]))</f>
        <v>0</v>
      </c>
      <c r="T58" s="44">
        <f>MAX(0,(data[[#This Row],[Hfin corrigée]]-DebNuit-1))</f>
        <v>0</v>
      </c>
      <c r="U58" s="45">
        <f>IF(data[[#This Row],[Garde / Interv.]]="Intervention",MAX(0,data[[#This Row],[Hfin corrigée]]-SUMPRODUCT((data[Date]=data[[#This Row],[Date]])*(data[Garde / Interv.]="Garde")*data[Hfin corrigée])),0)</f>
        <v>0</v>
      </c>
      <c r="V5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8" s="44">
        <f>MAX(0,IF(data[[#This Row],[Garde / Interv.]]="Intervention",(data[[#This Row],[Fin Dim ou Férié]]="non")*data[[#This Row],[JOUR2]]+(data[[#This Row],[Début Dim ou Férié]]="non")*data[[#This Row],[JOUR1]],0))</f>
        <v>6.3888888888888884E-2</v>
      </c>
      <c r="X58" s="44">
        <f>IF(data[[#This Row],[Garde / Interv.]]="Intervention",(data[[#This Row],[Fin Dim ou Férié]]="oui")*data[[#This Row],[JOUR2]]+(data[[#This Row],[Début Dim ou Férié]]="oui")*data[[#This Row],[JOUR1]],0)</f>
        <v>0</v>
      </c>
      <c r="Y58" s="44">
        <f>MAX(0,IF(data[[#This Row],[Garde / Interv.]]="Intervention",data[[#This Row],[NUIT1.1]]+data[[#This Row],[NUIT1.2]]+data[[#This Row],[NUIT2.1]]+data[[#This Row],[NUIT2.2]],0))</f>
        <v>0</v>
      </c>
      <c r="Z58" s="165"/>
      <c r="AA58" s="44"/>
      <c r="AB58" s="44"/>
      <c r="AC58" s="44"/>
      <c r="AD58" s="44"/>
      <c r="AE58" s="44"/>
      <c r="AF58" s="44"/>
      <c r="AG58" s="44"/>
      <c r="AH58" s="44"/>
      <c r="AI58" s="44"/>
    </row>
    <row r="59" spans="1:35" x14ac:dyDescent="0.35">
      <c r="A59" s="64">
        <v>43545</v>
      </c>
      <c r="B59" s="122" t="str">
        <f>IF(data[[#This Row],[Hdébut garde]]&lt;&gt;"","Garde",IF(data[[#This Row],[Hdébut corrigé]]&lt;&gt;"","Intervention",""))</f>
        <v>Intervention</v>
      </c>
      <c r="C59" s="79"/>
      <c r="D59" s="56"/>
      <c r="E59" s="47">
        <f>MAX(0,IF(data[[#This Row],[Garde / Interv.]]="Garde",data[[#This Row],[Hfin corrigée]]-data[[#This Row],[Hdébut corrigé]],0))</f>
        <v>0</v>
      </c>
      <c r="F59" s="80"/>
      <c r="G59" s="57"/>
      <c r="H59" s="58" t="s">
        <v>2</v>
      </c>
      <c r="I59" s="59">
        <v>0.7416666666666667</v>
      </c>
      <c r="J59" s="60">
        <v>0.79166666666666663</v>
      </c>
      <c r="K59" s="42">
        <f>IF(data[[#This Row],[Hdébut garde]]&lt;&gt;"",
data[[#This Row],[Hdébut garde]],
data[[#This Row],[Hdébut interv.]]+IF(data[[#This Row],[Hdébut interv.]]&lt;SUMPRODUCT((data[Date]=data[[#This Row],[Date]])*data[Hdébut garde]),1,0)
)</f>
        <v>0.7416666666666667</v>
      </c>
      <c r="L5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0.79166666666666663</v>
      </c>
      <c r="M59" s="43" t="str">
        <f>IF(OR(WEEKDAY(data[[#This Row],[Date]],2)=7,COUNTIF(JF,data[[#This Row],[Date]])=1),"oui","non")</f>
        <v>non</v>
      </c>
      <c r="N59" s="44">
        <f>MAX(0,(MIN(1,data[[#This Row],[Hfin corrigée]])-data[[#This Row],[Hdébut corrigé]])-data[[#This Row],[NUIT1.1]]-data[[#This Row],[NUIT1.2]])</f>
        <v>4.9999999999999933E-2</v>
      </c>
      <c r="O59" s="44">
        <f>IF(data[[#This Row],[Hfin Interv.]]="",0,(
MIN(FinNuit,MIN(1,data[[#This Row],[Hfin corrigée]]))-MIN(FinNuit,data[[#This Row],[Hdébut corrigé]])
))</f>
        <v>0</v>
      </c>
      <c r="P59" s="44">
        <f>MAX(0,(MAX(0,(MIN(1,data[[#This Row],[Hfin corrigée]])-DebNuit))-MAX(0,(data[[#This Row],[Hdébut corrigé]]-DebNuit))))</f>
        <v>0</v>
      </c>
      <c r="Q59" s="43" t="str">
        <f>IF(OR(WEEKDAY(data[[#This Row],[Date]]+data[[#This Row],[Hfin corrigée]],2)=7,COUNTIF(JF,INT(data[[#This Row],[Date]]+data[[#This Row],[Hfin corrigée]]))=1),"oui","non")</f>
        <v>non</v>
      </c>
      <c r="R59" s="44">
        <f>MAX(0,data[[#This Row],[Hfin corrigée]]-MAX(1,data[[#This Row],[Hdébut corrigé]]))-data[[#This Row],[NUIT2.1]]-data[[#This Row],[NUIT2.2]]</f>
        <v>0</v>
      </c>
      <c r="S59" s="44">
        <f>MAX(0,MIN(1+FinNuit,data[[#This Row],[Hfin corrigée]])-MAX(1,data[[#This Row],[Hdébut corrigé]]))</f>
        <v>0</v>
      </c>
      <c r="T59" s="44">
        <f>MAX(0,(data[[#This Row],[Hfin corrigée]]-DebNuit-1))</f>
        <v>0</v>
      </c>
      <c r="U59" s="45">
        <f>IF(data[[#This Row],[Garde / Interv.]]="Intervention",MAX(0,data[[#This Row],[Hfin corrigée]]-SUMPRODUCT((data[Date]=data[[#This Row],[Date]])*(data[Garde / Interv.]="Garde")*data[Hfin corrigée])),0)</f>
        <v>0</v>
      </c>
      <c r="V5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59" s="44">
        <f>MAX(0,IF(data[[#This Row],[Garde / Interv.]]="Intervention",(data[[#This Row],[Fin Dim ou Férié]]="non")*data[[#This Row],[JOUR2]]+(data[[#This Row],[Début Dim ou Férié]]="non")*data[[#This Row],[JOUR1]],0))</f>
        <v>4.9999999999999933E-2</v>
      </c>
      <c r="X59" s="44">
        <f>IF(data[[#This Row],[Garde / Interv.]]="Intervention",(data[[#This Row],[Fin Dim ou Férié]]="oui")*data[[#This Row],[JOUR2]]+(data[[#This Row],[Début Dim ou Férié]]="oui")*data[[#This Row],[JOUR1]],0)</f>
        <v>0</v>
      </c>
      <c r="Y59" s="44">
        <f>MAX(0,IF(data[[#This Row],[Garde / Interv.]]="Intervention",data[[#This Row],[NUIT1.1]]+data[[#This Row],[NUIT1.2]]+data[[#This Row],[NUIT2.1]]+data[[#This Row],[NUIT2.2]],0))</f>
        <v>0</v>
      </c>
      <c r="Z59" s="165"/>
      <c r="AA59" s="44"/>
      <c r="AB59" s="44"/>
      <c r="AC59" s="44"/>
      <c r="AD59" s="44"/>
      <c r="AE59" s="44"/>
      <c r="AF59" s="44"/>
      <c r="AG59" s="44"/>
      <c r="AH59" s="44"/>
      <c r="AI59" s="44"/>
    </row>
    <row r="60" spans="1:35" s="137" customFormat="1" ht="15" thickBot="1" x14ac:dyDescent="0.4">
      <c r="A60" s="123">
        <v>43545</v>
      </c>
      <c r="B60" s="124" t="str">
        <f>IF(data[[#This Row],[Hdébut garde]]&lt;&gt;"","Garde",IF(data[[#This Row],[Hdébut corrigé]]&lt;&gt;"","Intervention",""))</f>
        <v>Intervention</v>
      </c>
      <c r="C60" s="125"/>
      <c r="D60" s="126"/>
      <c r="E60" s="127">
        <f>MAX(0,IF(data[[#This Row],[Garde / Interv.]]="Garde",data[[#This Row],[Hfin corrigée]]-data[[#This Row],[Hdébut corrigé]],0))</f>
        <v>0</v>
      </c>
      <c r="F60" s="128"/>
      <c r="G60" s="129"/>
      <c r="H60" s="130" t="s">
        <v>2</v>
      </c>
      <c r="I60" s="131">
        <v>0.28333333333333333</v>
      </c>
      <c r="J60" s="132">
        <v>0.35416666666666669</v>
      </c>
      <c r="K60" s="133">
        <f>IF(data[[#This Row],[Hdébut garde]]&lt;&gt;"",
data[[#This Row],[Hdébut garde]],
data[[#This Row],[Hdébut interv.]]+IF(data[[#This Row],[Hdébut interv.]]&lt;SUMPRODUCT((data[Date]=data[[#This Row],[Date]])*data[Hdébut garde]),1,0)
)</f>
        <v>1.2833333333333332</v>
      </c>
      <c r="L60" s="133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1.3541666666666667</v>
      </c>
      <c r="M60" s="134" t="str">
        <f>IF(OR(WEEKDAY(data[[#This Row],[Date]],2)=7,COUNTIF(JF,data[[#This Row],[Date]])=1),"oui","non")</f>
        <v>non</v>
      </c>
      <c r="N60" s="135">
        <f>MAX(0,(MIN(1,data[[#This Row],[Hfin corrigée]])-data[[#This Row],[Hdébut corrigé]])-data[[#This Row],[NUIT1.1]]-data[[#This Row],[NUIT1.2]])</f>
        <v>0</v>
      </c>
      <c r="O60" s="135">
        <f>IF(data[[#This Row],[Hfin Interv.]]="",0,(
MIN(FinNuit,MIN(1,data[[#This Row],[Hfin corrigée]]))-MIN(FinNuit,data[[#This Row],[Hdébut corrigé]])
))</f>
        <v>0</v>
      </c>
      <c r="P60" s="135">
        <f>MAX(0,(MAX(0,(MIN(1,data[[#This Row],[Hfin corrigée]])-DebNuit))-MAX(0,(data[[#This Row],[Hdébut corrigé]]-DebNuit))))</f>
        <v>0</v>
      </c>
      <c r="Q60" s="134" t="str">
        <f>IF(OR(WEEKDAY(data[[#This Row],[Date]]+data[[#This Row],[Hfin corrigée]],2)=7,COUNTIF(JF,INT(data[[#This Row],[Date]]+data[[#This Row],[Hfin corrigée]]))=1),"oui","non")</f>
        <v>non</v>
      </c>
      <c r="R60" s="135">
        <f>MAX(0,data[[#This Row],[Hfin corrigée]]-MAX(1,data[[#This Row],[Hdébut corrigé]]))-data[[#This Row],[NUIT2.1]]-data[[#This Row],[NUIT2.2]]</f>
        <v>6.25E-2</v>
      </c>
      <c r="S60" s="135">
        <f>MAX(0,MIN(1+FinNuit,data[[#This Row],[Hfin corrigée]])-MAX(1,data[[#This Row],[Hdébut corrigé]]))</f>
        <v>8.3333333333335258E-3</v>
      </c>
      <c r="T60" s="135">
        <f>MAX(0,(data[[#This Row],[Hfin corrigée]]-DebNuit-1))</f>
        <v>0</v>
      </c>
      <c r="U60" s="136">
        <f>IF(data[[#This Row],[Garde / Interv.]]="Intervention",MAX(0,data[[#This Row],[Hfin corrigée]]-SUMPRODUCT((data[Date]=data[[#This Row],[Date]])*(data[Garde / Interv.]="Garde")*data[Hfin corrigée])),0)</f>
        <v>0</v>
      </c>
      <c r="V60" s="13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0" s="135">
        <f>MAX(0,IF(data[[#This Row],[Garde / Interv.]]="Intervention",(data[[#This Row],[Fin Dim ou Férié]]="non")*data[[#This Row],[JOUR2]]+(data[[#This Row],[Début Dim ou Férié]]="non")*data[[#This Row],[JOUR1]],0))</f>
        <v>6.25E-2</v>
      </c>
      <c r="X60" s="135">
        <f>IF(data[[#This Row],[Garde / Interv.]]="Intervention",(data[[#This Row],[Fin Dim ou Férié]]="oui")*data[[#This Row],[JOUR2]]+(data[[#This Row],[Début Dim ou Férié]]="oui")*data[[#This Row],[JOUR1]],0)</f>
        <v>0</v>
      </c>
      <c r="Y60" s="135">
        <f>MAX(0,IF(data[[#This Row],[Garde / Interv.]]="Intervention",data[[#This Row],[NUIT1.1]]+data[[#This Row],[NUIT1.2]]+data[[#This Row],[NUIT2.1]]+data[[#This Row],[NUIT2.2]],0))</f>
        <v>8.3333333333335258E-3</v>
      </c>
      <c r="Z60" s="166"/>
      <c r="AA60" s="135"/>
      <c r="AB60" s="135"/>
      <c r="AC60" s="135"/>
      <c r="AD60" s="135"/>
      <c r="AE60" s="135"/>
      <c r="AF60" s="135"/>
      <c r="AG60" s="135"/>
      <c r="AH60" s="135"/>
      <c r="AI60" s="135"/>
    </row>
    <row r="61" spans="1:35" ht="15" thickTop="1" x14ac:dyDescent="0.35">
      <c r="A61" s="64">
        <v>43559</v>
      </c>
      <c r="B61" s="122" t="str">
        <f>IF(data[[#This Row],[Hdébut garde]]&lt;&gt;"","Garde",IF(data[[#This Row],[Hdébut corrigé]]&lt;&gt;"","Intervention",""))</f>
        <v>Garde</v>
      </c>
      <c r="C61" s="79">
        <v>0.29166666666666669</v>
      </c>
      <c r="D61" s="56">
        <v>0.32430555555555557</v>
      </c>
      <c r="E61" s="47">
        <f>MAX(0,IF(data[[#This Row],[Garde / Interv.]]="Garde",data[[#This Row],[Hfin corrigée]]-data[[#This Row],[Hdébut corrigé]],0))</f>
        <v>1.0326388888888889</v>
      </c>
      <c r="F61" s="80" t="s">
        <v>79</v>
      </c>
      <c r="G61" s="57"/>
      <c r="H61" s="58"/>
      <c r="I61" s="59"/>
      <c r="J61" s="60"/>
      <c r="K61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6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1.3243055555555556</v>
      </c>
      <c r="M61" s="43" t="str">
        <f>IF(OR(WEEKDAY(data[[#This Row],[Date]],2)=7,COUNTIF(JF,data[[#This Row],[Date]])=1),"oui","non")</f>
        <v>non</v>
      </c>
      <c r="N61" s="44">
        <f>MAX(0,(MIN(1,data[[#This Row],[Hfin corrigée]])-data[[#This Row],[Hdébut corrigé]])-data[[#This Row],[NUIT1.1]]-data[[#This Row],[NUIT1.2]])</f>
        <v>0.62499999999999989</v>
      </c>
      <c r="O61" s="44">
        <f>IF(data[[#This Row],[Hfin Interv.]]="",0,(
MIN(FinNuit,MIN(1,data[[#This Row],[Hfin corrigée]]))-MIN(FinNuit,data[[#This Row],[Hdébut corrigé]])
))</f>
        <v>0</v>
      </c>
      <c r="P61" s="44">
        <f>MAX(0,(MAX(0,(MIN(1,data[[#This Row],[Hfin corrigée]])-DebNuit))-MAX(0,(data[[#This Row],[Hdébut corrigé]]-DebNuit))))</f>
        <v>8.333333333333337E-2</v>
      </c>
      <c r="Q61" s="43" t="str">
        <f>IF(OR(WEEKDAY(data[[#This Row],[Date]]+data[[#This Row],[Hfin corrigée]],2)=7,COUNTIF(JF,INT(data[[#This Row],[Date]]+data[[#This Row],[Hfin corrigée]]))=1),"oui","non")</f>
        <v>non</v>
      </c>
      <c r="R61" s="44">
        <f>MAX(0,data[[#This Row],[Hfin corrigée]]-MAX(1,data[[#This Row],[Hdébut corrigé]]))-data[[#This Row],[NUIT2.1]]-data[[#This Row],[NUIT2.2]]</f>
        <v>3.2638888888888884E-2</v>
      </c>
      <c r="S61" s="44">
        <f>MAX(0,MIN(1+FinNuit,data[[#This Row],[Hfin corrigée]])-MAX(1,data[[#This Row],[Hdébut corrigé]]))</f>
        <v>0.29166666666666674</v>
      </c>
      <c r="T61" s="44">
        <f>MAX(0,(data[[#This Row],[Hfin corrigée]]-DebNuit-1))</f>
        <v>0</v>
      </c>
      <c r="U61" s="45">
        <f>IF(data[[#This Row],[Garde / Interv.]]="Intervention",MAX(0,data[[#This Row],[Hfin corrigée]]-SUMPRODUCT((data[Date]=data[[#This Row],[Date]])*(data[Garde / Interv.]="Garde")*data[Hfin corrigée])),0)</f>
        <v>0</v>
      </c>
      <c r="V6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0.96597222222222223</v>
      </c>
      <c r="W61" s="44">
        <f>MAX(0,IF(data[[#This Row],[Garde / Interv.]]="Intervention",(data[[#This Row],[Fin Dim ou Férié]]="non")*data[[#This Row],[JOUR2]]+(data[[#This Row],[Début Dim ou Férié]]="non")*data[[#This Row],[JOUR1]],0))</f>
        <v>0</v>
      </c>
      <c r="X61" s="44">
        <f>IF(data[[#This Row],[Garde / Interv.]]="Intervention",(data[[#This Row],[Fin Dim ou Férié]]="oui")*data[[#This Row],[JOUR2]]+(data[[#This Row],[Début Dim ou Férié]]="oui")*data[[#This Row],[JOUR1]],0)</f>
        <v>0</v>
      </c>
      <c r="Y61" s="44">
        <f>MAX(0,IF(data[[#This Row],[Garde / Interv.]]="Intervention",data[[#This Row],[NUIT1.1]]+data[[#This Row],[NUIT1.2]]+data[[#This Row],[NUIT2.1]]+data[[#This Row],[NUIT2.2]],0))</f>
        <v>0</v>
      </c>
      <c r="Z61" s="165"/>
      <c r="AA61" s="44"/>
      <c r="AB61" s="44"/>
      <c r="AC61" s="44"/>
      <c r="AD61" s="44"/>
      <c r="AE61" s="44"/>
      <c r="AF61" s="44"/>
      <c r="AG61" s="44"/>
      <c r="AH61" s="44"/>
      <c r="AI61" s="44"/>
    </row>
    <row r="62" spans="1:35" x14ac:dyDescent="0.35">
      <c r="A62" s="64">
        <v>43559</v>
      </c>
      <c r="B62" s="122" t="str">
        <f>IF(data[[#This Row],[Hdébut garde]]&lt;&gt;"","Garde",IF(data[[#This Row],[Hdébut corrigé]]&lt;&gt;"","Intervention",""))</f>
        <v>Intervention</v>
      </c>
      <c r="C62" s="79"/>
      <c r="D62" s="56"/>
      <c r="E62" s="47">
        <f>MAX(0,IF(data[[#This Row],[Garde / Interv.]]="Garde",data[[#This Row],[Hfin corrigée]]-data[[#This Row],[Hdébut corrigé]],0))</f>
        <v>0</v>
      </c>
      <c r="F62" s="80"/>
      <c r="G62" s="57"/>
      <c r="H62" s="58"/>
      <c r="I62" s="59">
        <v>0.47222222222222227</v>
      </c>
      <c r="J62" s="60">
        <v>0.48333333333333334</v>
      </c>
      <c r="K62" s="42">
        <f>IF(data[[#This Row],[Hdébut garde]]&lt;&gt;"",
data[[#This Row],[Hdébut garde]],
data[[#This Row],[Hdébut interv.]]+IF(data[[#This Row],[Hdébut interv.]]&lt;SUMPRODUCT((data[Date]=data[[#This Row],[Date]])*data[Hdébut garde]),1,0)
)</f>
        <v>0.47222222222222227</v>
      </c>
      <c r="L6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0.48333333333333334</v>
      </c>
      <c r="M62" s="43" t="str">
        <f>IF(OR(WEEKDAY(data[[#This Row],[Date]],2)=7,COUNTIF(JF,data[[#This Row],[Date]])=1),"oui","non")</f>
        <v>non</v>
      </c>
      <c r="N62" s="44">
        <f>MAX(0,(MIN(1,data[[#This Row],[Hfin corrigée]])-data[[#This Row],[Hdébut corrigé]])-data[[#This Row],[NUIT1.1]]-data[[#This Row],[NUIT1.2]])</f>
        <v>1.1111111111111072E-2</v>
      </c>
      <c r="O62" s="44">
        <f>IF(data[[#This Row],[Hfin Interv.]]="",0,(
MIN(FinNuit,MIN(1,data[[#This Row],[Hfin corrigée]]))-MIN(FinNuit,data[[#This Row],[Hdébut corrigé]])
))</f>
        <v>0</v>
      </c>
      <c r="P62" s="44">
        <f>MAX(0,(MAX(0,(MIN(1,data[[#This Row],[Hfin corrigée]])-DebNuit))-MAX(0,(data[[#This Row],[Hdébut corrigé]]-DebNuit))))</f>
        <v>0</v>
      </c>
      <c r="Q62" s="43" t="str">
        <f>IF(OR(WEEKDAY(data[[#This Row],[Date]]+data[[#This Row],[Hfin corrigée]],2)=7,COUNTIF(JF,INT(data[[#This Row],[Date]]+data[[#This Row],[Hfin corrigée]]))=1),"oui","non")</f>
        <v>non</v>
      </c>
      <c r="R62" s="44">
        <f>MAX(0,data[[#This Row],[Hfin corrigée]]-MAX(1,data[[#This Row],[Hdébut corrigé]]))-data[[#This Row],[NUIT2.1]]-data[[#This Row],[NUIT2.2]]</f>
        <v>0</v>
      </c>
      <c r="S62" s="44">
        <f>MAX(0,MIN(1+FinNuit,data[[#This Row],[Hfin corrigée]])-MAX(1,data[[#This Row],[Hdébut corrigé]]))</f>
        <v>0</v>
      </c>
      <c r="T62" s="44">
        <f>MAX(0,(data[[#This Row],[Hfin corrigée]]-DebNuit-1))</f>
        <v>0</v>
      </c>
      <c r="U62" s="45">
        <f>IF(data[[#This Row],[Garde / Interv.]]="Intervention",MAX(0,data[[#This Row],[Hfin corrigée]]-SUMPRODUCT((data[Date]=data[[#This Row],[Date]])*(data[Garde / Interv.]="Garde")*data[Hfin corrigée])),0)</f>
        <v>0</v>
      </c>
      <c r="V6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2" s="44">
        <f>MAX(0,IF(data[[#This Row],[Garde / Interv.]]="Intervention",(data[[#This Row],[Fin Dim ou Férié]]="non")*data[[#This Row],[JOUR2]]+(data[[#This Row],[Début Dim ou Férié]]="non")*data[[#This Row],[JOUR1]],0))</f>
        <v>1.1111111111111072E-2</v>
      </c>
      <c r="X62" s="44">
        <f>IF(data[[#This Row],[Garde / Interv.]]="Intervention",(data[[#This Row],[Fin Dim ou Férié]]="oui")*data[[#This Row],[JOUR2]]+(data[[#This Row],[Début Dim ou Férié]]="oui")*data[[#This Row],[JOUR1]],0)</f>
        <v>0</v>
      </c>
      <c r="Y62" s="44">
        <f>MAX(0,IF(data[[#This Row],[Garde / Interv.]]="Intervention",data[[#This Row],[NUIT1.1]]+data[[#This Row],[NUIT1.2]]+data[[#This Row],[NUIT2.1]]+data[[#This Row],[NUIT2.2]],0))</f>
        <v>0</v>
      </c>
      <c r="Z62" s="165"/>
      <c r="AA62" s="44"/>
      <c r="AB62" s="44"/>
      <c r="AC62" s="44"/>
      <c r="AD62" s="44"/>
      <c r="AE62" s="44"/>
      <c r="AF62" s="44"/>
      <c r="AG62" s="44"/>
      <c r="AH62" s="44"/>
      <c r="AI62" s="44"/>
    </row>
    <row r="63" spans="1:35" x14ac:dyDescent="0.35">
      <c r="A63" s="64">
        <v>43559</v>
      </c>
      <c r="B63" s="122" t="str">
        <f>IF(data[[#This Row],[Hdébut garde]]&lt;&gt;"","Garde",IF(data[[#This Row],[Hdébut corrigé]]&lt;&gt;"","Intervention",""))</f>
        <v>Intervention</v>
      </c>
      <c r="C63" s="79"/>
      <c r="D63" s="56"/>
      <c r="E63" s="47">
        <f>MAX(0,IF(data[[#This Row],[Garde / Interv.]]="Garde",data[[#This Row],[Hfin corrigée]]-data[[#This Row],[Hdébut corrigé]],0))</f>
        <v>0</v>
      </c>
      <c r="F63" s="80"/>
      <c r="G63" s="57"/>
      <c r="H63" s="58"/>
      <c r="I63" s="59">
        <v>0.26874999999999999</v>
      </c>
      <c r="J63" s="60">
        <v>0.32430555555555557</v>
      </c>
      <c r="K63" s="42">
        <f>IF(data[[#This Row],[Hdébut garde]]&lt;&gt;"",
data[[#This Row],[Hdébut garde]],
data[[#This Row],[Hdébut interv.]]+IF(data[[#This Row],[Hdébut interv.]]&lt;SUMPRODUCT((data[Date]=data[[#This Row],[Date]])*data[Hdébut garde]),1,0)
)</f>
        <v>1.26875</v>
      </c>
      <c r="L6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1.3243055555555556</v>
      </c>
      <c r="M63" s="138" t="str">
        <f>IF(OR(WEEKDAY(data[[#This Row],[Date]],2)=7,COUNTIF(JF,data[[#This Row],[Date]])=1),"oui","non")</f>
        <v>non</v>
      </c>
      <c r="N63" s="44">
        <f>MAX(0,(MIN(1,data[[#This Row],[Hfin corrigée]])-data[[#This Row],[Hdébut corrigé]])-data[[#This Row],[NUIT1.1]]-data[[#This Row],[NUIT1.2]])</f>
        <v>0</v>
      </c>
      <c r="O63" s="44">
        <f>IF(data[[#This Row],[Hfin Interv.]]="",0,(
MIN(FinNuit,MIN(1,data[[#This Row],[Hfin corrigée]]))-MIN(FinNuit,data[[#This Row],[Hdébut corrigé]])
))</f>
        <v>0</v>
      </c>
      <c r="P63" s="44">
        <f>MAX(0,(MAX(0,(MIN(1,data[[#This Row],[Hfin corrigée]])-DebNuit))-MAX(0,(data[[#This Row],[Hdébut corrigé]]-DebNuit))))</f>
        <v>0</v>
      </c>
      <c r="Q63" s="138" t="str">
        <f>IF(OR(WEEKDAY(data[[#This Row],[Date]]+data[[#This Row],[Hfin corrigée]],2)=7,COUNTIF(JF,INT(data[[#This Row],[Date]]+data[[#This Row],[Hfin corrigée]]))=1),"oui","non")</f>
        <v>non</v>
      </c>
      <c r="R63" s="44">
        <f>MAX(0,data[[#This Row],[Hfin corrigée]]-MAX(1,data[[#This Row],[Hdébut corrigé]]))-data[[#This Row],[NUIT2.1]]-data[[#This Row],[NUIT2.2]]</f>
        <v>3.2638888888888884E-2</v>
      </c>
      <c r="S63" s="44">
        <f>MAX(0,MIN(1+FinNuit,data[[#This Row],[Hfin corrigée]])-MAX(1,data[[#This Row],[Hdébut corrigé]]))</f>
        <v>2.2916666666666696E-2</v>
      </c>
      <c r="T63" s="44">
        <f>MAX(0,(data[[#This Row],[Hfin corrigée]]-DebNuit-1))</f>
        <v>0</v>
      </c>
      <c r="U63" s="45">
        <f>IF(data[[#This Row],[Garde / Interv.]]="Intervention",MAX(0,data[[#This Row],[Hfin corrigée]]-SUMPRODUCT((data[Date]=data[[#This Row],[Date]])*(data[Garde / Interv.]="Garde")*data[Hfin corrigée])),0)</f>
        <v>0</v>
      </c>
      <c r="V6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3" s="44">
        <f>MAX(0,IF(data[[#This Row],[Garde / Interv.]]="Intervention",(data[[#This Row],[Fin Dim ou Férié]]="non")*data[[#This Row],[JOUR2]]+(data[[#This Row],[Début Dim ou Férié]]="non")*data[[#This Row],[JOUR1]],0))</f>
        <v>3.2638888888888884E-2</v>
      </c>
      <c r="X63" s="44">
        <f>IF(data[[#This Row],[Garde / Interv.]]="Intervention",(data[[#This Row],[Fin Dim ou Férié]]="oui")*data[[#This Row],[JOUR2]]+(data[[#This Row],[Début Dim ou Férié]]="oui")*data[[#This Row],[JOUR1]],0)</f>
        <v>0</v>
      </c>
      <c r="Y63" s="44">
        <f>MAX(0,IF(data[[#This Row],[Garde / Interv.]]="Intervention",data[[#This Row],[NUIT1.1]]+data[[#This Row],[NUIT1.2]]+data[[#This Row],[NUIT2.1]]+data[[#This Row],[NUIT2.2]],0))</f>
        <v>2.2916666666666696E-2</v>
      </c>
      <c r="Z63" s="165"/>
      <c r="AA63" s="44"/>
      <c r="AB63" s="44"/>
      <c r="AC63" s="44"/>
      <c r="AD63" s="44"/>
      <c r="AE63" s="44"/>
      <c r="AF63" s="44"/>
      <c r="AG63" s="44"/>
      <c r="AH63" s="44"/>
      <c r="AI63" s="44"/>
    </row>
    <row r="64" spans="1:35" x14ac:dyDescent="0.35">
      <c r="A64" s="64">
        <v>43562</v>
      </c>
      <c r="B64" s="122" t="str">
        <f>IF(data[[#This Row],[Hdébut garde]]&lt;&gt;"","Garde",IF(data[[#This Row],[Hdébut corrigé]]&lt;&gt;"","Intervention",""))</f>
        <v>Garde</v>
      </c>
      <c r="C64" s="79">
        <v>0.29166666666666669</v>
      </c>
      <c r="D64" s="56">
        <v>0.79166666666666663</v>
      </c>
      <c r="E64" s="47">
        <f>MAX(0,IF(data[[#This Row],[Garde / Interv.]]="Garde",data[[#This Row],[Hfin corrigée]]-data[[#This Row],[Hdébut corrigé]],0))</f>
        <v>0.49999999999999994</v>
      </c>
      <c r="F64" s="80"/>
      <c r="G64" s="57"/>
      <c r="H64" s="58"/>
      <c r="I64" s="59"/>
      <c r="J64" s="60"/>
      <c r="K64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6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0.79166666666666663</v>
      </c>
      <c r="M64" s="138" t="str">
        <f>IF(OR(WEEKDAY(data[[#This Row],[Date]],2)=7,COUNTIF(JF,data[[#This Row],[Date]])=1),"oui","non")</f>
        <v>oui</v>
      </c>
      <c r="N64" s="44">
        <f>MAX(0,(MIN(1,data[[#This Row],[Hfin corrigée]])-data[[#This Row],[Hdébut corrigé]])-data[[#This Row],[NUIT1.1]]-data[[#This Row],[NUIT1.2]])</f>
        <v>0.49999999999999994</v>
      </c>
      <c r="O64" s="44">
        <f>IF(data[[#This Row],[Hfin Interv.]]="",0,(
MIN(FinNuit,MIN(1,data[[#This Row],[Hfin corrigée]]))-MIN(FinNuit,data[[#This Row],[Hdébut corrigé]])
))</f>
        <v>0</v>
      </c>
      <c r="P64" s="44">
        <f>MAX(0,(MAX(0,(MIN(1,data[[#This Row],[Hfin corrigée]])-DebNuit))-MAX(0,(data[[#This Row],[Hdébut corrigé]]-DebNuit))))</f>
        <v>0</v>
      </c>
      <c r="Q64" s="138" t="str">
        <f>IF(OR(WEEKDAY(data[[#This Row],[Date]]+data[[#This Row],[Hfin corrigée]],2)=7,COUNTIF(JF,INT(data[[#This Row],[Date]]+data[[#This Row],[Hfin corrigée]]))=1),"oui","non")</f>
        <v>oui</v>
      </c>
      <c r="R64" s="44">
        <f>MAX(0,data[[#This Row],[Hfin corrigée]]-MAX(1,data[[#This Row],[Hdébut corrigé]]))-data[[#This Row],[NUIT2.1]]-data[[#This Row],[NUIT2.2]]</f>
        <v>0</v>
      </c>
      <c r="S64" s="44">
        <f>MAX(0,MIN(1+FinNuit,data[[#This Row],[Hfin corrigée]])-MAX(1,data[[#This Row],[Hdébut corrigé]]))</f>
        <v>0</v>
      </c>
      <c r="T64" s="44">
        <f>MAX(0,(data[[#This Row],[Hfin corrigée]]-DebNuit-1))</f>
        <v>0</v>
      </c>
      <c r="U64" s="45">
        <f>IF(data[[#This Row],[Garde / Interv.]]="Intervention",MAX(0,data[[#This Row],[Hfin corrigée]]-SUMPRODUCT((data[Date]=data[[#This Row],[Date]])*(data[Garde / Interv.]="Garde")*data[Hfin corrigée])),0)</f>
        <v>0</v>
      </c>
      <c r="V6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0.49999999999999994</v>
      </c>
      <c r="W64" s="44">
        <f>MAX(0,IF(data[[#This Row],[Garde / Interv.]]="Intervention",(data[[#This Row],[Fin Dim ou Férié]]="non")*data[[#This Row],[JOUR2]]+(data[[#This Row],[Début Dim ou Férié]]="non")*data[[#This Row],[JOUR1]],0))</f>
        <v>0</v>
      </c>
      <c r="X64" s="44">
        <f>IF(data[[#This Row],[Garde / Interv.]]="Intervention",(data[[#This Row],[Fin Dim ou Férié]]="oui")*data[[#This Row],[JOUR2]]+(data[[#This Row],[Début Dim ou Férié]]="oui")*data[[#This Row],[JOUR1]],0)</f>
        <v>0</v>
      </c>
      <c r="Y64" s="44">
        <f>MAX(0,IF(data[[#This Row],[Garde / Interv.]]="Intervention",data[[#This Row],[NUIT1.1]]+data[[#This Row],[NUIT1.2]]+data[[#This Row],[NUIT2.1]]+data[[#This Row],[NUIT2.2]],0))</f>
        <v>0</v>
      </c>
      <c r="Z64" s="165"/>
      <c r="AA64" s="44"/>
      <c r="AB64" s="44"/>
      <c r="AC64" s="44"/>
      <c r="AD64" s="44"/>
      <c r="AE64" s="44"/>
      <c r="AF64" s="44"/>
      <c r="AG64" s="44"/>
      <c r="AH64" s="44"/>
      <c r="AI64" s="44"/>
    </row>
    <row r="65" spans="1:35" x14ac:dyDescent="0.35">
      <c r="A65" s="64">
        <v>43566</v>
      </c>
      <c r="B65" s="122" t="str">
        <f>IF(data[[#This Row],[Hdébut garde]]&lt;&gt;"","Garde",IF(data[[#This Row],[Hdébut corrigé]]&lt;&gt;"","Intervention",""))</f>
        <v>Garde</v>
      </c>
      <c r="C65" s="79">
        <v>0.29166666666666669</v>
      </c>
      <c r="D65" s="56">
        <v>0.29166666666666669</v>
      </c>
      <c r="E65" s="47">
        <f>MAX(0,IF(data[[#This Row],[Garde / Interv.]]="Garde",data[[#This Row],[Hfin corrigée]]-data[[#This Row],[Hdébut corrigé]],0))</f>
        <v>1</v>
      </c>
      <c r="F65" s="80"/>
      <c r="G65" s="57"/>
      <c r="H65" s="58"/>
      <c r="I65" s="59"/>
      <c r="J65" s="60"/>
      <c r="K65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6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65" s="138" t="str">
        <f>IF(OR(WEEKDAY(data[[#This Row],[Date]],2)=7,COUNTIF(JF,data[[#This Row],[Date]])=1),"oui","non")</f>
        <v>non</v>
      </c>
      <c r="N65" s="44">
        <f>MAX(0,(MIN(1,data[[#This Row],[Hfin corrigée]])-data[[#This Row],[Hdébut corrigé]])-data[[#This Row],[NUIT1.1]]-data[[#This Row],[NUIT1.2]])</f>
        <v>0.62499999999999989</v>
      </c>
      <c r="O65" s="44">
        <f>IF(data[[#This Row],[Hfin Interv.]]="",0,(
MIN(FinNuit,MIN(1,data[[#This Row],[Hfin corrigée]]))-MIN(FinNuit,data[[#This Row],[Hdébut corrigé]])
))</f>
        <v>0</v>
      </c>
      <c r="P65" s="44">
        <f>MAX(0,(MAX(0,(MIN(1,data[[#This Row],[Hfin corrigée]])-DebNuit))-MAX(0,(data[[#This Row],[Hdébut corrigé]]-DebNuit))))</f>
        <v>8.333333333333337E-2</v>
      </c>
      <c r="Q65" s="138" t="str">
        <f>IF(OR(WEEKDAY(data[[#This Row],[Date]]+data[[#This Row],[Hfin corrigée]],2)=7,COUNTIF(JF,INT(data[[#This Row],[Date]]+data[[#This Row],[Hfin corrigée]]))=1),"oui","non")</f>
        <v>non</v>
      </c>
      <c r="R65" s="44">
        <f>MAX(0,data[[#This Row],[Hfin corrigée]]-MAX(1,data[[#This Row],[Hdébut corrigé]]))-data[[#This Row],[NUIT2.1]]-data[[#This Row],[NUIT2.2]]</f>
        <v>0</v>
      </c>
      <c r="S65" s="44">
        <f>MAX(0,MIN(1+FinNuit,data[[#This Row],[Hfin corrigée]])-MAX(1,data[[#This Row],[Hdébut corrigé]]))</f>
        <v>0.29166666666666674</v>
      </c>
      <c r="T65" s="44">
        <f>MAX(0,(data[[#This Row],[Hfin corrigée]]-DebNuit-1))</f>
        <v>0</v>
      </c>
      <c r="U65" s="45">
        <f>IF(data[[#This Row],[Garde / Interv.]]="Intervention",MAX(0,data[[#This Row],[Hfin corrigée]]-SUMPRODUCT((data[Date]=data[[#This Row],[Date]])*(data[Garde / Interv.]="Garde")*data[Hfin corrigée])),0)</f>
        <v>0</v>
      </c>
      <c r="V6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0.74583333333333324</v>
      </c>
      <c r="W65" s="44">
        <f>MAX(0,IF(data[[#This Row],[Garde / Interv.]]="Intervention",(data[[#This Row],[Fin Dim ou Férié]]="non")*data[[#This Row],[JOUR2]]+(data[[#This Row],[Début Dim ou Férié]]="non")*data[[#This Row],[JOUR1]],0))</f>
        <v>0</v>
      </c>
      <c r="X65" s="44">
        <f>IF(data[[#This Row],[Garde / Interv.]]="Intervention",(data[[#This Row],[Fin Dim ou Férié]]="oui")*data[[#This Row],[JOUR2]]+(data[[#This Row],[Début Dim ou Férié]]="oui")*data[[#This Row],[JOUR1]],0)</f>
        <v>0</v>
      </c>
      <c r="Y65" s="44">
        <f>MAX(0,IF(data[[#This Row],[Garde / Interv.]]="Intervention",data[[#This Row],[NUIT1.1]]+data[[#This Row],[NUIT1.2]]+data[[#This Row],[NUIT2.1]]+data[[#This Row],[NUIT2.2]],0))</f>
        <v>0</v>
      </c>
      <c r="Z65" s="165"/>
      <c r="AA65" s="44"/>
      <c r="AB65" s="44"/>
      <c r="AC65" s="44"/>
      <c r="AD65" s="44"/>
      <c r="AE65" s="44"/>
      <c r="AF65" s="44"/>
      <c r="AG65" s="44"/>
      <c r="AH65" s="44"/>
      <c r="AI65" s="44"/>
    </row>
    <row r="66" spans="1:35" x14ac:dyDescent="0.35">
      <c r="A66" s="64">
        <v>43566</v>
      </c>
      <c r="B66" s="122" t="str">
        <f>IF(data[[#This Row],[Hdébut garde]]&lt;&gt;"","Garde",IF(data[[#This Row],[Hdébut corrigé]]&lt;&gt;"","Intervention",""))</f>
        <v>Intervention</v>
      </c>
      <c r="C66" s="79"/>
      <c r="D66" s="56"/>
      <c r="E66" s="47">
        <f>MAX(0,IF(data[[#This Row],[Garde / Interv.]]="Garde",data[[#This Row],[Hfin corrigée]]-data[[#This Row],[Hdébut corrigé]],0))</f>
        <v>0</v>
      </c>
      <c r="F66" s="80"/>
      <c r="G66" s="57"/>
      <c r="H66" s="58"/>
      <c r="I66" s="59">
        <v>0.44305555555555554</v>
      </c>
      <c r="J66" s="60">
        <v>0.44513888888888892</v>
      </c>
      <c r="K66" s="42">
        <f>IF(data[[#This Row],[Hdébut garde]]&lt;&gt;"",
data[[#This Row],[Hdébut garde]],
data[[#This Row],[Hdébut interv.]]+IF(data[[#This Row],[Hdébut interv.]]&lt;SUMPRODUCT((data[Date]=data[[#This Row],[Date]])*data[Hdébut garde]),1,0)
)</f>
        <v>0.44305555555555554</v>
      </c>
      <c r="L6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0.44513888888888892</v>
      </c>
      <c r="M66" s="138" t="str">
        <f>IF(OR(WEEKDAY(data[[#This Row],[Date]],2)=7,COUNTIF(JF,data[[#This Row],[Date]])=1),"oui","non")</f>
        <v>non</v>
      </c>
      <c r="N66" s="44">
        <f>MAX(0,(MIN(1,data[[#This Row],[Hfin corrigée]])-data[[#This Row],[Hdébut corrigé]])-data[[#This Row],[NUIT1.1]]-data[[#This Row],[NUIT1.2]])</f>
        <v>2.0833333333333814E-3</v>
      </c>
      <c r="O66" s="44">
        <f>IF(data[[#This Row],[Hfin Interv.]]="",0,(
MIN(FinNuit,MIN(1,data[[#This Row],[Hfin corrigée]]))-MIN(FinNuit,data[[#This Row],[Hdébut corrigé]])
))</f>
        <v>0</v>
      </c>
      <c r="P66" s="44">
        <f>MAX(0,(MAX(0,(MIN(1,data[[#This Row],[Hfin corrigée]])-DebNuit))-MAX(0,(data[[#This Row],[Hdébut corrigé]]-DebNuit))))</f>
        <v>0</v>
      </c>
      <c r="Q66" s="138" t="str">
        <f>IF(OR(WEEKDAY(data[[#This Row],[Date]]+data[[#This Row],[Hfin corrigée]],2)=7,COUNTIF(JF,INT(data[[#This Row],[Date]]+data[[#This Row],[Hfin corrigée]]))=1),"oui","non")</f>
        <v>non</v>
      </c>
      <c r="R66" s="44">
        <f>MAX(0,data[[#This Row],[Hfin corrigée]]-MAX(1,data[[#This Row],[Hdébut corrigé]]))-data[[#This Row],[NUIT2.1]]-data[[#This Row],[NUIT2.2]]</f>
        <v>0</v>
      </c>
      <c r="S66" s="44">
        <f>MAX(0,MIN(1+FinNuit,data[[#This Row],[Hfin corrigée]])-MAX(1,data[[#This Row],[Hdébut corrigé]]))</f>
        <v>0</v>
      </c>
      <c r="T66" s="44">
        <f>MAX(0,(data[[#This Row],[Hfin corrigée]]-DebNuit-1))</f>
        <v>0</v>
      </c>
      <c r="U66" s="45">
        <f>IF(data[[#This Row],[Garde / Interv.]]="Intervention",MAX(0,data[[#This Row],[Hfin corrigée]]-SUMPRODUCT((data[Date]=data[[#This Row],[Date]])*(data[Garde / Interv.]="Garde")*data[Hfin corrigée])),0)</f>
        <v>0</v>
      </c>
      <c r="V6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6" s="44">
        <f>MAX(0,IF(data[[#This Row],[Garde / Interv.]]="Intervention",(data[[#This Row],[Fin Dim ou Férié]]="non")*data[[#This Row],[JOUR2]]+(data[[#This Row],[Début Dim ou Férié]]="non")*data[[#This Row],[JOUR1]],0))</f>
        <v>2.0833333333333814E-3</v>
      </c>
      <c r="X66" s="44">
        <f>IF(data[[#This Row],[Garde / Interv.]]="Intervention",(data[[#This Row],[Fin Dim ou Férié]]="oui")*data[[#This Row],[JOUR2]]+(data[[#This Row],[Début Dim ou Férié]]="oui")*data[[#This Row],[JOUR1]],0)</f>
        <v>0</v>
      </c>
      <c r="Y66" s="44">
        <f>MAX(0,IF(data[[#This Row],[Garde / Interv.]]="Intervention",data[[#This Row],[NUIT1.1]]+data[[#This Row],[NUIT1.2]]+data[[#This Row],[NUIT2.1]]+data[[#This Row],[NUIT2.2]],0))</f>
        <v>0</v>
      </c>
      <c r="Z66" s="165"/>
      <c r="AA66" s="44"/>
      <c r="AB66" s="44"/>
      <c r="AC66" s="44"/>
      <c r="AD66" s="44"/>
      <c r="AE66" s="44"/>
      <c r="AF66" s="44"/>
      <c r="AG66" s="44"/>
      <c r="AH66" s="44"/>
      <c r="AI66" s="44"/>
    </row>
    <row r="67" spans="1:35" x14ac:dyDescent="0.35">
      <c r="A67" s="64">
        <v>43566</v>
      </c>
      <c r="B67" s="122" t="str">
        <f>IF(data[[#This Row],[Hdébut garde]]&lt;&gt;"","Garde",IF(data[[#This Row],[Hdébut corrigé]]&lt;&gt;"","Intervention",""))</f>
        <v>Intervention</v>
      </c>
      <c r="C67" s="79"/>
      <c r="D67" s="56"/>
      <c r="E67" s="47">
        <f>MAX(0,IF(data[[#This Row],[Garde / Interv.]]="Garde",data[[#This Row],[Hfin corrigée]]-data[[#This Row],[Hdébut corrigé]],0))</f>
        <v>0</v>
      </c>
      <c r="F67" s="80"/>
      <c r="G67" s="57"/>
      <c r="H67" s="58"/>
      <c r="I67" s="59">
        <v>0.44861111111111113</v>
      </c>
      <c r="J67" s="60">
        <v>0.4916666666666667</v>
      </c>
      <c r="K67" s="42">
        <f>IF(data[[#This Row],[Hdébut garde]]&lt;&gt;"",
data[[#This Row],[Hdébut garde]],
data[[#This Row],[Hdébut interv.]]+IF(data[[#This Row],[Hdébut interv.]]&lt;SUMPRODUCT((data[Date]=data[[#This Row],[Date]])*data[Hdébut garde]),1,0)
)</f>
        <v>0.44861111111111113</v>
      </c>
      <c r="L6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0.4916666666666667</v>
      </c>
      <c r="M67" s="138" t="str">
        <f>IF(OR(WEEKDAY(data[[#This Row],[Date]],2)=7,COUNTIF(JF,data[[#This Row],[Date]])=1),"oui","non")</f>
        <v>non</v>
      </c>
      <c r="N67" s="44">
        <f>MAX(0,(MIN(1,data[[#This Row],[Hfin corrigée]])-data[[#This Row],[Hdébut corrigé]])-data[[#This Row],[NUIT1.1]]-data[[#This Row],[NUIT1.2]])</f>
        <v>4.3055555555555569E-2</v>
      </c>
      <c r="O67" s="44">
        <f>IF(data[[#This Row],[Hfin Interv.]]="",0,(
MIN(FinNuit,MIN(1,data[[#This Row],[Hfin corrigée]]))-MIN(FinNuit,data[[#This Row],[Hdébut corrigé]])
))</f>
        <v>0</v>
      </c>
      <c r="P67" s="44">
        <f>MAX(0,(MAX(0,(MIN(1,data[[#This Row],[Hfin corrigée]])-DebNuit))-MAX(0,(data[[#This Row],[Hdébut corrigé]]-DebNuit))))</f>
        <v>0</v>
      </c>
      <c r="Q67" s="138" t="str">
        <f>IF(OR(WEEKDAY(data[[#This Row],[Date]]+data[[#This Row],[Hfin corrigée]],2)=7,COUNTIF(JF,INT(data[[#This Row],[Date]]+data[[#This Row],[Hfin corrigée]]))=1),"oui","non")</f>
        <v>non</v>
      </c>
      <c r="R67" s="44">
        <f>MAX(0,data[[#This Row],[Hfin corrigée]]-MAX(1,data[[#This Row],[Hdébut corrigé]]))-data[[#This Row],[NUIT2.1]]-data[[#This Row],[NUIT2.2]]</f>
        <v>0</v>
      </c>
      <c r="S67" s="44">
        <f>MAX(0,MIN(1+FinNuit,data[[#This Row],[Hfin corrigée]])-MAX(1,data[[#This Row],[Hdébut corrigé]]))</f>
        <v>0</v>
      </c>
      <c r="T67" s="44">
        <f>MAX(0,(data[[#This Row],[Hfin corrigée]]-DebNuit-1))</f>
        <v>0</v>
      </c>
      <c r="U67" s="45">
        <f>IF(data[[#This Row],[Garde / Interv.]]="Intervention",MAX(0,data[[#This Row],[Hfin corrigée]]-SUMPRODUCT((data[Date]=data[[#This Row],[Date]])*(data[Garde / Interv.]="Garde")*data[Hfin corrigée])),0)</f>
        <v>0</v>
      </c>
      <c r="V6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7" s="44">
        <f>MAX(0,IF(data[[#This Row],[Garde / Interv.]]="Intervention",(data[[#This Row],[Fin Dim ou Férié]]="non")*data[[#This Row],[JOUR2]]+(data[[#This Row],[Début Dim ou Férié]]="non")*data[[#This Row],[JOUR1]],0))</f>
        <v>4.3055555555555569E-2</v>
      </c>
      <c r="X67" s="44">
        <f>IF(data[[#This Row],[Garde / Interv.]]="Intervention",(data[[#This Row],[Fin Dim ou Férié]]="oui")*data[[#This Row],[JOUR2]]+(data[[#This Row],[Début Dim ou Férié]]="oui")*data[[#This Row],[JOUR1]],0)</f>
        <v>0</v>
      </c>
      <c r="Y67" s="44">
        <f>MAX(0,IF(data[[#This Row],[Garde / Interv.]]="Intervention",data[[#This Row],[NUIT1.1]]+data[[#This Row],[NUIT1.2]]+data[[#This Row],[NUIT2.1]]+data[[#This Row],[NUIT2.2]],0))</f>
        <v>0</v>
      </c>
      <c r="Z67" s="165"/>
      <c r="AA67" s="44"/>
      <c r="AB67" s="44"/>
      <c r="AC67" s="44"/>
      <c r="AD67" s="44"/>
      <c r="AE67" s="44"/>
      <c r="AF67" s="44"/>
      <c r="AG67" s="44"/>
      <c r="AH67" s="44"/>
      <c r="AI67" s="44"/>
    </row>
    <row r="68" spans="1:35" x14ac:dyDescent="0.35">
      <c r="A68" s="64">
        <v>43566</v>
      </c>
      <c r="B68" s="122" t="str">
        <f>IF(data[[#This Row],[Hdébut garde]]&lt;&gt;"","Garde",IF(data[[#This Row],[Hdébut corrigé]]&lt;&gt;"","Intervention",""))</f>
        <v>Intervention</v>
      </c>
      <c r="C68" s="79"/>
      <c r="D68" s="56"/>
      <c r="E68" s="47">
        <f>MAX(0,IF(data[[#This Row],[Garde / Interv.]]="Garde",data[[#This Row],[Hfin corrigée]]-data[[#This Row],[Hdébut corrigé]],0))</f>
        <v>0</v>
      </c>
      <c r="F68" s="80"/>
      <c r="G68" s="57"/>
      <c r="H68" s="58"/>
      <c r="I68" s="59">
        <v>0.4916666666666667</v>
      </c>
      <c r="J68" s="60">
        <v>0.55902777777777779</v>
      </c>
      <c r="K68" s="42">
        <f>IF(data[[#This Row],[Hdébut garde]]&lt;&gt;"",
data[[#This Row],[Hdébut garde]],
data[[#This Row],[Hdébut interv.]]+IF(data[[#This Row],[Hdébut interv.]]&lt;SUMPRODUCT((data[Date]=data[[#This Row],[Date]])*data[Hdébut garde]),1,0)
)</f>
        <v>0.4916666666666667</v>
      </c>
      <c r="L6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0.55902777777777779</v>
      </c>
      <c r="M68" s="138" t="str">
        <f>IF(OR(WEEKDAY(data[[#This Row],[Date]],2)=7,COUNTIF(JF,data[[#This Row],[Date]])=1),"oui","non")</f>
        <v>non</v>
      </c>
      <c r="N68" s="44">
        <f>MAX(0,(MIN(1,data[[#This Row],[Hfin corrigée]])-data[[#This Row],[Hdébut corrigé]])-data[[#This Row],[NUIT1.1]]-data[[#This Row],[NUIT1.2]])</f>
        <v>6.7361111111111094E-2</v>
      </c>
      <c r="O68" s="44">
        <f>IF(data[[#This Row],[Hfin Interv.]]="",0,(
MIN(FinNuit,MIN(1,data[[#This Row],[Hfin corrigée]]))-MIN(FinNuit,data[[#This Row],[Hdébut corrigé]])
))</f>
        <v>0</v>
      </c>
      <c r="P68" s="44">
        <f>MAX(0,(MAX(0,(MIN(1,data[[#This Row],[Hfin corrigée]])-DebNuit))-MAX(0,(data[[#This Row],[Hdébut corrigé]]-DebNuit))))</f>
        <v>0</v>
      </c>
      <c r="Q68" s="138" t="str">
        <f>IF(OR(WEEKDAY(data[[#This Row],[Date]]+data[[#This Row],[Hfin corrigée]],2)=7,COUNTIF(JF,INT(data[[#This Row],[Date]]+data[[#This Row],[Hfin corrigée]]))=1),"oui","non")</f>
        <v>non</v>
      </c>
      <c r="R68" s="44">
        <f>MAX(0,data[[#This Row],[Hfin corrigée]]-MAX(1,data[[#This Row],[Hdébut corrigé]]))-data[[#This Row],[NUIT2.1]]-data[[#This Row],[NUIT2.2]]</f>
        <v>0</v>
      </c>
      <c r="S68" s="44">
        <f>MAX(0,MIN(1+FinNuit,data[[#This Row],[Hfin corrigée]])-MAX(1,data[[#This Row],[Hdébut corrigé]]))</f>
        <v>0</v>
      </c>
      <c r="T68" s="44">
        <f>MAX(0,(data[[#This Row],[Hfin corrigée]]-DebNuit-1))</f>
        <v>0</v>
      </c>
      <c r="U68" s="45">
        <f>IF(data[[#This Row],[Garde / Interv.]]="Intervention",MAX(0,data[[#This Row],[Hfin corrigée]]-SUMPRODUCT((data[Date]=data[[#This Row],[Date]])*(data[Garde / Interv.]="Garde")*data[Hfin corrigée])),0)</f>
        <v>0</v>
      </c>
      <c r="V6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8" s="44">
        <f>MAX(0,IF(data[[#This Row],[Garde / Interv.]]="Intervention",(data[[#This Row],[Fin Dim ou Férié]]="non")*data[[#This Row],[JOUR2]]+(data[[#This Row],[Début Dim ou Férié]]="non")*data[[#This Row],[JOUR1]],0))</f>
        <v>6.7361111111111094E-2</v>
      </c>
      <c r="X68" s="44">
        <f>IF(data[[#This Row],[Garde / Interv.]]="Intervention",(data[[#This Row],[Fin Dim ou Férié]]="oui")*data[[#This Row],[JOUR2]]+(data[[#This Row],[Début Dim ou Férié]]="oui")*data[[#This Row],[JOUR1]],0)</f>
        <v>0</v>
      </c>
      <c r="Y68" s="44">
        <f>MAX(0,IF(data[[#This Row],[Garde / Interv.]]="Intervention",data[[#This Row],[NUIT1.1]]+data[[#This Row],[NUIT1.2]]+data[[#This Row],[NUIT2.1]]+data[[#This Row],[NUIT2.2]],0))</f>
        <v>0</v>
      </c>
      <c r="Z68" s="165"/>
      <c r="AA68" s="44"/>
      <c r="AB68" s="44"/>
      <c r="AC68" s="44"/>
      <c r="AD68" s="44"/>
      <c r="AE68" s="44"/>
      <c r="AF68" s="44"/>
      <c r="AG68" s="44"/>
      <c r="AH68" s="44"/>
      <c r="AI68" s="44"/>
    </row>
    <row r="69" spans="1:35" x14ac:dyDescent="0.35">
      <c r="A69" s="64">
        <v>43566</v>
      </c>
      <c r="B69" s="122" t="str">
        <f>IF(data[[#This Row],[Hdébut garde]]&lt;&gt;"","Garde",IF(data[[#This Row],[Hdébut corrigé]]&lt;&gt;"","Intervention",""))</f>
        <v>Intervention</v>
      </c>
      <c r="C69" s="79"/>
      <c r="D69" s="56"/>
      <c r="E69" s="47">
        <f>MAX(0,IF(data[[#This Row],[Garde / Interv.]]="Garde",data[[#This Row],[Hfin corrigée]]-data[[#This Row],[Hdébut corrigé]],0))</f>
        <v>0</v>
      </c>
      <c r="F69" s="80"/>
      <c r="G69" s="57"/>
      <c r="H69" s="58"/>
      <c r="I69" s="59">
        <v>0.55972222222222223</v>
      </c>
      <c r="J69" s="60">
        <v>0.58680555555555558</v>
      </c>
      <c r="K69" s="42">
        <f>IF(data[[#This Row],[Hdébut garde]]&lt;&gt;"",
data[[#This Row],[Hdébut garde]],
data[[#This Row],[Hdébut interv.]]+IF(data[[#This Row],[Hdébut interv.]]&lt;SUMPRODUCT((data[Date]=data[[#This Row],[Date]])*data[Hdébut garde]),1,0)
)</f>
        <v>0.55972222222222223</v>
      </c>
      <c r="L6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0.58680555555555558</v>
      </c>
      <c r="M69" s="138" t="str">
        <f>IF(OR(WEEKDAY(data[[#This Row],[Date]],2)=7,COUNTIF(JF,data[[#This Row],[Date]])=1),"oui","non")</f>
        <v>non</v>
      </c>
      <c r="N69" s="44">
        <f>MAX(0,(MIN(1,data[[#This Row],[Hfin corrigée]])-data[[#This Row],[Hdébut corrigé]])-data[[#This Row],[NUIT1.1]]-data[[#This Row],[NUIT1.2]])</f>
        <v>2.7083333333333348E-2</v>
      </c>
      <c r="O69" s="44">
        <f>IF(data[[#This Row],[Hfin Interv.]]="",0,(
MIN(FinNuit,MIN(1,data[[#This Row],[Hfin corrigée]]))-MIN(FinNuit,data[[#This Row],[Hdébut corrigé]])
))</f>
        <v>0</v>
      </c>
      <c r="P69" s="44">
        <f>MAX(0,(MAX(0,(MIN(1,data[[#This Row],[Hfin corrigée]])-DebNuit))-MAX(0,(data[[#This Row],[Hdébut corrigé]]-DebNuit))))</f>
        <v>0</v>
      </c>
      <c r="Q69" s="138" t="str">
        <f>IF(OR(WEEKDAY(data[[#This Row],[Date]]+data[[#This Row],[Hfin corrigée]],2)=7,COUNTIF(JF,INT(data[[#This Row],[Date]]+data[[#This Row],[Hfin corrigée]]))=1),"oui","non")</f>
        <v>non</v>
      </c>
      <c r="R69" s="44">
        <f>MAX(0,data[[#This Row],[Hfin corrigée]]-MAX(1,data[[#This Row],[Hdébut corrigé]]))-data[[#This Row],[NUIT2.1]]-data[[#This Row],[NUIT2.2]]</f>
        <v>0</v>
      </c>
      <c r="S69" s="44">
        <f>MAX(0,MIN(1+FinNuit,data[[#This Row],[Hfin corrigée]])-MAX(1,data[[#This Row],[Hdébut corrigé]]))</f>
        <v>0</v>
      </c>
      <c r="T69" s="44">
        <f>MAX(0,(data[[#This Row],[Hfin corrigée]]-DebNuit-1))</f>
        <v>0</v>
      </c>
      <c r="U69" s="45">
        <f>IF(data[[#This Row],[Garde / Interv.]]="Intervention",MAX(0,data[[#This Row],[Hfin corrigée]]-SUMPRODUCT((data[Date]=data[[#This Row],[Date]])*(data[Garde / Interv.]="Garde")*data[Hfin corrigée])),0)</f>
        <v>0</v>
      </c>
      <c r="V6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69" s="44">
        <f>MAX(0,IF(data[[#This Row],[Garde / Interv.]]="Intervention",(data[[#This Row],[Fin Dim ou Férié]]="non")*data[[#This Row],[JOUR2]]+(data[[#This Row],[Début Dim ou Férié]]="non")*data[[#This Row],[JOUR1]],0))</f>
        <v>2.7083333333333348E-2</v>
      </c>
      <c r="X69" s="44">
        <f>IF(data[[#This Row],[Garde / Interv.]]="Intervention",(data[[#This Row],[Fin Dim ou Férié]]="oui")*data[[#This Row],[JOUR2]]+(data[[#This Row],[Début Dim ou Férié]]="oui")*data[[#This Row],[JOUR1]],0)</f>
        <v>0</v>
      </c>
      <c r="Y69" s="44">
        <f>MAX(0,IF(data[[#This Row],[Garde / Interv.]]="Intervention",data[[#This Row],[NUIT1.1]]+data[[#This Row],[NUIT1.2]]+data[[#This Row],[NUIT2.1]]+data[[#This Row],[NUIT2.2]],0))</f>
        <v>0</v>
      </c>
      <c r="Z69" s="165"/>
      <c r="AA69" s="44"/>
      <c r="AB69" s="44"/>
      <c r="AC69" s="44"/>
      <c r="AD69" s="44"/>
      <c r="AE69" s="44"/>
      <c r="AF69" s="44"/>
      <c r="AG69" s="44"/>
      <c r="AH69" s="44"/>
      <c r="AI69" s="44"/>
    </row>
    <row r="70" spans="1:35" x14ac:dyDescent="0.35">
      <c r="A70" s="64">
        <v>43566</v>
      </c>
      <c r="B70" s="122" t="str">
        <f>IF(data[[#This Row],[Hdébut garde]]&lt;&gt;"","Garde",IF(data[[#This Row],[Hdébut corrigé]]&lt;&gt;"","Intervention",""))</f>
        <v>Intervention</v>
      </c>
      <c r="C70" s="79"/>
      <c r="D70" s="56"/>
      <c r="E70" s="47">
        <f>MAX(0,IF(data[[#This Row],[Garde / Interv.]]="Garde",data[[#This Row],[Hfin corrigée]]-data[[#This Row],[Hdébut corrigé]],0))</f>
        <v>0</v>
      </c>
      <c r="F70" s="80"/>
      <c r="G70" s="57"/>
      <c r="H70" s="58"/>
      <c r="I70" s="59">
        <v>0.61736111111111114</v>
      </c>
      <c r="J70" s="60">
        <v>0.70763888888888893</v>
      </c>
      <c r="K70" s="42">
        <f>IF(data[[#This Row],[Hdébut garde]]&lt;&gt;"",
data[[#This Row],[Hdébut garde]],
data[[#This Row],[Hdébut interv.]]+IF(data[[#This Row],[Hdébut interv.]]&lt;SUMPRODUCT((data[Date]=data[[#This Row],[Date]])*data[Hdébut garde]),1,0)
)</f>
        <v>0.61736111111111114</v>
      </c>
      <c r="L7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0.70763888888888893</v>
      </c>
      <c r="M70" s="138" t="str">
        <f>IF(OR(WEEKDAY(data[[#This Row],[Date]],2)=7,COUNTIF(JF,data[[#This Row],[Date]])=1),"oui","non")</f>
        <v>non</v>
      </c>
      <c r="N70" s="44">
        <f>MAX(0,(MIN(1,data[[#This Row],[Hfin corrigée]])-data[[#This Row],[Hdébut corrigé]])-data[[#This Row],[NUIT1.1]]-data[[#This Row],[NUIT1.2]])</f>
        <v>9.027777777777779E-2</v>
      </c>
      <c r="O70" s="44">
        <f>IF(data[[#This Row],[Hfin Interv.]]="",0,(
MIN(FinNuit,MIN(1,data[[#This Row],[Hfin corrigée]]))-MIN(FinNuit,data[[#This Row],[Hdébut corrigé]])
))</f>
        <v>0</v>
      </c>
      <c r="P70" s="44">
        <f>MAX(0,(MAX(0,(MIN(1,data[[#This Row],[Hfin corrigée]])-DebNuit))-MAX(0,(data[[#This Row],[Hdébut corrigé]]-DebNuit))))</f>
        <v>0</v>
      </c>
      <c r="Q70" s="138" t="str">
        <f>IF(OR(WEEKDAY(data[[#This Row],[Date]]+data[[#This Row],[Hfin corrigée]],2)=7,COUNTIF(JF,INT(data[[#This Row],[Date]]+data[[#This Row],[Hfin corrigée]]))=1),"oui","non")</f>
        <v>non</v>
      </c>
      <c r="R70" s="44">
        <f>MAX(0,data[[#This Row],[Hfin corrigée]]-MAX(1,data[[#This Row],[Hdébut corrigé]]))-data[[#This Row],[NUIT2.1]]-data[[#This Row],[NUIT2.2]]</f>
        <v>0</v>
      </c>
      <c r="S70" s="44">
        <f>MAX(0,MIN(1+FinNuit,data[[#This Row],[Hfin corrigée]])-MAX(1,data[[#This Row],[Hdébut corrigé]]))</f>
        <v>0</v>
      </c>
      <c r="T70" s="44">
        <f>MAX(0,(data[[#This Row],[Hfin corrigée]]-DebNuit-1))</f>
        <v>0</v>
      </c>
      <c r="U70" s="45">
        <f>IF(data[[#This Row],[Garde / Interv.]]="Intervention",MAX(0,data[[#This Row],[Hfin corrigée]]-SUMPRODUCT((data[Date]=data[[#This Row],[Date]])*(data[Garde / Interv.]="Garde")*data[Hfin corrigée])),0)</f>
        <v>0</v>
      </c>
      <c r="V7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0" s="44">
        <f>MAX(0,IF(data[[#This Row],[Garde / Interv.]]="Intervention",(data[[#This Row],[Fin Dim ou Férié]]="non")*data[[#This Row],[JOUR2]]+(data[[#This Row],[Début Dim ou Férié]]="non")*data[[#This Row],[JOUR1]],0))</f>
        <v>9.027777777777779E-2</v>
      </c>
      <c r="X70" s="44">
        <f>IF(data[[#This Row],[Garde / Interv.]]="Intervention",(data[[#This Row],[Fin Dim ou Férié]]="oui")*data[[#This Row],[JOUR2]]+(data[[#This Row],[Début Dim ou Férié]]="oui")*data[[#This Row],[JOUR1]],0)</f>
        <v>0</v>
      </c>
      <c r="Y70" s="44">
        <f>MAX(0,IF(data[[#This Row],[Garde / Interv.]]="Intervention",data[[#This Row],[NUIT1.1]]+data[[#This Row],[NUIT1.2]]+data[[#This Row],[NUIT2.1]]+data[[#This Row],[NUIT2.2]],0))</f>
        <v>0</v>
      </c>
      <c r="Z70" s="165"/>
      <c r="AA70" s="44"/>
      <c r="AB70" s="44"/>
      <c r="AC70" s="44"/>
      <c r="AD70" s="44"/>
      <c r="AE70" s="44"/>
      <c r="AF70" s="44"/>
      <c r="AG70" s="44"/>
      <c r="AH70" s="44"/>
      <c r="AI70" s="44"/>
    </row>
    <row r="71" spans="1:35" x14ac:dyDescent="0.35">
      <c r="A71" s="64">
        <v>43566</v>
      </c>
      <c r="B71" s="122" t="str">
        <f>IF(data[[#This Row],[Hdébut garde]]&lt;&gt;"","Garde",IF(data[[#This Row],[Hdébut corrigé]]&lt;&gt;"","Intervention",""))</f>
        <v>Intervention</v>
      </c>
      <c r="C71" s="79"/>
      <c r="D71" s="56"/>
      <c r="E71" s="47">
        <f>MAX(0,IF(data[[#This Row],[Garde / Interv.]]="Garde",data[[#This Row],[Hfin corrigée]]-data[[#This Row],[Hdébut corrigé]],0))</f>
        <v>0</v>
      </c>
      <c r="F71" s="80"/>
      <c r="G71" s="57"/>
      <c r="H71" s="58"/>
      <c r="I71" s="59">
        <v>0.16805555555555554</v>
      </c>
      <c r="J71" s="60">
        <v>0.19236111111111112</v>
      </c>
      <c r="K71" s="42">
        <f>IF(data[[#This Row],[Hdébut garde]]&lt;&gt;"",
data[[#This Row],[Hdébut garde]],
data[[#This Row],[Hdébut interv.]]+IF(data[[#This Row],[Hdébut interv.]]&lt;SUMPRODUCT((data[Date]=data[[#This Row],[Date]])*data[Hdébut garde]),1,0)
)</f>
        <v>1.1680555555555556</v>
      </c>
      <c r="L7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1.1923611111111112</v>
      </c>
      <c r="M71" s="138" t="str">
        <f>IF(OR(WEEKDAY(data[[#This Row],[Date]],2)=7,COUNTIF(JF,data[[#This Row],[Date]])=1),"oui","non")</f>
        <v>non</v>
      </c>
      <c r="N71" s="44">
        <f>MAX(0,(MIN(1,data[[#This Row],[Hfin corrigée]])-data[[#This Row],[Hdébut corrigé]])-data[[#This Row],[NUIT1.1]]-data[[#This Row],[NUIT1.2]])</f>
        <v>0</v>
      </c>
      <c r="O71" s="44">
        <f>IF(data[[#This Row],[Hfin Interv.]]="",0,(
MIN(FinNuit,MIN(1,data[[#This Row],[Hfin corrigée]]))-MIN(FinNuit,data[[#This Row],[Hdébut corrigé]])
))</f>
        <v>0</v>
      </c>
      <c r="P71" s="44">
        <f>MAX(0,(MAX(0,(MIN(1,data[[#This Row],[Hfin corrigée]])-DebNuit))-MAX(0,(data[[#This Row],[Hdébut corrigé]]-DebNuit))))</f>
        <v>0</v>
      </c>
      <c r="Q71" s="138" t="str">
        <f>IF(OR(WEEKDAY(data[[#This Row],[Date]]+data[[#This Row],[Hfin corrigée]],2)=7,COUNTIF(JF,INT(data[[#This Row],[Date]]+data[[#This Row],[Hfin corrigée]]))=1),"oui","non")</f>
        <v>non</v>
      </c>
      <c r="R71" s="44">
        <f>MAX(0,data[[#This Row],[Hfin corrigée]]-MAX(1,data[[#This Row],[Hdébut corrigé]]))-data[[#This Row],[NUIT2.1]]-data[[#This Row],[NUIT2.2]]</f>
        <v>0</v>
      </c>
      <c r="S71" s="44">
        <f>MAX(0,MIN(1+FinNuit,data[[#This Row],[Hfin corrigée]])-MAX(1,data[[#This Row],[Hdébut corrigé]]))</f>
        <v>2.430555555555558E-2</v>
      </c>
      <c r="T71" s="44">
        <f>MAX(0,(data[[#This Row],[Hfin corrigée]]-DebNuit-1))</f>
        <v>0</v>
      </c>
      <c r="U71" s="45">
        <f>IF(data[[#This Row],[Garde / Interv.]]="Intervention",MAX(0,data[[#This Row],[Hfin corrigée]]-SUMPRODUCT((data[Date]=data[[#This Row],[Date]])*(data[Garde / Interv.]="Garde")*data[Hfin corrigée])),0)</f>
        <v>0</v>
      </c>
      <c r="V7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1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1" s="44">
        <f>IF(data[[#This Row],[Garde / Interv.]]="Intervention",(data[[#This Row],[Fin Dim ou Férié]]="oui")*data[[#This Row],[JOUR2]]+(data[[#This Row],[Début Dim ou Férié]]="oui")*data[[#This Row],[JOUR1]],0)</f>
        <v>0</v>
      </c>
      <c r="Y71" s="44">
        <f>MAX(0,IF(data[[#This Row],[Garde / Interv.]]="Intervention",data[[#This Row],[NUIT1.1]]+data[[#This Row],[NUIT1.2]]+data[[#This Row],[NUIT2.1]]+data[[#This Row],[NUIT2.2]],0))</f>
        <v>2.430555555555558E-2</v>
      </c>
      <c r="Z71" s="165"/>
      <c r="AA71" s="44"/>
      <c r="AB71" s="44"/>
      <c r="AC71" s="44"/>
      <c r="AD71" s="44"/>
      <c r="AE71" s="44"/>
      <c r="AF71" s="44"/>
      <c r="AG71" s="44"/>
      <c r="AH71" s="44"/>
      <c r="AI71" s="44"/>
    </row>
    <row r="72" spans="1:35" x14ac:dyDescent="0.35">
      <c r="A72" s="64">
        <v>43569</v>
      </c>
      <c r="B72" s="122" t="str">
        <f>IF(data[[#This Row],[Hdébut garde]]&lt;&gt;"","Garde",IF(data[[#This Row],[Hdébut corrigé]]&lt;&gt;"","Intervention",""))</f>
        <v>Garde</v>
      </c>
      <c r="C72" s="79">
        <v>0.29166666666666669</v>
      </c>
      <c r="D72" s="56">
        <v>0.79166666666666663</v>
      </c>
      <c r="E72" s="47">
        <f>MAX(0,IF(data[[#This Row],[Garde / Interv.]]="Garde",data[[#This Row],[Hfin corrigée]]-data[[#This Row],[Hdébut corrigé]],0))</f>
        <v>0.49999999999999994</v>
      </c>
      <c r="F72" s="80"/>
      <c r="G72" s="57"/>
      <c r="H72" s="58"/>
      <c r="I72" s="59"/>
      <c r="J72" s="60"/>
      <c r="K72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7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0.79166666666666663</v>
      </c>
      <c r="M72" s="138" t="str">
        <f>IF(OR(WEEKDAY(data[[#This Row],[Date]],2)=7,COUNTIF(JF,data[[#This Row],[Date]])=1),"oui","non")</f>
        <v>oui</v>
      </c>
      <c r="N72" s="44">
        <f>MAX(0,(MIN(1,data[[#This Row],[Hfin corrigée]])-data[[#This Row],[Hdébut corrigé]])-data[[#This Row],[NUIT1.1]]-data[[#This Row],[NUIT1.2]])</f>
        <v>0.49999999999999994</v>
      </c>
      <c r="O72" s="44">
        <f>IF(data[[#This Row],[Hfin Interv.]]="",0,(
MIN(FinNuit,MIN(1,data[[#This Row],[Hfin corrigée]]))-MIN(FinNuit,data[[#This Row],[Hdébut corrigé]])
))</f>
        <v>0</v>
      </c>
      <c r="P72" s="44">
        <f>MAX(0,(MAX(0,(MIN(1,data[[#This Row],[Hfin corrigée]])-DebNuit))-MAX(0,(data[[#This Row],[Hdébut corrigé]]-DebNuit))))</f>
        <v>0</v>
      </c>
      <c r="Q72" s="138" t="str">
        <f>IF(OR(WEEKDAY(data[[#This Row],[Date]]+data[[#This Row],[Hfin corrigée]],2)=7,COUNTIF(JF,INT(data[[#This Row],[Date]]+data[[#This Row],[Hfin corrigée]]))=1),"oui","non")</f>
        <v>oui</v>
      </c>
      <c r="R72" s="44">
        <f>MAX(0,data[[#This Row],[Hfin corrigée]]-MAX(1,data[[#This Row],[Hdébut corrigé]]))-data[[#This Row],[NUIT2.1]]-data[[#This Row],[NUIT2.2]]</f>
        <v>0</v>
      </c>
      <c r="S72" s="44">
        <f>MAX(0,MIN(1+FinNuit,data[[#This Row],[Hfin corrigée]])-MAX(1,data[[#This Row],[Hdébut corrigé]]))</f>
        <v>0</v>
      </c>
      <c r="T72" s="44">
        <f>MAX(0,(data[[#This Row],[Hfin corrigée]]-DebNuit-1))</f>
        <v>0</v>
      </c>
      <c r="U72" s="45">
        <f>IF(data[[#This Row],[Garde / Interv.]]="Intervention",MAX(0,data[[#This Row],[Hfin corrigée]]-SUMPRODUCT((data[Date]=data[[#This Row],[Date]])*(data[Garde / Interv.]="Garde")*data[Hfin corrigée])),0)</f>
        <v>0</v>
      </c>
      <c r="V7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0.3930555555555556</v>
      </c>
      <c r="W72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2" s="44">
        <f>IF(data[[#This Row],[Garde / Interv.]]="Intervention",(data[[#This Row],[Fin Dim ou Férié]]="oui")*data[[#This Row],[JOUR2]]+(data[[#This Row],[Début Dim ou Férié]]="oui")*data[[#This Row],[JOUR1]],0)</f>
        <v>0</v>
      </c>
      <c r="Y72" s="44">
        <f>MAX(0,IF(data[[#This Row],[Garde / Interv.]]="Intervention",data[[#This Row],[NUIT1.1]]+data[[#This Row],[NUIT1.2]]+data[[#This Row],[NUIT2.1]]+data[[#This Row],[NUIT2.2]],0))</f>
        <v>0</v>
      </c>
      <c r="Z72" s="165"/>
      <c r="AA72" s="44"/>
      <c r="AB72" s="44"/>
      <c r="AC72" s="44"/>
      <c r="AD72" s="44"/>
      <c r="AE72" s="44"/>
      <c r="AF72" s="44"/>
      <c r="AG72" s="44"/>
      <c r="AH72" s="44"/>
      <c r="AI72" s="44"/>
    </row>
    <row r="73" spans="1:35" x14ac:dyDescent="0.35">
      <c r="A73" s="64">
        <v>43569</v>
      </c>
      <c r="B73" s="122" t="str">
        <f>IF(data[[#This Row],[Hdébut garde]]&lt;&gt;"","Garde",IF(data[[#This Row],[Hdébut corrigé]]&lt;&gt;"","Intervention",""))</f>
        <v>Intervention</v>
      </c>
      <c r="C73" s="79"/>
      <c r="D73" s="56"/>
      <c r="E73" s="47">
        <f>MAX(0,IF(data[[#This Row],[Garde / Interv.]]="Garde",data[[#This Row],[Hfin corrigée]]-data[[#This Row],[Hdébut corrigé]],0))</f>
        <v>0</v>
      </c>
      <c r="F73" s="80"/>
      <c r="G73" s="57"/>
      <c r="H73" s="58"/>
      <c r="I73" s="59">
        <v>0.44166666666666665</v>
      </c>
      <c r="J73" s="60">
        <v>0.49513888888888885</v>
      </c>
      <c r="K73" s="42">
        <f>IF(data[[#This Row],[Hdébut garde]]&lt;&gt;"",
data[[#This Row],[Hdébut garde]],
data[[#This Row],[Hdébut interv.]]+IF(data[[#This Row],[Hdébut interv.]]&lt;SUMPRODUCT((data[Date]=data[[#This Row],[Date]])*data[Hdébut garde]),1,0)
)</f>
        <v>0.44166666666666665</v>
      </c>
      <c r="L7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0.49513888888888885</v>
      </c>
      <c r="M73" s="138" t="str">
        <f>IF(OR(WEEKDAY(data[[#This Row],[Date]],2)=7,COUNTIF(JF,data[[#This Row],[Date]])=1),"oui","non")</f>
        <v>oui</v>
      </c>
      <c r="N73" s="44">
        <f>MAX(0,(MIN(1,data[[#This Row],[Hfin corrigée]])-data[[#This Row],[Hdébut corrigé]])-data[[#This Row],[NUIT1.1]]-data[[#This Row],[NUIT1.2]])</f>
        <v>5.3472222222222199E-2</v>
      </c>
      <c r="O73" s="44">
        <f>IF(data[[#This Row],[Hfin Interv.]]="",0,(
MIN(FinNuit,MIN(1,data[[#This Row],[Hfin corrigée]]))-MIN(FinNuit,data[[#This Row],[Hdébut corrigé]])
))</f>
        <v>0</v>
      </c>
      <c r="P73" s="44">
        <f>MAX(0,(MAX(0,(MIN(1,data[[#This Row],[Hfin corrigée]])-DebNuit))-MAX(0,(data[[#This Row],[Hdébut corrigé]]-DebNuit))))</f>
        <v>0</v>
      </c>
      <c r="Q73" s="138" t="str">
        <f>IF(OR(WEEKDAY(data[[#This Row],[Date]]+data[[#This Row],[Hfin corrigée]],2)=7,COUNTIF(JF,INT(data[[#This Row],[Date]]+data[[#This Row],[Hfin corrigée]]))=1),"oui","non")</f>
        <v>oui</v>
      </c>
      <c r="R73" s="44">
        <f>MAX(0,data[[#This Row],[Hfin corrigée]]-MAX(1,data[[#This Row],[Hdébut corrigé]]))-data[[#This Row],[NUIT2.1]]-data[[#This Row],[NUIT2.2]]</f>
        <v>0</v>
      </c>
      <c r="S73" s="44">
        <f>MAX(0,MIN(1+FinNuit,data[[#This Row],[Hfin corrigée]])-MAX(1,data[[#This Row],[Hdébut corrigé]]))</f>
        <v>0</v>
      </c>
      <c r="T73" s="44">
        <f>MAX(0,(data[[#This Row],[Hfin corrigée]]-DebNuit-1))</f>
        <v>0</v>
      </c>
      <c r="U73" s="45">
        <f>IF(data[[#This Row],[Garde / Interv.]]="Intervention",MAX(0,data[[#This Row],[Hfin corrigée]]-SUMPRODUCT((data[Date]=data[[#This Row],[Date]])*(data[Garde / Interv.]="Garde")*data[Hfin corrigée])),0)</f>
        <v>0</v>
      </c>
      <c r="V7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3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3" s="44">
        <f>IF(data[[#This Row],[Garde / Interv.]]="Intervention",(data[[#This Row],[Fin Dim ou Férié]]="oui")*data[[#This Row],[JOUR2]]+(data[[#This Row],[Début Dim ou Férié]]="oui")*data[[#This Row],[JOUR1]],0)</f>
        <v>5.3472222222222199E-2</v>
      </c>
      <c r="Y73" s="44">
        <f>MAX(0,IF(data[[#This Row],[Garde / Interv.]]="Intervention",data[[#This Row],[NUIT1.1]]+data[[#This Row],[NUIT1.2]]+data[[#This Row],[NUIT2.1]]+data[[#This Row],[NUIT2.2]],0))</f>
        <v>0</v>
      </c>
      <c r="Z73" s="165"/>
      <c r="AA73" s="44"/>
      <c r="AB73" s="44"/>
      <c r="AC73" s="44"/>
      <c r="AD73" s="44"/>
      <c r="AE73" s="44"/>
      <c r="AF73" s="44"/>
      <c r="AG73" s="44"/>
      <c r="AH73" s="44"/>
      <c r="AI73" s="44"/>
    </row>
    <row r="74" spans="1:35" x14ac:dyDescent="0.35">
      <c r="A74" s="64">
        <v>43569</v>
      </c>
      <c r="B74" s="122" t="str">
        <f>IF(data[[#This Row],[Hdébut garde]]&lt;&gt;"","Garde",IF(data[[#This Row],[Hdébut corrigé]]&lt;&gt;"","Intervention",""))</f>
        <v>Intervention</v>
      </c>
      <c r="C74" s="79"/>
      <c r="D74" s="56"/>
      <c r="E74" s="47">
        <f>MAX(0,IF(data[[#This Row],[Garde / Interv.]]="Garde",data[[#This Row],[Hfin corrigée]]-data[[#This Row],[Hdébut corrigé]],0))</f>
        <v>0</v>
      </c>
      <c r="F74" s="80"/>
      <c r="G74" s="57"/>
      <c r="H74" s="58"/>
      <c r="I74" s="59">
        <v>0.55902777777777779</v>
      </c>
      <c r="J74" s="60">
        <v>0.61249999999999993</v>
      </c>
      <c r="K74" s="42">
        <f>IF(data[[#This Row],[Hdébut garde]]&lt;&gt;"",
data[[#This Row],[Hdébut garde]],
data[[#This Row],[Hdébut interv.]]+IF(data[[#This Row],[Hdébut interv.]]&lt;SUMPRODUCT((data[Date]=data[[#This Row],[Date]])*data[Hdébut garde]),1,0)
)</f>
        <v>0.55902777777777779</v>
      </c>
      <c r="L7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0.61249999999999993</v>
      </c>
      <c r="M74" s="138" t="str">
        <f>IF(OR(WEEKDAY(data[[#This Row],[Date]],2)=7,COUNTIF(JF,data[[#This Row],[Date]])=1),"oui","non")</f>
        <v>oui</v>
      </c>
      <c r="N74" s="44">
        <f>MAX(0,(MIN(1,data[[#This Row],[Hfin corrigée]])-data[[#This Row],[Hdébut corrigé]])-data[[#This Row],[NUIT1.1]]-data[[#This Row],[NUIT1.2]])</f>
        <v>5.3472222222222143E-2</v>
      </c>
      <c r="O74" s="44">
        <f>IF(data[[#This Row],[Hfin Interv.]]="",0,(
MIN(FinNuit,MIN(1,data[[#This Row],[Hfin corrigée]]))-MIN(FinNuit,data[[#This Row],[Hdébut corrigé]])
))</f>
        <v>0</v>
      </c>
      <c r="P74" s="44">
        <f>MAX(0,(MAX(0,(MIN(1,data[[#This Row],[Hfin corrigée]])-DebNuit))-MAX(0,(data[[#This Row],[Hdébut corrigé]]-DebNuit))))</f>
        <v>0</v>
      </c>
      <c r="Q74" s="138" t="str">
        <f>IF(OR(WEEKDAY(data[[#This Row],[Date]]+data[[#This Row],[Hfin corrigée]],2)=7,COUNTIF(JF,INT(data[[#This Row],[Date]]+data[[#This Row],[Hfin corrigée]]))=1),"oui","non")</f>
        <v>oui</v>
      </c>
      <c r="R74" s="44">
        <f>MAX(0,data[[#This Row],[Hfin corrigée]]-MAX(1,data[[#This Row],[Hdébut corrigé]]))-data[[#This Row],[NUIT2.1]]-data[[#This Row],[NUIT2.2]]</f>
        <v>0</v>
      </c>
      <c r="S74" s="44">
        <f>MAX(0,MIN(1+FinNuit,data[[#This Row],[Hfin corrigée]])-MAX(1,data[[#This Row],[Hdébut corrigé]]))</f>
        <v>0</v>
      </c>
      <c r="T74" s="44">
        <f>MAX(0,(data[[#This Row],[Hfin corrigée]]-DebNuit-1))</f>
        <v>0</v>
      </c>
      <c r="U74" s="45">
        <f>IF(data[[#This Row],[Garde / Interv.]]="Intervention",MAX(0,data[[#This Row],[Hfin corrigée]]-SUMPRODUCT((data[Date]=data[[#This Row],[Date]])*(data[Garde / Interv.]="Garde")*data[Hfin corrigée])),0)</f>
        <v>0</v>
      </c>
      <c r="V7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4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4" s="44">
        <f>IF(data[[#This Row],[Garde / Interv.]]="Intervention",(data[[#This Row],[Fin Dim ou Férié]]="oui")*data[[#This Row],[JOUR2]]+(data[[#This Row],[Début Dim ou Férié]]="oui")*data[[#This Row],[JOUR1]],0)</f>
        <v>5.3472222222222143E-2</v>
      </c>
      <c r="Y74" s="44">
        <f>MAX(0,IF(data[[#This Row],[Garde / Interv.]]="Intervention",data[[#This Row],[NUIT1.1]]+data[[#This Row],[NUIT1.2]]+data[[#This Row],[NUIT2.1]]+data[[#This Row],[NUIT2.2]],0))</f>
        <v>0</v>
      </c>
      <c r="Z74" s="165"/>
      <c r="AA74" s="44"/>
      <c r="AB74" s="44"/>
      <c r="AC74" s="44"/>
      <c r="AD74" s="44"/>
      <c r="AE74" s="44"/>
      <c r="AF74" s="44"/>
      <c r="AG74" s="44"/>
      <c r="AH74" s="44"/>
      <c r="AI74" s="44"/>
    </row>
    <row r="75" spans="1:35" x14ac:dyDescent="0.35">
      <c r="A75" s="64">
        <v>43576</v>
      </c>
      <c r="B75" s="122" t="str">
        <f>IF(data[[#This Row],[Hdébut garde]]&lt;&gt;"","Garde",IF(data[[#This Row],[Hdébut corrigé]]&lt;&gt;"","Intervention",""))</f>
        <v>Garde</v>
      </c>
      <c r="C75" s="79">
        <v>0.29166666666666669</v>
      </c>
      <c r="D75" s="56">
        <v>0.3888888888888889</v>
      </c>
      <c r="E75" s="47">
        <f>MAX(0,IF(data[[#This Row],[Garde / Interv.]]="Garde",data[[#This Row],[Hfin corrigée]]-data[[#This Row],[Hdébut corrigé]],0))</f>
        <v>1.0972222222222221</v>
      </c>
      <c r="F75" s="80" t="s">
        <v>79</v>
      </c>
      <c r="G75" s="57"/>
      <c r="H75" s="58"/>
      <c r="I75" s="59"/>
      <c r="J75" s="60"/>
      <c r="K75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7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1.3888888888888888</v>
      </c>
      <c r="M75" s="138" t="str">
        <f>IF(OR(WEEKDAY(data[[#This Row],[Date]],2)=7,COUNTIF(JF,data[[#This Row],[Date]])=1),"oui","non")</f>
        <v>oui</v>
      </c>
      <c r="N75" s="44">
        <f>MAX(0,(MIN(1,data[[#This Row],[Hfin corrigée]])-data[[#This Row],[Hdébut corrigé]])-data[[#This Row],[NUIT1.1]]-data[[#This Row],[NUIT1.2]])</f>
        <v>0.62499999999999989</v>
      </c>
      <c r="O75" s="44">
        <f>IF(data[[#This Row],[Hfin Interv.]]="",0,(
MIN(FinNuit,MIN(1,data[[#This Row],[Hfin corrigée]]))-MIN(FinNuit,data[[#This Row],[Hdébut corrigé]])
))</f>
        <v>0</v>
      </c>
      <c r="P75" s="44">
        <f>MAX(0,(MAX(0,(MIN(1,data[[#This Row],[Hfin corrigée]])-DebNuit))-MAX(0,(data[[#This Row],[Hdébut corrigé]]-DebNuit))))</f>
        <v>8.333333333333337E-2</v>
      </c>
      <c r="Q75" s="138" t="str">
        <f>IF(OR(WEEKDAY(data[[#This Row],[Date]]+data[[#This Row],[Hfin corrigée]],2)=7,COUNTIF(JF,INT(data[[#This Row],[Date]]+data[[#This Row],[Hfin corrigée]]))=1),"oui","non")</f>
        <v>oui</v>
      </c>
      <c r="R75" s="44">
        <f>MAX(0,data[[#This Row],[Hfin corrigée]]-MAX(1,data[[#This Row],[Hdébut corrigé]]))-data[[#This Row],[NUIT2.1]]-data[[#This Row],[NUIT2.2]]</f>
        <v>9.7222222222222099E-2</v>
      </c>
      <c r="S75" s="44">
        <f>MAX(0,MIN(1+FinNuit,data[[#This Row],[Hfin corrigée]])-MAX(1,data[[#This Row],[Hdébut corrigé]]))</f>
        <v>0.29166666666666674</v>
      </c>
      <c r="T75" s="44">
        <f>MAX(0,(data[[#This Row],[Hfin corrigée]]-DebNuit-1))</f>
        <v>0</v>
      </c>
      <c r="U75" s="45">
        <f>IF(data[[#This Row],[Garde / Interv.]]="Intervention",MAX(0,data[[#This Row],[Hfin corrigée]]-SUMPRODUCT((data[Date]=data[[#This Row],[Date]])*(data[Garde / Interv.]="Garde")*data[Hfin corrigée])),0)</f>
        <v>0</v>
      </c>
      <c r="V7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0.86597222222222237</v>
      </c>
      <c r="W75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5" s="44">
        <f>IF(data[[#This Row],[Garde / Interv.]]="Intervention",(data[[#This Row],[Fin Dim ou Férié]]="oui")*data[[#This Row],[JOUR2]]+(data[[#This Row],[Début Dim ou Férié]]="oui")*data[[#This Row],[JOUR1]],0)</f>
        <v>0</v>
      </c>
      <c r="Y75" s="44">
        <f>MAX(0,IF(data[[#This Row],[Garde / Interv.]]="Intervention",data[[#This Row],[NUIT1.1]]+data[[#This Row],[NUIT1.2]]+data[[#This Row],[NUIT2.1]]+data[[#This Row],[NUIT2.2]],0))</f>
        <v>0</v>
      </c>
      <c r="Z75" s="165"/>
      <c r="AA75" s="44"/>
      <c r="AB75" s="44"/>
      <c r="AC75" s="44"/>
      <c r="AD75" s="44"/>
      <c r="AE75" s="44"/>
      <c r="AF75" s="44"/>
      <c r="AG75" s="44"/>
      <c r="AH75" s="44"/>
      <c r="AI75" s="44"/>
    </row>
    <row r="76" spans="1:35" x14ac:dyDescent="0.35">
      <c r="A76" s="64">
        <v>43576</v>
      </c>
      <c r="B76" s="122" t="str">
        <f>IF(data[[#This Row],[Hdébut garde]]&lt;&gt;"","Garde",IF(data[[#This Row],[Hdébut corrigé]]&lt;&gt;"","Intervention",""))</f>
        <v>Intervention</v>
      </c>
      <c r="C76" s="79"/>
      <c r="D76" s="56"/>
      <c r="E76" s="47">
        <f>MAX(0,IF(data[[#This Row],[Garde / Interv.]]="Garde",data[[#This Row],[Hfin corrigée]]-data[[#This Row],[Hdébut corrigé]],0))</f>
        <v>0</v>
      </c>
      <c r="F76" s="80"/>
      <c r="G76" s="57"/>
      <c r="H76" s="58"/>
      <c r="I76" s="59">
        <v>0.30694444444444441</v>
      </c>
      <c r="J76" s="60">
        <v>0.32222222222222224</v>
      </c>
      <c r="K76" s="42">
        <f>IF(data[[#This Row],[Hdébut garde]]&lt;&gt;"",
data[[#This Row],[Hdébut garde]],
data[[#This Row],[Hdébut interv.]]+IF(data[[#This Row],[Hdébut interv.]]&lt;SUMPRODUCT((data[Date]=data[[#This Row],[Date]])*data[Hdébut garde]),1,0)
)</f>
        <v>0.30694444444444441</v>
      </c>
      <c r="L7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0.32222222222222224</v>
      </c>
      <c r="M76" s="138" t="str">
        <f>IF(OR(WEEKDAY(data[[#This Row],[Date]],2)=7,COUNTIF(JF,data[[#This Row],[Date]])=1),"oui","non")</f>
        <v>oui</v>
      </c>
      <c r="N76" s="44">
        <f>MAX(0,(MIN(1,data[[#This Row],[Hfin corrigée]])-data[[#This Row],[Hdébut corrigé]])-data[[#This Row],[NUIT1.1]]-data[[#This Row],[NUIT1.2]])</f>
        <v>1.5277777777777835E-2</v>
      </c>
      <c r="O76" s="44">
        <f>IF(data[[#This Row],[Hfin Interv.]]="",0,(
MIN(FinNuit,MIN(1,data[[#This Row],[Hfin corrigée]]))-MIN(FinNuit,data[[#This Row],[Hdébut corrigé]])
))</f>
        <v>0</v>
      </c>
      <c r="P76" s="44">
        <f>MAX(0,(MAX(0,(MIN(1,data[[#This Row],[Hfin corrigée]])-DebNuit))-MAX(0,(data[[#This Row],[Hdébut corrigé]]-DebNuit))))</f>
        <v>0</v>
      </c>
      <c r="Q76" s="138" t="str">
        <f>IF(OR(WEEKDAY(data[[#This Row],[Date]]+data[[#This Row],[Hfin corrigée]],2)=7,COUNTIF(JF,INT(data[[#This Row],[Date]]+data[[#This Row],[Hfin corrigée]]))=1),"oui","non")</f>
        <v>oui</v>
      </c>
      <c r="R76" s="44">
        <f>MAX(0,data[[#This Row],[Hfin corrigée]]-MAX(1,data[[#This Row],[Hdébut corrigé]]))-data[[#This Row],[NUIT2.1]]-data[[#This Row],[NUIT2.2]]</f>
        <v>0</v>
      </c>
      <c r="S76" s="44">
        <f>MAX(0,MIN(1+FinNuit,data[[#This Row],[Hfin corrigée]])-MAX(1,data[[#This Row],[Hdébut corrigé]]))</f>
        <v>0</v>
      </c>
      <c r="T76" s="44">
        <f>MAX(0,(data[[#This Row],[Hfin corrigée]]-DebNuit-1))</f>
        <v>0</v>
      </c>
      <c r="U76" s="45">
        <f>IF(data[[#This Row],[Garde / Interv.]]="Intervention",MAX(0,data[[#This Row],[Hfin corrigée]]-SUMPRODUCT((data[Date]=data[[#This Row],[Date]])*(data[Garde / Interv.]="Garde")*data[Hfin corrigée])),0)</f>
        <v>0</v>
      </c>
      <c r="V7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6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6" s="44">
        <f>IF(data[[#This Row],[Garde / Interv.]]="Intervention",(data[[#This Row],[Fin Dim ou Férié]]="oui")*data[[#This Row],[JOUR2]]+(data[[#This Row],[Début Dim ou Férié]]="oui")*data[[#This Row],[JOUR1]],0)</f>
        <v>1.5277777777777835E-2</v>
      </c>
      <c r="Y76" s="44">
        <f>MAX(0,IF(data[[#This Row],[Garde / Interv.]]="Intervention",data[[#This Row],[NUIT1.1]]+data[[#This Row],[NUIT1.2]]+data[[#This Row],[NUIT2.1]]+data[[#This Row],[NUIT2.2]],0))</f>
        <v>0</v>
      </c>
      <c r="Z76" s="165"/>
      <c r="AA76" s="44"/>
      <c r="AB76" s="44"/>
      <c r="AC76" s="44"/>
      <c r="AD76" s="44"/>
      <c r="AE76" s="44"/>
      <c r="AF76" s="44"/>
      <c r="AG76" s="44"/>
      <c r="AH76" s="44"/>
      <c r="AI76" s="44"/>
    </row>
    <row r="77" spans="1:35" x14ac:dyDescent="0.35">
      <c r="A77" s="64">
        <v>43576</v>
      </c>
      <c r="B77" s="122" t="str">
        <f>IF(data[[#This Row],[Hdébut garde]]&lt;&gt;"","Garde",IF(data[[#This Row],[Hdébut corrigé]]&lt;&gt;"","Intervention",""))</f>
        <v>Intervention</v>
      </c>
      <c r="C77" s="79"/>
      <c r="D77" s="56"/>
      <c r="E77" s="47">
        <f>MAX(0,IF(data[[#This Row],[Garde / Interv.]]="Garde",data[[#This Row],[Hfin corrigée]]-data[[#This Row],[Hdébut corrigé]],0))</f>
        <v>0</v>
      </c>
      <c r="F77" s="80"/>
      <c r="G77" s="57"/>
      <c r="H77" s="58"/>
      <c r="I77" s="59">
        <v>0.40833333333333338</v>
      </c>
      <c r="J77" s="60">
        <v>0.49444444444444446</v>
      </c>
      <c r="K77" s="42">
        <f>IF(data[[#This Row],[Hdébut garde]]&lt;&gt;"",
data[[#This Row],[Hdébut garde]],
data[[#This Row],[Hdébut interv.]]+IF(data[[#This Row],[Hdébut interv.]]&lt;SUMPRODUCT((data[Date]=data[[#This Row],[Date]])*data[Hdébut garde]),1,0)
)</f>
        <v>0.40833333333333338</v>
      </c>
      <c r="L7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0.49444444444444446</v>
      </c>
      <c r="M77" s="138" t="str">
        <f>IF(OR(WEEKDAY(data[[#This Row],[Date]],2)=7,COUNTIF(JF,data[[#This Row],[Date]])=1),"oui","non")</f>
        <v>oui</v>
      </c>
      <c r="N77" s="44">
        <f>MAX(0,(MIN(1,data[[#This Row],[Hfin corrigée]])-data[[#This Row],[Hdébut corrigé]])-data[[#This Row],[NUIT1.1]]-data[[#This Row],[NUIT1.2]])</f>
        <v>8.6111111111111083E-2</v>
      </c>
      <c r="O77" s="44">
        <f>IF(data[[#This Row],[Hfin Interv.]]="",0,(
MIN(FinNuit,MIN(1,data[[#This Row],[Hfin corrigée]]))-MIN(FinNuit,data[[#This Row],[Hdébut corrigé]])
))</f>
        <v>0</v>
      </c>
      <c r="P77" s="44">
        <f>MAX(0,(MAX(0,(MIN(1,data[[#This Row],[Hfin corrigée]])-DebNuit))-MAX(0,(data[[#This Row],[Hdébut corrigé]]-DebNuit))))</f>
        <v>0</v>
      </c>
      <c r="Q77" s="138" t="str">
        <f>IF(OR(WEEKDAY(data[[#This Row],[Date]]+data[[#This Row],[Hfin corrigée]],2)=7,COUNTIF(JF,INT(data[[#This Row],[Date]]+data[[#This Row],[Hfin corrigée]]))=1),"oui","non")</f>
        <v>oui</v>
      </c>
      <c r="R77" s="44">
        <f>MAX(0,data[[#This Row],[Hfin corrigée]]-MAX(1,data[[#This Row],[Hdébut corrigé]]))-data[[#This Row],[NUIT2.1]]-data[[#This Row],[NUIT2.2]]</f>
        <v>0</v>
      </c>
      <c r="S77" s="44">
        <f>MAX(0,MIN(1+FinNuit,data[[#This Row],[Hfin corrigée]])-MAX(1,data[[#This Row],[Hdébut corrigé]]))</f>
        <v>0</v>
      </c>
      <c r="T77" s="44">
        <f>MAX(0,(data[[#This Row],[Hfin corrigée]]-DebNuit-1))</f>
        <v>0</v>
      </c>
      <c r="U77" s="45">
        <f>IF(data[[#This Row],[Garde / Interv.]]="Intervention",MAX(0,data[[#This Row],[Hfin corrigée]]-SUMPRODUCT((data[Date]=data[[#This Row],[Date]])*(data[Garde / Interv.]="Garde")*data[Hfin corrigée])),0)</f>
        <v>0</v>
      </c>
      <c r="V7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7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7" s="44">
        <f>IF(data[[#This Row],[Garde / Interv.]]="Intervention",(data[[#This Row],[Fin Dim ou Férié]]="oui")*data[[#This Row],[JOUR2]]+(data[[#This Row],[Début Dim ou Férié]]="oui")*data[[#This Row],[JOUR1]],0)</f>
        <v>8.6111111111111083E-2</v>
      </c>
      <c r="Y77" s="44">
        <f>MAX(0,IF(data[[#This Row],[Garde / Interv.]]="Intervention",data[[#This Row],[NUIT1.1]]+data[[#This Row],[NUIT1.2]]+data[[#This Row],[NUIT2.1]]+data[[#This Row],[NUIT2.2]],0))</f>
        <v>0</v>
      </c>
      <c r="Z77" s="165"/>
      <c r="AA77" s="44"/>
      <c r="AB77" s="44"/>
      <c r="AC77" s="44"/>
      <c r="AD77" s="44"/>
      <c r="AE77" s="44"/>
      <c r="AF77" s="44"/>
      <c r="AG77" s="44"/>
      <c r="AH77" s="44"/>
      <c r="AI77" s="44"/>
    </row>
    <row r="78" spans="1:35" x14ac:dyDescent="0.35">
      <c r="A78" s="64">
        <v>43576</v>
      </c>
      <c r="B78" s="122" t="str">
        <f>IF(data[[#This Row],[Hdébut garde]]&lt;&gt;"","Garde",IF(data[[#This Row],[Hdébut corrigé]]&lt;&gt;"","Intervention",""))</f>
        <v>Intervention</v>
      </c>
      <c r="C78" s="79"/>
      <c r="D78" s="56"/>
      <c r="E78" s="47">
        <f>MAX(0,IF(data[[#This Row],[Garde / Interv.]]="Garde",data[[#This Row],[Hfin corrigée]]-data[[#This Row],[Hdébut corrigé]],0))</f>
        <v>0</v>
      </c>
      <c r="F78" s="80"/>
      <c r="G78" s="57"/>
      <c r="H78" s="58"/>
      <c r="I78" s="59">
        <v>0.52361111111111114</v>
      </c>
      <c r="J78" s="60">
        <v>0.53680555555555554</v>
      </c>
      <c r="K78" s="42">
        <f>IF(data[[#This Row],[Hdébut garde]]&lt;&gt;"",
data[[#This Row],[Hdébut garde]],
data[[#This Row],[Hdébut interv.]]+IF(data[[#This Row],[Hdébut interv.]]&lt;SUMPRODUCT((data[Date]=data[[#This Row],[Date]])*data[Hdébut garde]),1,0)
)</f>
        <v>0.52361111111111114</v>
      </c>
      <c r="L7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0.53680555555555554</v>
      </c>
      <c r="M78" s="138" t="str">
        <f>IF(OR(WEEKDAY(data[[#This Row],[Date]],2)=7,COUNTIF(JF,data[[#This Row],[Date]])=1),"oui","non")</f>
        <v>oui</v>
      </c>
      <c r="N78" s="44">
        <f>MAX(0,(MIN(1,data[[#This Row],[Hfin corrigée]])-data[[#This Row],[Hdébut corrigé]])-data[[#This Row],[NUIT1.1]]-data[[#This Row],[NUIT1.2]])</f>
        <v>1.3194444444444398E-2</v>
      </c>
      <c r="O78" s="44">
        <f>IF(data[[#This Row],[Hfin Interv.]]="",0,(
MIN(FinNuit,MIN(1,data[[#This Row],[Hfin corrigée]]))-MIN(FinNuit,data[[#This Row],[Hdébut corrigé]])
))</f>
        <v>0</v>
      </c>
      <c r="P78" s="44">
        <f>MAX(0,(MAX(0,(MIN(1,data[[#This Row],[Hfin corrigée]])-DebNuit))-MAX(0,(data[[#This Row],[Hdébut corrigé]]-DebNuit))))</f>
        <v>0</v>
      </c>
      <c r="Q78" s="138" t="str">
        <f>IF(OR(WEEKDAY(data[[#This Row],[Date]]+data[[#This Row],[Hfin corrigée]],2)=7,COUNTIF(JF,INT(data[[#This Row],[Date]]+data[[#This Row],[Hfin corrigée]]))=1),"oui","non")</f>
        <v>oui</v>
      </c>
      <c r="R78" s="44">
        <f>MAX(0,data[[#This Row],[Hfin corrigée]]-MAX(1,data[[#This Row],[Hdébut corrigé]]))-data[[#This Row],[NUIT2.1]]-data[[#This Row],[NUIT2.2]]</f>
        <v>0</v>
      </c>
      <c r="S78" s="44">
        <f>MAX(0,MIN(1+FinNuit,data[[#This Row],[Hfin corrigée]])-MAX(1,data[[#This Row],[Hdébut corrigé]]))</f>
        <v>0</v>
      </c>
      <c r="T78" s="44">
        <f>MAX(0,(data[[#This Row],[Hfin corrigée]]-DebNuit-1))</f>
        <v>0</v>
      </c>
      <c r="U78" s="45">
        <f>IF(data[[#This Row],[Garde / Interv.]]="Intervention",MAX(0,data[[#This Row],[Hfin corrigée]]-SUMPRODUCT((data[Date]=data[[#This Row],[Date]])*(data[Garde / Interv.]="Garde")*data[Hfin corrigée])),0)</f>
        <v>0</v>
      </c>
      <c r="V7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8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8" s="44">
        <f>IF(data[[#This Row],[Garde / Interv.]]="Intervention",(data[[#This Row],[Fin Dim ou Férié]]="oui")*data[[#This Row],[JOUR2]]+(data[[#This Row],[Début Dim ou Férié]]="oui")*data[[#This Row],[JOUR1]],0)</f>
        <v>1.3194444444444398E-2</v>
      </c>
      <c r="Y78" s="44">
        <f>MAX(0,IF(data[[#This Row],[Garde / Interv.]]="Intervention",data[[#This Row],[NUIT1.1]]+data[[#This Row],[NUIT1.2]]+data[[#This Row],[NUIT2.1]]+data[[#This Row],[NUIT2.2]],0))</f>
        <v>0</v>
      </c>
      <c r="Z78" s="165"/>
      <c r="AA78" s="44"/>
      <c r="AB78" s="44"/>
      <c r="AC78" s="44"/>
      <c r="AD78" s="44"/>
      <c r="AE78" s="44"/>
      <c r="AF78" s="44"/>
      <c r="AG78" s="44"/>
      <c r="AH78" s="44"/>
      <c r="AI78" s="44"/>
    </row>
    <row r="79" spans="1:35" x14ac:dyDescent="0.35">
      <c r="A79" s="64">
        <v>43576</v>
      </c>
      <c r="B79" s="122" t="str">
        <f>IF(data[[#This Row],[Hdébut garde]]&lt;&gt;"","Garde",IF(data[[#This Row],[Hdébut corrigé]]&lt;&gt;"","Intervention",""))</f>
        <v>Intervention</v>
      </c>
      <c r="C79" s="79"/>
      <c r="D79" s="56"/>
      <c r="E79" s="47">
        <f>MAX(0,IF(data[[#This Row],[Garde / Interv.]]="Garde",data[[#This Row],[Hfin corrigée]]-data[[#This Row],[Hdébut corrigé]],0))</f>
        <v>0</v>
      </c>
      <c r="F79" s="80"/>
      <c r="G79" s="57"/>
      <c r="H79" s="58"/>
      <c r="I79" s="59">
        <v>2.0833333333333333E-3</v>
      </c>
      <c r="J79" s="60">
        <v>1.9444444444444445E-2</v>
      </c>
      <c r="K79" s="42">
        <f>IF(data[[#This Row],[Hdébut garde]]&lt;&gt;"",
data[[#This Row],[Hdébut garde]],
data[[#This Row],[Hdébut interv.]]+IF(data[[#This Row],[Hdébut interv.]]&lt;SUMPRODUCT((data[Date]=data[[#This Row],[Date]])*data[Hdébut garde]),1,0)
)</f>
        <v>1.0020833333333334</v>
      </c>
      <c r="L7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1.0194444444444444</v>
      </c>
      <c r="M79" s="138" t="str">
        <f>IF(OR(WEEKDAY(data[[#This Row],[Date]],2)=7,COUNTIF(JF,data[[#This Row],[Date]])=1),"oui","non")</f>
        <v>oui</v>
      </c>
      <c r="N79" s="44">
        <f>MAX(0,(MIN(1,data[[#This Row],[Hfin corrigée]])-data[[#This Row],[Hdébut corrigé]])-data[[#This Row],[NUIT1.1]]-data[[#This Row],[NUIT1.2]])</f>
        <v>0</v>
      </c>
      <c r="O79" s="44">
        <f>IF(data[[#This Row],[Hfin Interv.]]="",0,(
MIN(FinNuit,MIN(1,data[[#This Row],[Hfin corrigée]]))-MIN(FinNuit,data[[#This Row],[Hdébut corrigé]])
))</f>
        <v>0</v>
      </c>
      <c r="P79" s="44">
        <f>MAX(0,(MAX(0,(MIN(1,data[[#This Row],[Hfin corrigée]])-DebNuit))-MAX(0,(data[[#This Row],[Hdébut corrigé]]-DebNuit))))</f>
        <v>0</v>
      </c>
      <c r="Q79" s="138" t="str">
        <f>IF(OR(WEEKDAY(data[[#This Row],[Date]]+data[[#This Row],[Hfin corrigée]],2)=7,COUNTIF(JF,INT(data[[#This Row],[Date]]+data[[#This Row],[Hfin corrigée]]))=1),"oui","non")</f>
        <v>oui</v>
      </c>
      <c r="R79" s="44">
        <f>MAX(0,data[[#This Row],[Hfin corrigée]]-MAX(1,data[[#This Row],[Hdébut corrigé]]))-data[[#This Row],[NUIT2.1]]-data[[#This Row],[NUIT2.2]]</f>
        <v>0</v>
      </c>
      <c r="S79" s="44">
        <f>MAX(0,MIN(1+FinNuit,data[[#This Row],[Hfin corrigée]])-MAX(1,data[[#This Row],[Hdébut corrigé]]))</f>
        <v>1.7361111111110938E-2</v>
      </c>
      <c r="T79" s="44">
        <f>MAX(0,(data[[#This Row],[Hfin corrigée]]-DebNuit-1))</f>
        <v>0</v>
      </c>
      <c r="U79" s="45">
        <f>IF(data[[#This Row],[Garde / Interv.]]="Intervention",MAX(0,data[[#This Row],[Hfin corrigée]]-SUMPRODUCT((data[Date]=data[[#This Row],[Date]])*(data[Garde / Interv.]="Garde")*data[Hfin corrigée])),0)</f>
        <v>0</v>
      </c>
      <c r="V7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79" s="44">
        <f>MAX(0,IF(data[[#This Row],[Garde / Interv.]]="Intervention",(data[[#This Row],[Fin Dim ou Férié]]="non")*data[[#This Row],[JOUR2]]+(data[[#This Row],[Début Dim ou Férié]]="non")*data[[#This Row],[JOUR1]],0))</f>
        <v>0</v>
      </c>
      <c r="X79" s="44">
        <f>IF(data[[#This Row],[Garde / Interv.]]="Intervention",(data[[#This Row],[Fin Dim ou Férié]]="oui")*data[[#This Row],[JOUR2]]+(data[[#This Row],[Début Dim ou Férié]]="oui")*data[[#This Row],[JOUR1]],0)</f>
        <v>0</v>
      </c>
      <c r="Y79" s="44">
        <f>MAX(0,IF(data[[#This Row],[Garde / Interv.]]="Intervention",data[[#This Row],[NUIT1.1]]+data[[#This Row],[NUIT1.2]]+data[[#This Row],[NUIT2.1]]+data[[#This Row],[NUIT2.2]],0))</f>
        <v>1.7361111111110938E-2</v>
      </c>
      <c r="Z79" s="165"/>
      <c r="AA79" s="44"/>
      <c r="AB79" s="44"/>
      <c r="AC79" s="44"/>
      <c r="AD79" s="44"/>
      <c r="AE79" s="44"/>
      <c r="AF79" s="44"/>
      <c r="AG79" s="44"/>
      <c r="AH79" s="44"/>
      <c r="AI79" s="44"/>
    </row>
    <row r="80" spans="1:35" x14ac:dyDescent="0.35">
      <c r="A80" s="64">
        <v>43576</v>
      </c>
      <c r="B80" s="122" t="str">
        <f>IF(data[[#This Row],[Hdébut garde]]&lt;&gt;"","Garde",IF(data[[#This Row],[Hdébut corrigé]]&lt;&gt;"","Intervention",""))</f>
        <v>Intervention</v>
      </c>
      <c r="C80" s="79"/>
      <c r="D80" s="56"/>
      <c r="E80" s="47">
        <f>MAX(0,IF(data[[#This Row],[Garde / Interv.]]="Garde",data[[#This Row],[Hfin corrigée]]-data[[#This Row],[Hdébut corrigé]],0))</f>
        <v>0</v>
      </c>
      <c r="F80" s="80"/>
      <c r="G80" s="57"/>
      <c r="H80" s="58"/>
      <c r="I80" s="59">
        <v>0.28958333333333336</v>
      </c>
      <c r="J80" s="60">
        <v>0.3888888888888889</v>
      </c>
      <c r="K80" s="42">
        <f>IF(data[[#This Row],[Hdébut garde]]&lt;&gt;"",
data[[#This Row],[Hdébut garde]],
data[[#This Row],[Hdébut interv.]]+IF(data[[#This Row],[Hdébut interv.]]&lt;SUMPRODUCT((data[Date]=data[[#This Row],[Date]])*data[Hdébut garde]),1,0)
)</f>
        <v>1.2895833333333333</v>
      </c>
      <c r="L8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1.3888888888888888</v>
      </c>
      <c r="M80" s="138" t="str">
        <f>IF(OR(WEEKDAY(data[[#This Row],[Date]],2)=7,COUNTIF(JF,data[[#This Row],[Date]])=1),"oui","non")</f>
        <v>oui</v>
      </c>
      <c r="N80" s="44">
        <f>MAX(0,(MIN(1,data[[#This Row],[Hfin corrigée]])-data[[#This Row],[Hdébut corrigé]])-data[[#This Row],[NUIT1.1]]-data[[#This Row],[NUIT1.2]])</f>
        <v>0</v>
      </c>
      <c r="O80" s="44">
        <f>IF(data[[#This Row],[Hfin Interv.]]="",0,(
MIN(FinNuit,MIN(1,data[[#This Row],[Hfin corrigée]]))-MIN(FinNuit,data[[#This Row],[Hdébut corrigé]])
))</f>
        <v>0</v>
      </c>
      <c r="P80" s="44">
        <f>MAX(0,(MAX(0,(MIN(1,data[[#This Row],[Hfin corrigée]])-DebNuit))-MAX(0,(data[[#This Row],[Hdébut corrigé]]-DebNuit))))</f>
        <v>0</v>
      </c>
      <c r="Q80" s="138" t="str">
        <f>IF(OR(WEEKDAY(data[[#This Row],[Date]]+data[[#This Row],[Hfin corrigée]],2)=7,COUNTIF(JF,INT(data[[#This Row],[Date]]+data[[#This Row],[Hfin corrigée]]))=1),"oui","non")</f>
        <v>oui</v>
      </c>
      <c r="R80" s="44">
        <f>MAX(0,data[[#This Row],[Hfin corrigée]]-MAX(1,data[[#This Row],[Hdébut corrigé]]))-data[[#This Row],[NUIT2.1]]-data[[#This Row],[NUIT2.2]]</f>
        <v>9.7222222222222099E-2</v>
      </c>
      <c r="S80" s="44">
        <f>MAX(0,MIN(1+FinNuit,data[[#This Row],[Hfin corrigée]])-MAX(1,data[[#This Row],[Hdébut corrigé]]))</f>
        <v>2.083333333333437E-3</v>
      </c>
      <c r="T80" s="44">
        <f>MAX(0,(data[[#This Row],[Hfin corrigée]]-DebNuit-1))</f>
        <v>0</v>
      </c>
      <c r="U80" s="45">
        <f>IF(data[[#This Row],[Garde / Interv.]]="Intervention",MAX(0,data[[#This Row],[Hfin corrigée]]-SUMPRODUCT((data[Date]=data[[#This Row],[Date]])*(data[Garde / Interv.]="Garde")*data[Hfin corrigée])),0)</f>
        <v>0</v>
      </c>
      <c r="V8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0" s="44">
        <f>MAX(0,IF(data[[#This Row],[Garde / Interv.]]="Intervention",(data[[#This Row],[Fin Dim ou Férié]]="non")*data[[#This Row],[JOUR2]]+(data[[#This Row],[Début Dim ou Férié]]="non")*data[[#This Row],[JOUR1]],0))</f>
        <v>0</v>
      </c>
      <c r="X80" s="44">
        <f>IF(data[[#This Row],[Garde / Interv.]]="Intervention",(data[[#This Row],[Fin Dim ou Férié]]="oui")*data[[#This Row],[JOUR2]]+(data[[#This Row],[Début Dim ou Férié]]="oui")*data[[#This Row],[JOUR1]],0)</f>
        <v>9.7222222222222099E-2</v>
      </c>
      <c r="Y80" s="44">
        <f>MAX(0,IF(data[[#This Row],[Garde / Interv.]]="Intervention",data[[#This Row],[NUIT1.1]]+data[[#This Row],[NUIT1.2]]+data[[#This Row],[NUIT2.1]]+data[[#This Row],[NUIT2.2]],0))</f>
        <v>2.083333333333437E-3</v>
      </c>
      <c r="Z80" s="165"/>
      <c r="AA80" s="44"/>
      <c r="AB80" s="44"/>
      <c r="AC80" s="44"/>
      <c r="AD80" s="44"/>
      <c r="AE80" s="44"/>
      <c r="AF80" s="44"/>
      <c r="AG80" s="44"/>
      <c r="AH80" s="44"/>
      <c r="AI80" s="44"/>
    </row>
    <row r="81" spans="1:35" x14ac:dyDescent="0.35">
      <c r="A81" s="64">
        <v>43580</v>
      </c>
      <c r="B81" s="122" t="str">
        <f>IF(data[[#This Row],[Hdébut garde]]&lt;&gt;"","Garde",IF(data[[#This Row],[Hdébut corrigé]]&lt;&gt;"","Intervention",""))</f>
        <v>Garde</v>
      </c>
      <c r="C81" s="79">
        <v>0.29166666666666669</v>
      </c>
      <c r="D81" s="56">
        <v>0.29166666666666669</v>
      </c>
      <c r="E81" s="47">
        <f>MAX(0,IF(data[[#This Row],[Garde / Interv.]]="Garde",data[[#This Row],[Hfin corrigée]]-data[[#This Row],[Hdébut corrigé]],0))</f>
        <v>1</v>
      </c>
      <c r="F81" s="80"/>
      <c r="G81" s="57"/>
      <c r="H81" s="58"/>
      <c r="I81" s="59"/>
      <c r="J81" s="60"/>
      <c r="K81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8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81" s="138" t="str">
        <f>IF(OR(WEEKDAY(data[[#This Row],[Date]],2)=7,COUNTIF(JF,data[[#This Row],[Date]])=1),"oui","non")</f>
        <v>non</v>
      </c>
      <c r="N81" s="44">
        <f>MAX(0,(MIN(1,data[[#This Row],[Hfin corrigée]])-data[[#This Row],[Hdébut corrigé]])-data[[#This Row],[NUIT1.1]]-data[[#This Row],[NUIT1.2]])</f>
        <v>0.62499999999999989</v>
      </c>
      <c r="O81" s="44">
        <f>IF(data[[#This Row],[Hfin Interv.]]="",0,(
MIN(FinNuit,MIN(1,data[[#This Row],[Hfin corrigée]]))-MIN(FinNuit,data[[#This Row],[Hdébut corrigé]])
))</f>
        <v>0</v>
      </c>
      <c r="P81" s="44">
        <f>MAX(0,(MAX(0,(MIN(1,data[[#This Row],[Hfin corrigée]])-DebNuit))-MAX(0,(data[[#This Row],[Hdébut corrigé]]-DebNuit))))</f>
        <v>8.333333333333337E-2</v>
      </c>
      <c r="Q81" s="138" t="str">
        <f>IF(OR(WEEKDAY(data[[#This Row],[Date]]+data[[#This Row],[Hfin corrigée]],2)=7,COUNTIF(JF,INT(data[[#This Row],[Date]]+data[[#This Row],[Hfin corrigée]]))=1),"oui","non")</f>
        <v>non</v>
      </c>
      <c r="R81" s="44">
        <f>MAX(0,data[[#This Row],[Hfin corrigée]]-MAX(1,data[[#This Row],[Hdébut corrigé]]))-data[[#This Row],[NUIT2.1]]-data[[#This Row],[NUIT2.2]]</f>
        <v>0</v>
      </c>
      <c r="S81" s="44">
        <f>MAX(0,MIN(1+FinNuit,data[[#This Row],[Hfin corrigée]])-MAX(1,data[[#This Row],[Hdébut corrigé]]))</f>
        <v>0.29166666666666674</v>
      </c>
      <c r="T81" s="44">
        <f>MAX(0,(data[[#This Row],[Hfin corrigée]]-DebNuit-1))</f>
        <v>0</v>
      </c>
      <c r="U81" s="45">
        <f>IF(data[[#This Row],[Garde / Interv.]]="Intervention",MAX(0,data[[#This Row],[Hfin corrigée]]-SUMPRODUCT((data[Date]=data[[#This Row],[Date]])*(data[Garde / Interv.]="Garde")*data[Hfin corrigée])),0)</f>
        <v>0</v>
      </c>
      <c r="V8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0.91944444444444429</v>
      </c>
      <c r="W81" s="44">
        <f>MAX(0,IF(data[[#This Row],[Garde / Interv.]]="Intervention",(data[[#This Row],[Fin Dim ou Férié]]="non")*data[[#This Row],[JOUR2]]+(data[[#This Row],[Début Dim ou Férié]]="non")*data[[#This Row],[JOUR1]],0))</f>
        <v>0</v>
      </c>
      <c r="X81" s="44">
        <f>IF(data[[#This Row],[Garde / Interv.]]="Intervention",(data[[#This Row],[Fin Dim ou Férié]]="oui")*data[[#This Row],[JOUR2]]+(data[[#This Row],[Début Dim ou Férié]]="oui")*data[[#This Row],[JOUR1]],0)</f>
        <v>0</v>
      </c>
      <c r="Y81" s="44">
        <f>MAX(0,IF(data[[#This Row],[Garde / Interv.]]="Intervention",data[[#This Row],[NUIT1.1]]+data[[#This Row],[NUIT1.2]]+data[[#This Row],[NUIT2.1]]+data[[#This Row],[NUIT2.2]],0))</f>
        <v>0</v>
      </c>
      <c r="Z81" s="165"/>
      <c r="AA81" s="44"/>
      <c r="AB81" s="44"/>
      <c r="AC81" s="44"/>
      <c r="AD81" s="44"/>
      <c r="AE81" s="44"/>
      <c r="AF81" s="44"/>
      <c r="AG81" s="44"/>
      <c r="AH81" s="44"/>
      <c r="AI81" s="44"/>
    </row>
    <row r="82" spans="1:35" x14ac:dyDescent="0.35">
      <c r="A82" s="64">
        <v>43580</v>
      </c>
      <c r="B82" s="122" t="str">
        <f>IF(data[[#This Row],[Hdébut garde]]&lt;&gt;"","Garde",IF(data[[#This Row],[Hdébut corrigé]]&lt;&gt;"","Intervention",""))</f>
        <v>Intervention</v>
      </c>
      <c r="C82" s="79"/>
      <c r="D82" s="56"/>
      <c r="E82" s="47">
        <f>MAX(0,IF(data[[#This Row],[Garde / Interv.]]="Garde",data[[#This Row],[Hfin corrigée]]-data[[#This Row],[Hdébut corrigé]],0))</f>
        <v>0</v>
      </c>
      <c r="F82" s="80"/>
      <c r="G82" s="57"/>
      <c r="H82" s="58"/>
      <c r="I82" s="59">
        <v>0.37986111111111115</v>
      </c>
      <c r="J82" s="60">
        <v>0.40902777777777777</v>
      </c>
      <c r="K82" s="42">
        <f>IF(data[[#This Row],[Hdébut garde]]&lt;&gt;"",
data[[#This Row],[Hdébut garde]],
data[[#This Row],[Hdébut interv.]]+IF(data[[#This Row],[Hdébut interv.]]&lt;SUMPRODUCT((data[Date]=data[[#This Row],[Date]])*data[Hdébut garde]),1,0)
)</f>
        <v>0.37986111111111115</v>
      </c>
      <c r="L8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0.40902777777777777</v>
      </c>
      <c r="M82" s="138" t="str">
        <f>IF(OR(WEEKDAY(data[[#This Row],[Date]],2)=7,COUNTIF(JF,data[[#This Row],[Date]])=1),"oui","non")</f>
        <v>non</v>
      </c>
      <c r="N82" s="44">
        <f>MAX(0,(MIN(1,data[[#This Row],[Hfin corrigée]])-data[[#This Row],[Hdébut corrigé]])-data[[#This Row],[NUIT1.1]]-data[[#This Row],[NUIT1.2]])</f>
        <v>2.9166666666666619E-2</v>
      </c>
      <c r="O82" s="44">
        <f>IF(data[[#This Row],[Hfin Interv.]]="",0,(
MIN(FinNuit,MIN(1,data[[#This Row],[Hfin corrigée]]))-MIN(FinNuit,data[[#This Row],[Hdébut corrigé]])
))</f>
        <v>0</v>
      </c>
      <c r="P82" s="44">
        <f>MAX(0,(MAX(0,(MIN(1,data[[#This Row],[Hfin corrigée]])-DebNuit))-MAX(0,(data[[#This Row],[Hdébut corrigé]]-DebNuit))))</f>
        <v>0</v>
      </c>
      <c r="Q82" s="138" t="str">
        <f>IF(OR(WEEKDAY(data[[#This Row],[Date]]+data[[#This Row],[Hfin corrigée]],2)=7,COUNTIF(JF,INT(data[[#This Row],[Date]]+data[[#This Row],[Hfin corrigée]]))=1),"oui","non")</f>
        <v>non</v>
      </c>
      <c r="R82" s="44">
        <f>MAX(0,data[[#This Row],[Hfin corrigée]]-MAX(1,data[[#This Row],[Hdébut corrigé]]))-data[[#This Row],[NUIT2.1]]-data[[#This Row],[NUIT2.2]]</f>
        <v>0</v>
      </c>
      <c r="S82" s="44">
        <f>MAX(0,MIN(1+FinNuit,data[[#This Row],[Hfin corrigée]])-MAX(1,data[[#This Row],[Hdébut corrigé]]))</f>
        <v>0</v>
      </c>
      <c r="T82" s="44">
        <f>MAX(0,(data[[#This Row],[Hfin corrigée]]-DebNuit-1))</f>
        <v>0</v>
      </c>
      <c r="U82" s="45">
        <f>IF(data[[#This Row],[Garde / Interv.]]="Intervention",MAX(0,data[[#This Row],[Hfin corrigée]]-SUMPRODUCT((data[Date]=data[[#This Row],[Date]])*(data[Garde / Interv.]="Garde")*data[Hfin corrigée])),0)</f>
        <v>0</v>
      </c>
      <c r="V8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2" s="44">
        <f>MAX(0,IF(data[[#This Row],[Garde / Interv.]]="Intervention",(data[[#This Row],[Fin Dim ou Férié]]="non")*data[[#This Row],[JOUR2]]+(data[[#This Row],[Début Dim ou Férié]]="non")*data[[#This Row],[JOUR1]],0))</f>
        <v>2.9166666666666619E-2</v>
      </c>
      <c r="X82" s="44">
        <f>IF(data[[#This Row],[Garde / Interv.]]="Intervention",(data[[#This Row],[Fin Dim ou Férié]]="oui")*data[[#This Row],[JOUR2]]+(data[[#This Row],[Début Dim ou Férié]]="oui")*data[[#This Row],[JOUR1]],0)</f>
        <v>0</v>
      </c>
      <c r="Y82" s="44">
        <f>MAX(0,IF(data[[#This Row],[Garde / Interv.]]="Intervention",data[[#This Row],[NUIT1.1]]+data[[#This Row],[NUIT1.2]]+data[[#This Row],[NUIT2.1]]+data[[#This Row],[NUIT2.2]],0))</f>
        <v>0</v>
      </c>
      <c r="Z82" s="165"/>
      <c r="AA82" s="44"/>
      <c r="AB82" s="44"/>
      <c r="AC82" s="44"/>
      <c r="AD82" s="44"/>
      <c r="AE82" s="44"/>
      <c r="AF82" s="44"/>
      <c r="AG82" s="44"/>
      <c r="AH82" s="44"/>
      <c r="AI82" s="44"/>
    </row>
    <row r="83" spans="1:35" x14ac:dyDescent="0.35">
      <c r="A83" s="64">
        <v>43580</v>
      </c>
      <c r="B83" s="122" t="str">
        <f>IF(data[[#This Row],[Hdébut garde]]&lt;&gt;"","Garde",IF(data[[#This Row],[Hdébut corrigé]]&lt;&gt;"","Intervention",""))</f>
        <v>Intervention</v>
      </c>
      <c r="C83" s="79"/>
      <c r="D83" s="56"/>
      <c r="E83" s="47">
        <f>MAX(0,IF(data[[#This Row],[Garde / Interv.]]="Garde",data[[#This Row],[Hfin corrigée]]-data[[#This Row],[Hdébut corrigé]],0))</f>
        <v>0</v>
      </c>
      <c r="F83" s="80"/>
      <c r="G83" s="57"/>
      <c r="H83" s="58"/>
      <c r="I83" s="59">
        <v>0.67569444444444438</v>
      </c>
      <c r="J83" s="60">
        <v>0.70000000000000007</v>
      </c>
      <c r="K83" s="42">
        <f>IF(data[[#This Row],[Hdébut garde]]&lt;&gt;"",
data[[#This Row],[Hdébut garde]],
data[[#This Row],[Hdébut interv.]]+IF(data[[#This Row],[Hdébut interv.]]&lt;SUMPRODUCT((data[Date]=data[[#This Row],[Date]])*data[Hdébut garde]),1,0)
)</f>
        <v>0.67569444444444438</v>
      </c>
      <c r="L8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0.70000000000000007</v>
      </c>
      <c r="M83" s="138" t="str">
        <f>IF(OR(WEEKDAY(data[[#This Row],[Date]],2)=7,COUNTIF(JF,data[[#This Row],[Date]])=1),"oui","non")</f>
        <v>non</v>
      </c>
      <c r="N83" s="44">
        <f>MAX(0,(MIN(1,data[[#This Row],[Hfin corrigée]])-data[[#This Row],[Hdébut corrigé]])-data[[#This Row],[NUIT1.1]]-data[[#This Row],[NUIT1.2]])</f>
        <v>2.4305555555555691E-2</v>
      </c>
      <c r="O83" s="44">
        <f>IF(data[[#This Row],[Hfin Interv.]]="",0,(
MIN(FinNuit,MIN(1,data[[#This Row],[Hfin corrigée]]))-MIN(FinNuit,data[[#This Row],[Hdébut corrigé]])
))</f>
        <v>0</v>
      </c>
      <c r="P83" s="44">
        <f>MAX(0,(MAX(0,(MIN(1,data[[#This Row],[Hfin corrigée]])-DebNuit))-MAX(0,(data[[#This Row],[Hdébut corrigé]]-DebNuit))))</f>
        <v>0</v>
      </c>
      <c r="Q83" s="138" t="str">
        <f>IF(OR(WEEKDAY(data[[#This Row],[Date]]+data[[#This Row],[Hfin corrigée]],2)=7,COUNTIF(JF,INT(data[[#This Row],[Date]]+data[[#This Row],[Hfin corrigée]]))=1),"oui","non")</f>
        <v>non</v>
      </c>
      <c r="R83" s="44">
        <f>MAX(0,data[[#This Row],[Hfin corrigée]]-MAX(1,data[[#This Row],[Hdébut corrigé]]))-data[[#This Row],[NUIT2.1]]-data[[#This Row],[NUIT2.2]]</f>
        <v>0</v>
      </c>
      <c r="S83" s="44">
        <f>MAX(0,MIN(1+FinNuit,data[[#This Row],[Hfin corrigée]])-MAX(1,data[[#This Row],[Hdébut corrigé]]))</f>
        <v>0</v>
      </c>
      <c r="T83" s="44">
        <f>MAX(0,(data[[#This Row],[Hfin corrigée]]-DebNuit-1))</f>
        <v>0</v>
      </c>
      <c r="U83" s="45">
        <f>IF(data[[#This Row],[Garde / Interv.]]="Intervention",MAX(0,data[[#This Row],[Hfin corrigée]]-SUMPRODUCT((data[Date]=data[[#This Row],[Date]])*(data[Garde / Interv.]="Garde")*data[Hfin corrigée])),0)</f>
        <v>0</v>
      </c>
      <c r="V8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3" s="44">
        <f>MAX(0,IF(data[[#This Row],[Garde / Interv.]]="Intervention",(data[[#This Row],[Fin Dim ou Férié]]="non")*data[[#This Row],[JOUR2]]+(data[[#This Row],[Début Dim ou Férié]]="non")*data[[#This Row],[JOUR1]],0))</f>
        <v>2.4305555555555691E-2</v>
      </c>
      <c r="X83" s="44">
        <f>IF(data[[#This Row],[Garde / Interv.]]="Intervention",(data[[#This Row],[Fin Dim ou Férié]]="oui")*data[[#This Row],[JOUR2]]+(data[[#This Row],[Début Dim ou Férié]]="oui")*data[[#This Row],[JOUR1]],0)</f>
        <v>0</v>
      </c>
      <c r="Y83" s="44">
        <f>MAX(0,IF(data[[#This Row],[Garde / Interv.]]="Intervention",data[[#This Row],[NUIT1.1]]+data[[#This Row],[NUIT1.2]]+data[[#This Row],[NUIT2.1]]+data[[#This Row],[NUIT2.2]],0))</f>
        <v>0</v>
      </c>
      <c r="Z83" s="165"/>
      <c r="AA83" s="44"/>
      <c r="AB83" s="44"/>
      <c r="AC83" s="44"/>
      <c r="AD83" s="44"/>
      <c r="AE83" s="44"/>
      <c r="AF83" s="44"/>
      <c r="AG83" s="44"/>
      <c r="AH83" s="44"/>
      <c r="AI83" s="44"/>
    </row>
    <row r="84" spans="1:35" s="137" customFormat="1" ht="15" thickBot="1" x14ac:dyDescent="0.4">
      <c r="A84" s="123">
        <v>43580</v>
      </c>
      <c r="B84" s="124" t="str">
        <f>IF(data[[#This Row],[Hdébut garde]]&lt;&gt;"","Garde",IF(data[[#This Row],[Hdébut corrigé]]&lt;&gt;"","Intervention",""))</f>
        <v>Intervention</v>
      </c>
      <c r="C84" s="125"/>
      <c r="D84" s="126"/>
      <c r="E84" s="127">
        <f>MAX(0,IF(data[[#This Row],[Garde / Interv.]]="Garde",data[[#This Row],[Hfin corrigée]]-data[[#This Row],[Hdébut corrigé]],0))</f>
        <v>0</v>
      </c>
      <c r="F84" s="128"/>
      <c r="G84" s="129"/>
      <c r="H84" s="130"/>
      <c r="I84" s="131">
        <v>0.62569444444444444</v>
      </c>
      <c r="J84" s="132">
        <v>0.65277777777777779</v>
      </c>
      <c r="K84" s="133">
        <f>IF(data[[#This Row],[Hdébut garde]]&lt;&gt;"",
data[[#This Row],[Hdébut garde]],
data[[#This Row],[Hdébut interv.]]+IF(data[[#This Row],[Hdébut interv.]]&lt;SUMPRODUCT((data[Date]=data[[#This Row],[Date]])*data[Hdébut garde]),1,0)
)</f>
        <v>0.62569444444444444</v>
      </c>
      <c r="L84" s="133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0.65277777777777779</v>
      </c>
      <c r="M84" s="139" t="str">
        <f>IF(OR(WEEKDAY(data[[#This Row],[Date]],2)=7,COUNTIF(JF,data[[#This Row],[Date]])=1),"oui","non")</f>
        <v>non</v>
      </c>
      <c r="N84" s="135">
        <f>MAX(0,(MIN(1,data[[#This Row],[Hfin corrigée]])-data[[#This Row],[Hdébut corrigé]])-data[[#This Row],[NUIT1.1]]-data[[#This Row],[NUIT1.2]])</f>
        <v>2.7083333333333348E-2</v>
      </c>
      <c r="O84" s="135">
        <f>IF(data[[#This Row],[Hfin Interv.]]="",0,(
MIN(FinNuit,MIN(1,data[[#This Row],[Hfin corrigée]]))-MIN(FinNuit,data[[#This Row],[Hdébut corrigé]])
))</f>
        <v>0</v>
      </c>
      <c r="P84" s="135">
        <f>MAX(0,(MAX(0,(MIN(1,data[[#This Row],[Hfin corrigée]])-DebNuit))-MAX(0,(data[[#This Row],[Hdébut corrigé]]-DebNuit))))</f>
        <v>0</v>
      </c>
      <c r="Q84" s="139" t="str">
        <f>IF(OR(WEEKDAY(data[[#This Row],[Date]]+data[[#This Row],[Hfin corrigée]],2)=7,COUNTIF(JF,INT(data[[#This Row],[Date]]+data[[#This Row],[Hfin corrigée]]))=1),"oui","non")</f>
        <v>non</v>
      </c>
      <c r="R84" s="135">
        <f>MAX(0,data[[#This Row],[Hfin corrigée]]-MAX(1,data[[#This Row],[Hdébut corrigé]]))-data[[#This Row],[NUIT2.1]]-data[[#This Row],[NUIT2.2]]</f>
        <v>0</v>
      </c>
      <c r="S84" s="135">
        <f>MAX(0,MIN(1+FinNuit,data[[#This Row],[Hfin corrigée]])-MAX(1,data[[#This Row],[Hdébut corrigé]]))</f>
        <v>0</v>
      </c>
      <c r="T84" s="135">
        <f>MAX(0,(data[[#This Row],[Hfin corrigée]]-DebNuit-1))</f>
        <v>0</v>
      </c>
      <c r="U84" s="136">
        <f>IF(data[[#This Row],[Garde / Interv.]]="Intervention",MAX(0,data[[#This Row],[Hfin corrigée]]-SUMPRODUCT((data[Date]=data[[#This Row],[Date]])*(data[Garde / Interv.]="Garde")*data[Hfin corrigée])),0)</f>
        <v>0</v>
      </c>
      <c r="V84" s="13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4" s="135">
        <f>MAX(0,IF(data[[#This Row],[Garde / Interv.]]="Intervention",(data[[#This Row],[Fin Dim ou Férié]]="non")*data[[#This Row],[JOUR2]]+(data[[#This Row],[Début Dim ou Férié]]="non")*data[[#This Row],[JOUR1]],0))</f>
        <v>2.7083333333333348E-2</v>
      </c>
      <c r="X84" s="135">
        <f>IF(data[[#This Row],[Garde / Interv.]]="Intervention",(data[[#This Row],[Fin Dim ou Férié]]="oui")*data[[#This Row],[JOUR2]]+(data[[#This Row],[Début Dim ou Férié]]="oui")*data[[#This Row],[JOUR1]],0)</f>
        <v>0</v>
      </c>
      <c r="Y84" s="135">
        <f>MAX(0,IF(data[[#This Row],[Garde / Interv.]]="Intervention",data[[#This Row],[NUIT1.1]]+data[[#This Row],[NUIT1.2]]+data[[#This Row],[NUIT2.1]]+data[[#This Row],[NUIT2.2]],0))</f>
        <v>0</v>
      </c>
      <c r="Z84" s="166"/>
      <c r="AA84" s="135"/>
      <c r="AB84" s="135"/>
      <c r="AC84" s="135"/>
      <c r="AD84" s="135"/>
      <c r="AE84" s="135"/>
      <c r="AF84" s="135"/>
      <c r="AG84" s="135"/>
      <c r="AH84" s="135"/>
      <c r="AI84" s="135"/>
    </row>
    <row r="85" spans="1:35" ht="15" thickTop="1" x14ac:dyDescent="0.35">
      <c r="A85" s="64">
        <v>43587</v>
      </c>
      <c r="B85" s="122" t="str">
        <f>IF(data[[#This Row],[Hdébut garde]]&lt;&gt;"","Garde",IF(data[[#This Row],[Hdébut corrigé]]&lt;&gt;"","Intervention",""))</f>
        <v>Garde</v>
      </c>
      <c r="C85" s="79">
        <v>0.29166666666666669</v>
      </c>
      <c r="D85" s="56">
        <v>0.29166666666666669</v>
      </c>
      <c r="E85" s="47">
        <f>MAX(0,IF(data[[#This Row],[Garde / Interv.]]="Garde",data[[#This Row],[Hfin corrigée]]-data[[#This Row],[Hdébut corrigé]],0))</f>
        <v>1</v>
      </c>
      <c r="F85" s="80"/>
      <c r="G85" s="57"/>
      <c r="H85" s="58"/>
      <c r="I85" s="59"/>
      <c r="J85" s="60"/>
      <c r="K85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85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85" s="138" t="str">
        <f>IF(OR(WEEKDAY(data[[#This Row],[Date]],2)=7,COUNTIF(JF,data[[#This Row],[Date]])=1),"oui","non")</f>
        <v>non</v>
      </c>
      <c r="N85" s="44">
        <f>MAX(0,(MIN(1,data[[#This Row],[Hfin corrigée]])-data[[#This Row],[Hdébut corrigé]])-data[[#This Row],[NUIT1.1]]-data[[#This Row],[NUIT1.2]])</f>
        <v>0.62499999999999989</v>
      </c>
      <c r="O85" s="44">
        <f>IF(data[[#This Row],[Hfin Interv.]]="",0,(
MIN(FinNuit,MIN(1,data[[#This Row],[Hfin corrigée]]))-MIN(FinNuit,data[[#This Row],[Hdébut corrigé]])
))</f>
        <v>0</v>
      </c>
      <c r="P85" s="44">
        <f>MAX(0,(MAX(0,(MIN(1,data[[#This Row],[Hfin corrigée]])-DebNuit))-MAX(0,(data[[#This Row],[Hdébut corrigé]]-DebNuit))))</f>
        <v>8.333333333333337E-2</v>
      </c>
      <c r="Q85" s="138" t="str">
        <f>IF(OR(WEEKDAY(data[[#This Row],[Date]]+data[[#This Row],[Hfin corrigée]],2)=7,COUNTIF(JF,INT(data[[#This Row],[Date]]+data[[#This Row],[Hfin corrigée]]))=1),"oui","non")</f>
        <v>non</v>
      </c>
      <c r="R85" s="44">
        <f>MAX(0,data[[#This Row],[Hfin corrigée]]-MAX(1,data[[#This Row],[Hdébut corrigé]]))-data[[#This Row],[NUIT2.1]]-data[[#This Row],[NUIT2.2]]</f>
        <v>0</v>
      </c>
      <c r="S85" s="44">
        <f>MAX(0,MIN(1+FinNuit,data[[#This Row],[Hfin corrigée]])-MAX(1,data[[#This Row],[Hdébut corrigé]]))</f>
        <v>0.29166666666666674</v>
      </c>
      <c r="T85" s="44">
        <f>MAX(0,(data[[#This Row],[Hfin corrigée]]-DebNuit-1))</f>
        <v>0</v>
      </c>
      <c r="U85" s="45">
        <f>IF(data[[#This Row],[Garde / Interv.]]="Intervention",MAX(0,data[[#This Row],[Hfin corrigée]]-SUMPRODUCT((data[Date]=data[[#This Row],[Date]])*(data[Garde / Interv.]="Garde")*data[Hfin corrigée])),0)</f>
        <v>0</v>
      </c>
      <c r="V85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0.88263888888888875</v>
      </c>
      <c r="W85" s="44">
        <f>MAX(0,IF(data[[#This Row],[Garde / Interv.]]="Intervention",(data[[#This Row],[Fin Dim ou Férié]]="non")*data[[#This Row],[JOUR2]]+(data[[#This Row],[Début Dim ou Férié]]="non")*data[[#This Row],[JOUR1]],0))</f>
        <v>0</v>
      </c>
      <c r="X85" s="44">
        <f>IF(data[[#This Row],[Garde / Interv.]]="Intervention",(data[[#This Row],[Fin Dim ou Férié]]="oui")*data[[#This Row],[JOUR2]]+(data[[#This Row],[Début Dim ou Férié]]="oui")*data[[#This Row],[JOUR1]],0)</f>
        <v>0</v>
      </c>
      <c r="Y85" s="44">
        <f>MAX(0,IF(data[[#This Row],[Garde / Interv.]]="Intervention",data[[#This Row],[NUIT1.1]]+data[[#This Row],[NUIT1.2]]+data[[#This Row],[NUIT2.1]]+data[[#This Row],[NUIT2.2]],0))</f>
        <v>0</v>
      </c>
      <c r="Z85" s="165"/>
      <c r="AA85" s="44"/>
      <c r="AB85" s="44"/>
      <c r="AC85" s="44"/>
      <c r="AD85" s="44"/>
      <c r="AE85" s="44"/>
      <c r="AF85" s="44"/>
      <c r="AG85" s="44"/>
      <c r="AH85" s="44"/>
      <c r="AI85" s="44"/>
    </row>
    <row r="86" spans="1:35" x14ac:dyDescent="0.35">
      <c r="A86" s="64">
        <v>43587</v>
      </c>
      <c r="B86" s="122" t="str">
        <f>IF(data[[#This Row],[Hdébut garde]]&lt;&gt;"","Garde",IF(data[[#This Row],[Hdébut corrigé]]&lt;&gt;"","Intervention",""))</f>
        <v>Intervention</v>
      </c>
      <c r="C86" s="79"/>
      <c r="D86" s="56"/>
      <c r="E86" s="47">
        <f>MAX(0,IF(data[[#This Row],[Garde / Interv.]]="Garde",data[[#This Row],[Hfin corrigée]]-data[[#This Row],[Hdébut corrigé]],0))</f>
        <v>0</v>
      </c>
      <c r="F86" s="80"/>
      <c r="G86" s="57"/>
      <c r="H86" s="58"/>
      <c r="I86" s="59">
        <v>0.48333333333333334</v>
      </c>
      <c r="J86" s="60">
        <v>0.54375000000000007</v>
      </c>
      <c r="K86" s="42">
        <f>IF(data[[#This Row],[Hdébut garde]]&lt;&gt;"",
data[[#This Row],[Hdébut garde]],
data[[#This Row],[Hdébut interv.]]+IF(data[[#This Row],[Hdébut interv.]]&lt;SUMPRODUCT((data[Date]=data[[#This Row],[Date]])*data[Hdébut garde]),1,0)
)</f>
        <v>0.48333333333333334</v>
      </c>
      <c r="L86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0.54375000000000007</v>
      </c>
      <c r="M86" s="138" t="str">
        <f>IF(OR(WEEKDAY(data[[#This Row],[Date]],2)=7,COUNTIF(JF,data[[#This Row],[Date]])=1),"oui","non")</f>
        <v>non</v>
      </c>
      <c r="N86" s="44">
        <f>MAX(0,(MIN(1,data[[#This Row],[Hfin corrigée]])-data[[#This Row],[Hdébut corrigé]])-data[[#This Row],[NUIT1.1]]-data[[#This Row],[NUIT1.2]])</f>
        <v>6.041666666666673E-2</v>
      </c>
      <c r="O86" s="44">
        <f>IF(data[[#This Row],[Hfin Interv.]]="",0,(
MIN(FinNuit,MIN(1,data[[#This Row],[Hfin corrigée]]))-MIN(FinNuit,data[[#This Row],[Hdébut corrigé]])
))</f>
        <v>0</v>
      </c>
      <c r="P86" s="44">
        <f>MAX(0,(MAX(0,(MIN(1,data[[#This Row],[Hfin corrigée]])-DebNuit))-MAX(0,(data[[#This Row],[Hdébut corrigé]]-DebNuit))))</f>
        <v>0</v>
      </c>
      <c r="Q86" s="138" t="str">
        <f>IF(OR(WEEKDAY(data[[#This Row],[Date]]+data[[#This Row],[Hfin corrigée]],2)=7,COUNTIF(JF,INT(data[[#This Row],[Date]]+data[[#This Row],[Hfin corrigée]]))=1),"oui","non")</f>
        <v>non</v>
      </c>
      <c r="R86" s="44">
        <f>MAX(0,data[[#This Row],[Hfin corrigée]]-MAX(1,data[[#This Row],[Hdébut corrigé]]))-data[[#This Row],[NUIT2.1]]-data[[#This Row],[NUIT2.2]]</f>
        <v>0</v>
      </c>
      <c r="S86" s="44">
        <f>MAX(0,MIN(1+FinNuit,data[[#This Row],[Hfin corrigée]])-MAX(1,data[[#This Row],[Hdébut corrigé]]))</f>
        <v>0</v>
      </c>
      <c r="T86" s="44">
        <f>MAX(0,(data[[#This Row],[Hfin corrigée]]-DebNuit-1))</f>
        <v>0</v>
      </c>
      <c r="U86" s="45">
        <f>IF(data[[#This Row],[Garde / Interv.]]="Intervention",MAX(0,data[[#This Row],[Hfin corrigée]]-SUMPRODUCT((data[Date]=data[[#This Row],[Date]])*(data[Garde / Interv.]="Garde")*data[Hfin corrigée])),0)</f>
        <v>0</v>
      </c>
      <c r="V86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6" s="44">
        <f>MAX(0,IF(data[[#This Row],[Garde / Interv.]]="Intervention",(data[[#This Row],[Fin Dim ou Férié]]="non")*data[[#This Row],[JOUR2]]+(data[[#This Row],[Début Dim ou Férié]]="non")*data[[#This Row],[JOUR1]],0))</f>
        <v>6.041666666666673E-2</v>
      </c>
      <c r="X86" s="44">
        <f>IF(data[[#This Row],[Garde / Interv.]]="Intervention",(data[[#This Row],[Fin Dim ou Férié]]="oui")*data[[#This Row],[JOUR2]]+(data[[#This Row],[Début Dim ou Férié]]="oui")*data[[#This Row],[JOUR1]],0)</f>
        <v>0</v>
      </c>
      <c r="Y86" s="44">
        <f>MAX(0,IF(data[[#This Row],[Garde / Interv.]]="Intervention",data[[#This Row],[NUIT1.1]]+data[[#This Row],[NUIT1.2]]+data[[#This Row],[NUIT2.1]]+data[[#This Row],[NUIT2.2]],0))</f>
        <v>0</v>
      </c>
      <c r="Z86" s="165"/>
      <c r="AA86" s="44"/>
      <c r="AB86" s="44"/>
      <c r="AC86" s="44"/>
      <c r="AD86" s="44"/>
      <c r="AE86" s="44"/>
      <c r="AF86" s="44"/>
      <c r="AG86" s="44"/>
      <c r="AH86" s="44"/>
      <c r="AI86" s="44"/>
    </row>
    <row r="87" spans="1:35" x14ac:dyDescent="0.35">
      <c r="A87" s="64">
        <v>43587</v>
      </c>
      <c r="B87" s="122" t="str">
        <f>IF(data[[#This Row],[Hdébut garde]]&lt;&gt;"","Garde",IF(data[[#This Row],[Hdébut corrigé]]&lt;&gt;"","Intervention",""))</f>
        <v>Intervention</v>
      </c>
      <c r="C87" s="79"/>
      <c r="D87" s="56"/>
      <c r="E87" s="47">
        <f>MAX(0,IF(data[[#This Row],[Garde / Interv.]]="Garde",data[[#This Row],[Hfin corrigée]]-data[[#This Row],[Hdébut corrigé]],0))</f>
        <v>0</v>
      </c>
      <c r="F87" s="80"/>
      <c r="G87" s="57"/>
      <c r="H87" s="58"/>
      <c r="I87" s="59">
        <v>0.84097222222222223</v>
      </c>
      <c r="J87" s="60">
        <v>0.8979166666666667</v>
      </c>
      <c r="K87" s="42">
        <f>IF(data[[#This Row],[Hdébut garde]]&lt;&gt;"",
data[[#This Row],[Hdébut garde]],
data[[#This Row],[Hdébut interv.]]+IF(data[[#This Row],[Hdébut interv.]]&lt;SUMPRODUCT((data[Date]=data[[#This Row],[Date]])*data[Hdébut garde]),1,0)
)</f>
        <v>0.84097222222222223</v>
      </c>
      <c r="L8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0.8979166666666667</v>
      </c>
      <c r="M87" s="138" t="str">
        <f>IF(OR(WEEKDAY(data[[#This Row],[Date]],2)=7,COUNTIF(JF,data[[#This Row],[Date]])=1),"oui","non")</f>
        <v>non</v>
      </c>
      <c r="N87" s="44">
        <f>MAX(0,(MIN(1,data[[#This Row],[Hfin corrigée]])-data[[#This Row],[Hdébut corrigé]])-data[[#This Row],[NUIT1.1]]-data[[#This Row],[NUIT1.2]])</f>
        <v>5.6944444444444464E-2</v>
      </c>
      <c r="O87" s="44">
        <f>IF(data[[#This Row],[Hfin Interv.]]="",0,(
MIN(FinNuit,MIN(1,data[[#This Row],[Hfin corrigée]]))-MIN(FinNuit,data[[#This Row],[Hdébut corrigé]])
))</f>
        <v>0</v>
      </c>
      <c r="P87" s="44">
        <f>MAX(0,(MAX(0,(MIN(1,data[[#This Row],[Hfin corrigée]])-DebNuit))-MAX(0,(data[[#This Row],[Hdébut corrigé]]-DebNuit))))</f>
        <v>0</v>
      </c>
      <c r="Q87" s="138" t="str">
        <f>IF(OR(WEEKDAY(data[[#This Row],[Date]]+data[[#This Row],[Hfin corrigée]],2)=7,COUNTIF(JF,INT(data[[#This Row],[Date]]+data[[#This Row],[Hfin corrigée]]))=1),"oui","non")</f>
        <v>non</v>
      </c>
      <c r="R87" s="44">
        <f>MAX(0,data[[#This Row],[Hfin corrigée]]-MAX(1,data[[#This Row],[Hdébut corrigé]]))-data[[#This Row],[NUIT2.1]]-data[[#This Row],[NUIT2.2]]</f>
        <v>0</v>
      </c>
      <c r="S87" s="44">
        <f>MAX(0,MIN(1+FinNuit,data[[#This Row],[Hfin corrigée]])-MAX(1,data[[#This Row],[Hdébut corrigé]]))</f>
        <v>0</v>
      </c>
      <c r="T87" s="44">
        <f>MAX(0,(data[[#This Row],[Hfin corrigée]]-DebNuit-1))</f>
        <v>0</v>
      </c>
      <c r="U87" s="45">
        <f>IF(data[[#This Row],[Garde / Interv.]]="Intervention",MAX(0,data[[#This Row],[Hfin corrigée]]-SUMPRODUCT((data[Date]=data[[#This Row],[Date]])*(data[Garde / Interv.]="Garde")*data[Hfin corrigée])),0)</f>
        <v>0</v>
      </c>
      <c r="V8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7" s="44">
        <f>MAX(0,IF(data[[#This Row],[Garde / Interv.]]="Intervention",(data[[#This Row],[Fin Dim ou Férié]]="non")*data[[#This Row],[JOUR2]]+(data[[#This Row],[Début Dim ou Férié]]="non")*data[[#This Row],[JOUR1]],0))</f>
        <v>5.6944444444444464E-2</v>
      </c>
      <c r="X87" s="44">
        <f>IF(data[[#This Row],[Garde / Interv.]]="Intervention",(data[[#This Row],[Fin Dim ou Férié]]="oui")*data[[#This Row],[JOUR2]]+(data[[#This Row],[Début Dim ou Férié]]="oui")*data[[#This Row],[JOUR1]],0)</f>
        <v>0</v>
      </c>
      <c r="Y87" s="44">
        <f>MAX(0,IF(data[[#This Row],[Garde / Interv.]]="Intervention",data[[#This Row],[NUIT1.1]]+data[[#This Row],[NUIT1.2]]+data[[#This Row],[NUIT2.1]]+data[[#This Row],[NUIT2.2]],0))</f>
        <v>0</v>
      </c>
      <c r="Z87" s="165"/>
      <c r="AA87" s="44"/>
      <c r="AB87" s="44"/>
      <c r="AC87" s="44"/>
      <c r="AD87" s="44"/>
      <c r="AE87" s="44"/>
      <c r="AF87" s="44"/>
      <c r="AG87" s="44"/>
      <c r="AH87" s="44"/>
      <c r="AI87" s="44"/>
    </row>
    <row r="88" spans="1:35" x14ac:dyDescent="0.35">
      <c r="A88" s="64">
        <v>43590</v>
      </c>
      <c r="B88" s="122" t="str">
        <f>IF(data[[#This Row],[Hdébut garde]]&lt;&gt;"","Garde",IF(data[[#This Row],[Hdébut corrigé]]&lt;&gt;"","Intervention",""))</f>
        <v>Garde</v>
      </c>
      <c r="C88" s="79">
        <v>0.29166666666666669</v>
      </c>
      <c r="D88" s="56">
        <v>0.79166666666666663</v>
      </c>
      <c r="E88" s="47">
        <f>MAX(0,IF(data[[#This Row],[Garde / Interv.]]="Garde",data[[#This Row],[Hfin corrigée]]-data[[#This Row],[Hdébut corrigé]],0))</f>
        <v>0.49999999999999994</v>
      </c>
      <c r="F88" s="80"/>
      <c r="G88" s="57"/>
      <c r="H88" s="58"/>
      <c r="I88" s="59"/>
      <c r="J88" s="60"/>
      <c r="K88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8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0.79166666666666663</v>
      </c>
      <c r="M88" s="138" t="str">
        <f>IF(OR(WEEKDAY(data[[#This Row],[Date]],2)=7,COUNTIF(JF,data[[#This Row],[Date]])=1),"oui","non")</f>
        <v>oui</v>
      </c>
      <c r="N88" s="44">
        <f>MAX(0,(MIN(1,data[[#This Row],[Hfin corrigée]])-data[[#This Row],[Hdébut corrigé]])-data[[#This Row],[NUIT1.1]]-data[[#This Row],[NUIT1.2]])</f>
        <v>0.49999999999999994</v>
      </c>
      <c r="O88" s="44">
        <f>IF(data[[#This Row],[Hfin Interv.]]="",0,(
MIN(FinNuit,MIN(1,data[[#This Row],[Hfin corrigée]]))-MIN(FinNuit,data[[#This Row],[Hdébut corrigé]])
))</f>
        <v>0</v>
      </c>
      <c r="P88" s="44">
        <f>MAX(0,(MAX(0,(MIN(1,data[[#This Row],[Hfin corrigée]])-DebNuit))-MAX(0,(data[[#This Row],[Hdébut corrigé]]-DebNuit))))</f>
        <v>0</v>
      </c>
      <c r="Q88" s="138" t="str">
        <f>IF(OR(WEEKDAY(data[[#This Row],[Date]]+data[[#This Row],[Hfin corrigée]],2)=7,COUNTIF(JF,INT(data[[#This Row],[Date]]+data[[#This Row],[Hfin corrigée]]))=1),"oui","non")</f>
        <v>oui</v>
      </c>
      <c r="R88" s="44">
        <f>MAX(0,data[[#This Row],[Hfin corrigée]]-MAX(1,data[[#This Row],[Hdébut corrigé]]))-data[[#This Row],[NUIT2.1]]-data[[#This Row],[NUIT2.2]]</f>
        <v>0</v>
      </c>
      <c r="S88" s="44">
        <f>MAX(0,MIN(1+FinNuit,data[[#This Row],[Hfin corrigée]])-MAX(1,data[[#This Row],[Hdébut corrigé]]))</f>
        <v>0</v>
      </c>
      <c r="T88" s="44">
        <f>MAX(0,(data[[#This Row],[Hfin corrigée]]-DebNuit-1))</f>
        <v>0</v>
      </c>
      <c r="U88" s="45">
        <f>IF(data[[#This Row],[Garde / Interv.]]="Intervention",MAX(0,data[[#This Row],[Hfin corrigée]]-SUMPRODUCT((data[Date]=data[[#This Row],[Date]])*(data[Garde / Interv.]="Garde")*data[Hfin corrigée])),0)</f>
        <v>0</v>
      </c>
      <c r="V8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0.43749999999999994</v>
      </c>
      <c r="W88" s="44">
        <f>MAX(0,IF(data[[#This Row],[Garde / Interv.]]="Intervention",(data[[#This Row],[Fin Dim ou Férié]]="non")*data[[#This Row],[JOUR2]]+(data[[#This Row],[Début Dim ou Férié]]="non")*data[[#This Row],[JOUR1]],0))</f>
        <v>0</v>
      </c>
      <c r="X88" s="44">
        <f>IF(data[[#This Row],[Garde / Interv.]]="Intervention",(data[[#This Row],[Fin Dim ou Férié]]="oui")*data[[#This Row],[JOUR2]]+(data[[#This Row],[Début Dim ou Férié]]="oui")*data[[#This Row],[JOUR1]],0)</f>
        <v>0</v>
      </c>
      <c r="Y88" s="44">
        <f>MAX(0,IF(data[[#This Row],[Garde / Interv.]]="Intervention",data[[#This Row],[NUIT1.1]]+data[[#This Row],[NUIT1.2]]+data[[#This Row],[NUIT2.1]]+data[[#This Row],[NUIT2.2]],0))</f>
        <v>0</v>
      </c>
      <c r="Z88" s="165"/>
      <c r="AA88" s="44"/>
      <c r="AB88" s="44"/>
      <c r="AC88" s="44"/>
      <c r="AD88" s="44"/>
      <c r="AE88" s="44"/>
      <c r="AF88" s="44"/>
      <c r="AG88" s="44"/>
      <c r="AH88" s="44"/>
      <c r="AI88" s="44"/>
    </row>
    <row r="89" spans="1:35" x14ac:dyDescent="0.35">
      <c r="A89" s="64">
        <v>43590</v>
      </c>
      <c r="B89" s="122" t="str">
        <f>IF(data[[#This Row],[Hdébut garde]]&lt;&gt;"","Garde",IF(data[[#This Row],[Hdébut corrigé]]&lt;&gt;"","Intervention",""))</f>
        <v>Intervention</v>
      </c>
      <c r="C89" s="79"/>
      <c r="D89" s="56"/>
      <c r="E89" s="47">
        <f>MAX(0,IF(data[[#This Row],[Garde / Interv.]]="Garde",data[[#This Row],[Hfin corrigée]]-data[[#This Row],[Hdébut corrigé]],0))</f>
        <v>0</v>
      </c>
      <c r="F89" s="80"/>
      <c r="G89" s="57"/>
      <c r="H89" s="58"/>
      <c r="I89" s="59">
        <v>0.4604166666666667</v>
      </c>
      <c r="J89" s="60">
        <v>0.5229166666666667</v>
      </c>
      <c r="K89" s="42">
        <f>IF(data[[#This Row],[Hdébut garde]]&lt;&gt;"",
data[[#This Row],[Hdébut garde]],
data[[#This Row],[Hdébut interv.]]+IF(data[[#This Row],[Hdébut interv.]]&lt;SUMPRODUCT((data[Date]=data[[#This Row],[Date]])*data[Hdébut garde]),1,0)
)</f>
        <v>0.4604166666666667</v>
      </c>
      <c r="L8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0.5229166666666667</v>
      </c>
      <c r="M89" s="138" t="str">
        <f>IF(OR(WEEKDAY(data[[#This Row],[Date]],2)=7,COUNTIF(JF,data[[#This Row],[Date]])=1),"oui","non")</f>
        <v>oui</v>
      </c>
      <c r="N89" s="44">
        <f>MAX(0,(MIN(1,data[[#This Row],[Hfin corrigée]])-data[[#This Row],[Hdébut corrigé]])-data[[#This Row],[NUIT1.1]]-data[[#This Row],[NUIT1.2]])</f>
        <v>6.25E-2</v>
      </c>
      <c r="O89" s="44">
        <f>IF(data[[#This Row],[Hfin Interv.]]="",0,(
MIN(FinNuit,MIN(1,data[[#This Row],[Hfin corrigée]]))-MIN(FinNuit,data[[#This Row],[Hdébut corrigé]])
))</f>
        <v>0</v>
      </c>
      <c r="P89" s="44">
        <f>MAX(0,(MAX(0,(MIN(1,data[[#This Row],[Hfin corrigée]])-DebNuit))-MAX(0,(data[[#This Row],[Hdébut corrigé]]-DebNuit))))</f>
        <v>0</v>
      </c>
      <c r="Q89" s="138" t="str">
        <f>IF(OR(WEEKDAY(data[[#This Row],[Date]]+data[[#This Row],[Hfin corrigée]],2)=7,COUNTIF(JF,INT(data[[#This Row],[Date]]+data[[#This Row],[Hfin corrigée]]))=1),"oui","non")</f>
        <v>oui</v>
      </c>
      <c r="R89" s="44">
        <f>MAX(0,data[[#This Row],[Hfin corrigée]]-MAX(1,data[[#This Row],[Hdébut corrigé]]))-data[[#This Row],[NUIT2.1]]-data[[#This Row],[NUIT2.2]]</f>
        <v>0</v>
      </c>
      <c r="S89" s="44">
        <f>MAX(0,MIN(1+FinNuit,data[[#This Row],[Hfin corrigée]])-MAX(1,data[[#This Row],[Hdébut corrigé]]))</f>
        <v>0</v>
      </c>
      <c r="T89" s="44">
        <f>MAX(0,(data[[#This Row],[Hfin corrigée]]-DebNuit-1))</f>
        <v>0</v>
      </c>
      <c r="U89" s="45">
        <f>IF(data[[#This Row],[Garde / Interv.]]="Intervention",MAX(0,data[[#This Row],[Hfin corrigée]]-SUMPRODUCT((data[Date]=data[[#This Row],[Date]])*(data[Garde / Interv.]="Garde")*data[Hfin corrigée])),0)</f>
        <v>0</v>
      </c>
      <c r="V8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89" s="44">
        <f>MAX(0,IF(data[[#This Row],[Garde / Interv.]]="Intervention",(data[[#This Row],[Fin Dim ou Férié]]="non")*data[[#This Row],[JOUR2]]+(data[[#This Row],[Début Dim ou Férié]]="non")*data[[#This Row],[JOUR1]],0))</f>
        <v>0</v>
      </c>
      <c r="X89" s="44">
        <f>IF(data[[#This Row],[Garde / Interv.]]="Intervention",(data[[#This Row],[Fin Dim ou Férié]]="oui")*data[[#This Row],[JOUR2]]+(data[[#This Row],[Début Dim ou Férié]]="oui")*data[[#This Row],[JOUR1]],0)</f>
        <v>6.25E-2</v>
      </c>
      <c r="Y89" s="44">
        <f>MAX(0,IF(data[[#This Row],[Garde / Interv.]]="Intervention",data[[#This Row],[NUIT1.1]]+data[[#This Row],[NUIT1.2]]+data[[#This Row],[NUIT2.1]]+data[[#This Row],[NUIT2.2]],0))</f>
        <v>0</v>
      </c>
      <c r="Z89" s="165"/>
      <c r="AA89" s="44"/>
      <c r="AB89" s="44"/>
      <c r="AC89" s="44"/>
      <c r="AD89" s="44"/>
      <c r="AE89" s="44"/>
      <c r="AF89" s="44"/>
      <c r="AG89" s="44"/>
      <c r="AH89" s="44"/>
      <c r="AI89" s="44"/>
    </row>
    <row r="90" spans="1:35" x14ac:dyDescent="0.35">
      <c r="A90" s="64">
        <v>43593</v>
      </c>
      <c r="B90" s="122" t="str">
        <f>IF(data[[#This Row],[Hdébut garde]]&lt;&gt;"","Garde",IF(data[[#This Row],[Hdébut corrigé]]&lt;&gt;"","Intervention",""))</f>
        <v>Garde</v>
      </c>
      <c r="C90" s="79">
        <v>0.29166666666666669</v>
      </c>
      <c r="D90" s="56">
        <v>0.29166666666666669</v>
      </c>
      <c r="E90" s="47">
        <f>MAX(0,IF(data[[#This Row],[Garde / Interv.]]="Garde",data[[#This Row],[Hfin corrigée]]-data[[#This Row],[Hdébut corrigé]],0))</f>
        <v>1</v>
      </c>
      <c r="F90" s="80"/>
      <c r="G90" s="57"/>
      <c r="H90" s="58"/>
      <c r="I90" s="59"/>
      <c r="J90" s="60"/>
      <c r="K90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9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90" s="138" t="str">
        <f>IF(OR(WEEKDAY(data[[#This Row],[Date]],2)=7,COUNTIF(JF,data[[#This Row],[Date]])=1),"oui","non")</f>
        <v>oui</v>
      </c>
      <c r="N90" s="44">
        <f>MAX(0,(MIN(1,data[[#This Row],[Hfin corrigée]])-data[[#This Row],[Hdébut corrigé]])-data[[#This Row],[NUIT1.1]]-data[[#This Row],[NUIT1.2]])</f>
        <v>0.62499999999999989</v>
      </c>
      <c r="O90" s="44">
        <f>IF(data[[#This Row],[Hfin Interv.]]="",0,(
MIN(FinNuit,MIN(1,data[[#This Row],[Hfin corrigée]]))-MIN(FinNuit,data[[#This Row],[Hdébut corrigé]])
))</f>
        <v>0</v>
      </c>
      <c r="P90" s="44">
        <f>MAX(0,(MAX(0,(MIN(1,data[[#This Row],[Hfin corrigée]])-DebNuit))-MAX(0,(data[[#This Row],[Hdébut corrigé]]-DebNuit))))</f>
        <v>8.333333333333337E-2</v>
      </c>
      <c r="Q90" s="138" t="str">
        <f>IF(OR(WEEKDAY(data[[#This Row],[Date]]+data[[#This Row],[Hfin corrigée]],2)=7,COUNTIF(JF,INT(data[[#This Row],[Date]]+data[[#This Row],[Hfin corrigée]]))=1),"oui","non")</f>
        <v>non</v>
      </c>
      <c r="R90" s="44">
        <f>MAX(0,data[[#This Row],[Hfin corrigée]]-MAX(1,data[[#This Row],[Hdébut corrigé]]))-data[[#This Row],[NUIT2.1]]-data[[#This Row],[NUIT2.2]]</f>
        <v>0</v>
      </c>
      <c r="S90" s="44">
        <f>MAX(0,MIN(1+FinNuit,data[[#This Row],[Hfin corrigée]])-MAX(1,data[[#This Row],[Hdébut corrigé]]))</f>
        <v>0.29166666666666674</v>
      </c>
      <c r="T90" s="44">
        <f>MAX(0,(data[[#This Row],[Hfin corrigée]]-DebNuit-1))</f>
        <v>0</v>
      </c>
      <c r="U90" s="45">
        <f>IF(data[[#This Row],[Garde / Interv.]]="Intervention",MAX(0,data[[#This Row],[Hfin corrigée]]-SUMPRODUCT((data[Date]=data[[#This Row],[Date]])*(data[Garde / Interv.]="Garde")*data[Hfin corrigée])),0)</f>
        <v>0</v>
      </c>
      <c r="V9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0.86527777777777781</v>
      </c>
      <c r="W90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0" s="44">
        <f>IF(data[[#This Row],[Garde / Interv.]]="Intervention",(data[[#This Row],[Fin Dim ou Férié]]="oui")*data[[#This Row],[JOUR2]]+(data[[#This Row],[Début Dim ou Férié]]="oui")*data[[#This Row],[JOUR1]],0)</f>
        <v>0</v>
      </c>
      <c r="Y90" s="44">
        <f>MAX(0,IF(data[[#This Row],[Garde / Interv.]]="Intervention",data[[#This Row],[NUIT1.1]]+data[[#This Row],[NUIT1.2]]+data[[#This Row],[NUIT2.1]]+data[[#This Row],[NUIT2.2]],0))</f>
        <v>0</v>
      </c>
      <c r="Z90" s="165"/>
      <c r="AA90" s="44"/>
      <c r="AB90" s="44"/>
      <c r="AC90" s="44"/>
      <c r="AD90" s="44"/>
      <c r="AE90" s="44"/>
      <c r="AF90" s="44"/>
      <c r="AG90" s="44"/>
      <c r="AH90" s="44"/>
      <c r="AI90" s="44"/>
    </row>
    <row r="91" spans="1:35" x14ac:dyDescent="0.35">
      <c r="A91" s="64">
        <v>43593</v>
      </c>
      <c r="B91" s="122" t="str">
        <f>IF(data[[#This Row],[Hdébut garde]]&lt;&gt;"","Garde",IF(data[[#This Row],[Hdébut corrigé]]&lt;&gt;"","Intervention",""))</f>
        <v>Intervention</v>
      </c>
      <c r="C91" s="79"/>
      <c r="D91" s="56"/>
      <c r="E91" s="47">
        <f>MAX(0,IF(data[[#This Row],[Garde / Interv.]]="Garde",data[[#This Row],[Hfin corrigée]]-data[[#This Row],[Hdébut corrigé]],0))</f>
        <v>0</v>
      </c>
      <c r="F91" s="80"/>
      <c r="G91" s="57"/>
      <c r="H91" s="58"/>
      <c r="I91" s="59">
        <v>0.3743055555555555</v>
      </c>
      <c r="J91" s="60">
        <v>0.39583333333333331</v>
      </c>
      <c r="K91" s="42">
        <f>IF(data[[#This Row],[Hdébut garde]]&lt;&gt;"",
data[[#This Row],[Hdébut garde]],
data[[#This Row],[Hdébut interv.]]+IF(data[[#This Row],[Hdébut interv.]]&lt;SUMPRODUCT((data[Date]=data[[#This Row],[Date]])*data[Hdébut garde]),1,0)
)</f>
        <v>0.3743055555555555</v>
      </c>
      <c r="L9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0.39583333333333331</v>
      </c>
      <c r="M91" s="138" t="str">
        <f>IF(OR(WEEKDAY(data[[#This Row],[Date]],2)=7,COUNTIF(JF,data[[#This Row],[Date]])=1),"oui","non")</f>
        <v>oui</v>
      </c>
      <c r="N91" s="44">
        <f>MAX(0,(MIN(1,data[[#This Row],[Hfin corrigée]])-data[[#This Row],[Hdébut corrigé]])-data[[#This Row],[NUIT1.1]]-data[[#This Row],[NUIT1.2]])</f>
        <v>2.1527777777777812E-2</v>
      </c>
      <c r="O91" s="44">
        <f>IF(data[[#This Row],[Hfin Interv.]]="",0,(
MIN(FinNuit,MIN(1,data[[#This Row],[Hfin corrigée]]))-MIN(FinNuit,data[[#This Row],[Hdébut corrigé]])
))</f>
        <v>0</v>
      </c>
      <c r="P91" s="44">
        <f>MAX(0,(MAX(0,(MIN(1,data[[#This Row],[Hfin corrigée]])-DebNuit))-MAX(0,(data[[#This Row],[Hdébut corrigé]]-DebNuit))))</f>
        <v>0</v>
      </c>
      <c r="Q91" s="138" t="str">
        <f>IF(OR(WEEKDAY(data[[#This Row],[Date]]+data[[#This Row],[Hfin corrigée]],2)=7,COUNTIF(JF,INT(data[[#This Row],[Date]]+data[[#This Row],[Hfin corrigée]]))=1),"oui","non")</f>
        <v>oui</v>
      </c>
      <c r="R91" s="44">
        <f>MAX(0,data[[#This Row],[Hfin corrigée]]-MAX(1,data[[#This Row],[Hdébut corrigé]]))-data[[#This Row],[NUIT2.1]]-data[[#This Row],[NUIT2.2]]</f>
        <v>0</v>
      </c>
      <c r="S91" s="44">
        <f>MAX(0,MIN(1+FinNuit,data[[#This Row],[Hfin corrigée]])-MAX(1,data[[#This Row],[Hdébut corrigé]]))</f>
        <v>0</v>
      </c>
      <c r="T91" s="44">
        <f>MAX(0,(data[[#This Row],[Hfin corrigée]]-DebNuit-1))</f>
        <v>0</v>
      </c>
      <c r="U91" s="45">
        <f>IF(data[[#This Row],[Garde / Interv.]]="Intervention",MAX(0,data[[#This Row],[Hfin corrigée]]-SUMPRODUCT((data[Date]=data[[#This Row],[Date]])*(data[Garde / Interv.]="Garde")*data[Hfin corrigée])),0)</f>
        <v>0</v>
      </c>
      <c r="V9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1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1" s="44">
        <f>IF(data[[#This Row],[Garde / Interv.]]="Intervention",(data[[#This Row],[Fin Dim ou Férié]]="oui")*data[[#This Row],[JOUR2]]+(data[[#This Row],[Début Dim ou Férié]]="oui")*data[[#This Row],[JOUR1]],0)</f>
        <v>2.1527777777777812E-2</v>
      </c>
      <c r="Y91" s="44">
        <f>MAX(0,IF(data[[#This Row],[Garde / Interv.]]="Intervention",data[[#This Row],[NUIT1.1]]+data[[#This Row],[NUIT1.2]]+data[[#This Row],[NUIT2.1]]+data[[#This Row],[NUIT2.2]],0))</f>
        <v>0</v>
      </c>
      <c r="Z91" s="165"/>
      <c r="AA91" s="44"/>
      <c r="AB91" s="44"/>
      <c r="AC91" s="44"/>
      <c r="AD91" s="44"/>
      <c r="AE91" s="44"/>
      <c r="AF91" s="44"/>
      <c r="AG91" s="44"/>
      <c r="AH91" s="44"/>
      <c r="AI91" s="44"/>
    </row>
    <row r="92" spans="1:35" x14ac:dyDescent="0.35">
      <c r="A92" s="64">
        <v>43593</v>
      </c>
      <c r="B92" s="122" t="str">
        <f>IF(data[[#This Row],[Hdébut garde]]&lt;&gt;"","Garde",IF(data[[#This Row],[Hdébut corrigé]]&lt;&gt;"","Intervention",""))</f>
        <v>Intervention</v>
      </c>
      <c r="C92" s="79"/>
      <c r="D92" s="56"/>
      <c r="E92" s="47">
        <f>MAX(0,IF(data[[#This Row],[Garde / Interv.]]="Garde",data[[#This Row],[Hfin corrigée]]-data[[#This Row],[Hdébut corrigé]],0))</f>
        <v>0</v>
      </c>
      <c r="F92" s="80"/>
      <c r="G92" s="57"/>
      <c r="H92" s="58"/>
      <c r="I92" s="59">
        <v>0.67708333333333337</v>
      </c>
      <c r="J92" s="60">
        <v>0.7416666666666667</v>
      </c>
      <c r="K92" s="42">
        <f>IF(data[[#This Row],[Hdébut garde]]&lt;&gt;"",
data[[#This Row],[Hdébut garde]],
data[[#This Row],[Hdébut interv.]]+IF(data[[#This Row],[Hdébut interv.]]&lt;SUMPRODUCT((data[Date]=data[[#This Row],[Date]])*data[Hdébut garde]),1,0)
)</f>
        <v>0.67708333333333337</v>
      </c>
      <c r="L92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0.7416666666666667</v>
      </c>
      <c r="M92" s="138" t="str">
        <f>IF(OR(WEEKDAY(data[[#This Row],[Date]],2)=7,COUNTIF(JF,data[[#This Row],[Date]])=1),"oui","non")</f>
        <v>oui</v>
      </c>
      <c r="N92" s="44">
        <f>MAX(0,(MIN(1,data[[#This Row],[Hfin corrigée]])-data[[#This Row],[Hdébut corrigé]])-data[[#This Row],[NUIT1.1]]-data[[#This Row],[NUIT1.2]])</f>
        <v>6.4583333333333326E-2</v>
      </c>
      <c r="O92" s="44">
        <f>IF(data[[#This Row],[Hfin Interv.]]="",0,(
MIN(FinNuit,MIN(1,data[[#This Row],[Hfin corrigée]]))-MIN(FinNuit,data[[#This Row],[Hdébut corrigé]])
))</f>
        <v>0</v>
      </c>
      <c r="P92" s="44">
        <f>MAX(0,(MAX(0,(MIN(1,data[[#This Row],[Hfin corrigée]])-DebNuit))-MAX(0,(data[[#This Row],[Hdébut corrigé]]-DebNuit))))</f>
        <v>0</v>
      </c>
      <c r="Q92" s="138" t="str">
        <f>IF(OR(WEEKDAY(data[[#This Row],[Date]]+data[[#This Row],[Hfin corrigée]],2)=7,COUNTIF(JF,INT(data[[#This Row],[Date]]+data[[#This Row],[Hfin corrigée]]))=1),"oui","non")</f>
        <v>oui</v>
      </c>
      <c r="R92" s="44">
        <f>MAX(0,data[[#This Row],[Hfin corrigée]]-MAX(1,data[[#This Row],[Hdébut corrigé]]))-data[[#This Row],[NUIT2.1]]-data[[#This Row],[NUIT2.2]]</f>
        <v>0</v>
      </c>
      <c r="S92" s="44">
        <f>MAX(0,MIN(1+FinNuit,data[[#This Row],[Hfin corrigée]])-MAX(1,data[[#This Row],[Hdébut corrigé]]))</f>
        <v>0</v>
      </c>
      <c r="T92" s="44">
        <f>MAX(0,(data[[#This Row],[Hfin corrigée]]-DebNuit-1))</f>
        <v>0</v>
      </c>
      <c r="U92" s="45">
        <f>IF(data[[#This Row],[Garde / Interv.]]="Intervention",MAX(0,data[[#This Row],[Hfin corrigée]]-SUMPRODUCT((data[Date]=data[[#This Row],[Date]])*(data[Garde / Interv.]="Garde")*data[Hfin corrigée])),0)</f>
        <v>0</v>
      </c>
      <c r="V92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2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2" s="44">
        <f>IF(data[[#This Row],[Garde / Interv.]]="Intervention",(data[[#This Row],[Fin Dim ou Férié]]="oui")*data[[#This Row],[JOUR2]]+(data[[#This Row],[Début Dim ou Férié]]="oui")*data[[#This Row],[JOUR1]],0)</f>
        <v>6.4583333333333326E-2</v>
      </c>
      <c r="Y92" s="44">
        <f>MAX(0,IF(data[[#This Row],[Garde / Interv.]]="Intervention",data[[#This Row],[NUIT1.1]]+data[[#This Row],[NUIT1.2]]+data[[#This Row],[NUIT2.1]]+data[[#This Row],[NUIT2.2]],0))</f>
        <v>0</v>
      </c>
      <c r="Z92" s="165"/>
      <c r="AA92" s="44"/>
      <c r="AB92" s="44"/>
      <c r="AC92" s="44"/>
      <c r="AD92" s="44"/>
      <c r="AE92" s="44"/>
      <c r="AF92" s="44"/>
      <c r="AG92" s="44"/>
      <c r="AH92" s="44"/>
      <c r="AI92" s="44"/>
    </row>
    <row r="93" spans="1:35" x14ac:dyDescent="0.35">
      <c r="A93" s="64">
        <v>43593</v>
      </c>
      <c r="B93" s="122" t="str">
        <f>IF(data[[#This Row],[Hdébut garde]]&lt;&gt;"","Garde",IF(data[[#This Row],[Hdébut corrigé]]&lt;&gt;"","Intervention",""))</f>
        <v>Intervention</v>
      </c>
      <c r="C93" s="79"/>
      <c r="D93" s="56"/>
      <c r="E93" s="47">
        <f>MAX(0,IF(data[[#This Row],[Garde / Interv.]]="Garde",data[[#This Row],[Hfin corrigée]]-data[[#This Row],[Hdébut corrigé]],0))</f>
        <v>0</v>
      </c>
      <c r="F93" s="80"/>
      <c r="G93" s="57"/>
      <c r="H93" s="58"/>
      <c r="I93" s="59">
        <v>0.9819444444444444</v>
      </c>
      <c r="J93" s="60">
        <v>3.0555555555555555E-2</v>
      </c>
      <c r="K93" s="42">
        <f>IF(data[[#This Row],[Hdébut garde]]&lt;&gt;"",
data[[#This Row],[Hdébut garde]],
data[[#This Row],[Hdébut interv.]]+IF(data[[#This Row],[Hdébut interv.]]&lt;SUMPRODUCT((data[Date]=data[[#This Row],[Date]])*data[Hdébut garde]),1,0)
)</f>
        <v>0.9819444444444444</v>
      </c>
      <c r="L93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1.0305555555555554</v>
      </c>
      <c r="M93" s="138" t="str">
        <f>IF(OR(WEEKDAY(data[[#This Row],[Date]],2)=7,COUNTIF(JF,data[[#This Row],[Date]])=1),"oui","non")</f>
        <v>oui</v>
      </c>
      <c r="N93" s="44">
        <f>MAX(0,(MIN(1,data[[#This Row],[Hfin corrigée]])-data[[#This Row],[Hdébut corrigé]])-data[[#This Row],[NUIT1.1]]-data[[#This Row],[NUIT1.2]])</f>
        <v>0</v>
      </c>
      <c r="O93" s="44">
        <f>IF(data[[#This Row],[Hfin Interv.]]="",0,(
MIN(FinNuit,MIN(1,data[[#This Row],[Hfin corrigée]]))-MIN(FinNuit,data[[#This Row],[Hdébut corrigé]])
))</f>
        <v>0</v>
      </c>
      <c r="P93" s="44">
        <f>MAX(0,(MAX(0,(MIN(1,data[[#This Row],[Hfin corrigée]])-DebNuit))-MAX(0,(data[[#This Row],[Hdébut corrigé]]-DebNuit))))</f>
        <v>1.8055555555555602E-2</v>
      </c>
      <c r="Q93" s="138" t="str">
        <f>IF(OR(WEEKDAY(data[[#This Row],[Date]]+data[[#This Row],[Hfin corrigée]],2)=7,COUNTIF(JF,INT(data[[#This Row],[Date]]+data[[#This Row],[Hfin corrigée]]))=1),"oui","non")</f>
        <v>non</v>
      </c>
      <c r="R93" s="44">
        <f>MAX(0,data[[#This Row],[Hfin corrigée]]-MAX(1,data[[#This Row],[Hdébut corrigé]]))-data[[#This Row],[NUIT2.1]]-data[[#This Row],[NUIT2.2]]</f>
        <v>0</v>
      </c>
      <c r="S93" s="44">
        <f>MAX(0,MIN(1+FinNuit,data[[#This Row],[Hfin corrigée]])-MAX(1,data[[#This Row],[Hdébut corrigé]]))</f>
        <v>3.0555555555555447E-2</v>
      </c>
      <c r="T93" s="44">
        <f>MAX(0,(data[[#This Row],[Hfin corrigée]]-DebNuit-1))</f>
        <v>0</v>
      </c>
      <c r="U93" s="45">
        <f>IF(data[[#This Row],[Garde / Interv.]]="Intervention",MAX(0,data[[#This Row],[Hfin corrigée]]-SUMPRODUCT((data[Date]=data[[#This Row],[Date]])*(data[Garde / Interv.]="Garde")*data[Hfin corrigée])),0)</f>
        <v>0</v>
      </c>
      <c r="V93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3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3" s="44">
        <f>IF(data[[#This Row],[Garde / Interv.]]="Intervention",(data[[#This Row],[Fin Dim ou Férié]]="oui")*data[[#This Row],[JOUR2]]+(data[[#This Row],[Début Dim ou Férié]]="oui")*data[[#This Row],[JOUR1]],0)</f>
        <v>0</v>
      </c>
      <c r="Y93" s="44">
        <f>MAX(0,IF(data[[#This Row],[Garde / Interv.]]="Intervention",data[[#This Row],[NUIT1.1]]+data[[#This Row],[NUIT1.2]]+data[[#This Row],[NUIT2.1]]+data[[#This Row],[NUIT2.2]],0))</f>
        <v>4.8611111111111049E-2</v>
      </c>
      <c r="Z93" s="165"/>
      <c r="AA93" s="44"/>
      <c r="AB93" s="44"/>
      <c r="AC93" s="44"/>
      <c r="AD93" s="44"/>
      <c r="AE93" s="44"/>
      <c r="AF93" s="44"/>
      <c r="AG93" s="44"/>
      <c r="AH93" s="44"/>
      <c r="AI93" s="44"/>
    </row>
    <row r="94" spans="1:35" x14ac:dyDescent="0.35">
      <c r="A94" s="64">
        <v>43596</v>
      </c>
      <c r="B94" s="122" t="str">
        <f>IF(data[[#This Row],[Hdébut garde]]&lt;&gt;"","Garde",IF(data[[#This Row],[Hdébut corrigé]]&lt;&gt;"","Intervention",""))</f>
        <v>Garde</v>
      </c>
      <c r="C94" s="79">
        <v>0.29166666666666669</v>
      </c>
      <c r="D94" s="56">
        <v>0.29166666666666669</v>
      </c>
      <c r="E94" s="47">
        <f>MAX(0,IF(data[[#This Row],[Garde / Interv.]]="Garde",data[[#This Row],[Hfin corrigée]]-data[[#This Row],[Hdébut corrigé]],0))</f>
        <v>1</v>
      </c>
      <c r="F94" s="80"/>
      <c r="G94" s="57"/>
      <c r="H94" s="58"/>
      <c r="I94" s="59"/>
      <c r="J94" s="60"/>
      <c r="K94" s="42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94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1.2916666666666667</v>
      </c>
      <c r="M94" s="138" t="str">
        <f>IF(OR(WEEKDAY(data[[#This Row],[Date]],2)=7,COUNTIF(JF,data[[#This Row],[Date]])=1),"oui","non")</f>
        <v>non</v>
      </c>
      <c r="N94" s="44">
        <f>MAX(0,(MIN(1,data[[#This Row],[Hfin corrigée]])-data[[#This Row],[Hdébut corrigé]])-data[[#This Row],[NUIT1.1]]-data[[#This Row],[NUIT1.2]])</f>
        <v>0.62499999999999989</v>
      </c>
      <c r="O94" s="44">
        <f>IF(data[[#This Row],[Hfin Interv.]]="",0,(
MIN(FinNuit,MIN(1,data[[#This Row],[Hfin corrigée]]))-MIN(FinNuit,data[[#This Row],[Hdébut corrigé]])
))</f>
        <v>0</v>
      </c>
      <c r="P94" s="44">
        <f>MAX(0,(MAX(0,(MIN(1,data[[#This Row],[Hfin corrigée]])-DebNuit))-MAX(0,(data[[#This Row],[Hdébut corrigé]]-DebNuit))))</f>
        <v>8.333333333333337E-2</v>
      </c>
      <c r="Q94" s="138" t="str">
        <f>IF(OR(WEEKDAY(data[[#This Row],[Date]]+data[[#This Row],[Hfin corrigée]],2)=7,COUNTIF(JF,INT(data[[#This Row],[Date]]+data[[#This Row],[Hfin corrigée]]))=1),"oui","non")</f>
        <v>oui</v>
      </c>
      <c r="R94" s="44">
        <f>MAX(0,data[[#This Row],[Hfin corrigée]]-MAX(1,data[[#This Row],[Hdébut corrigé]]))-data[[#This Row],[NUIT2.1]]-data[[#This Row],[NUIT2.2]]</f>
        <v>0</v>
      </c>
      <c r="S94" s="44">
        <f>MAX(0,MIN(1+FinNuit,data[[#This Row],[Hfin corrigée]])-MAX(1,data[[#This Row],[Hdébut corrigé]]))</f>
        <v>0.29166666666666674</v>
      </c>
      <c r="T94" s="44">
        <f>MAX(0,(data[[#This Row],[Hfin corrigée]]-DebNuit-1))</f>
        <v>0</v>
      </c>
      <c r="U94" s="45">
        <f>IF(data[[#This Row],[Garde / Interv.]]="Intervention",MAX(0,data[[#This Row],[Hfin corrigée]]-SUMPRODUCT((data[Date]=data[[#This Row],[Date]])*(data[Garde / Interv.]="Garde")*data[Hfin corrigée])),0)</f>
        <v>0</v>
      </c>
      <c r="V94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0.9458333333333333</v>
      </c>
      <c r="W94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4" s="44">
        <f>IF(data[[#This Row],[Garde / Interv.]]="Intervention",(data[[#This Row],[Fin Dim ou Férié]]="oui")*data[[#This Row],[JOUR2]]+(data[[#This Row],[Début Dim ou Férié]]="oui")*data[[#This Row],[JOUR1]],0)</f>
        <v>0</v>
      </c>
      <c r="Y94" s="44">
        <f>MAX(0,IF(data[[#This Row],[Garde / Interv.]]="Intervention",data[[#This Row],[NUIT1.1]]+data[[#This Row],[NUIT1.2]]+data[[#This Row],[NUIT2.1]]+data[[#This Row],[NUIT2.2]],0))</f>
        <v>0</v>
      </c>
      <c r="Z94" s="165"/>
      <c r="AA94" s="44"/>
      <c r="AB94" s="44"/>
      <c r="AC94" s="44"/>
      <c r="AD94" s="44"/>
      <c r="AE94" s="44"/>
      <c r="AF94" s="44"/>
      <c r="AG94" s="44"/>
      <c r="AH94" s="44"/>
      <c r="AI94" s="44"/>
    </row>
    <row r="95" spans="1:35" s="150" customFormat="1" x14ac:dyDescent="0.35">
      <c r="A95" s="140">
        <v>43596</v>
      </c>
      <c r="B95" s="141" t="str">
        <f>IF(data[[#This Row],[Hdébut garde]]&lt;&gt;"","Garde",IF(data[[#This Row],[Hdébut corrigé]]&lt;&gt;"","Intervention",""))</f>
        <v>Intervention</v>
      </c>
      <c r="C95" s="79"/>
      <c r="D95" s="142"/>
      <c r="E95" s="143">
        <f>MAX(0,IF(data[[#This Row],[Garde / Interv.]]="Garde",data[[#This Row],[Hfin corrigée]]-data[[#This Row],[Hdébut corrigé]],0))</f>
        <v>0</v>
      </c>
      <c r="F95" s="80"/>
      <c r="G95" s="144"/>
      <c r="H95" s="145"/>
      <c r="I95" s="59">
        <v>0.4284722222222222</v>
      </c>
      <c r="J95" s="146">
        <v>0.4826388888888889</v>
      </c>
      <c r="K95" s="147">
        <f>IF(data[[#This Row],[Hdébut garde]]&lt;&gt;"",
data[[#This Row],[Hdébut garde]],
data[[#This Row],[Hdébut interv.]]+IF(data[[#This Row],[Hdébut interv.]]&lt;SUMPRODUCT((data[Date]=data[[#This Row],[Date]])*data[Hdébut garde]),1,0)
)</f>
        <v>0.4284722222222222</v>
      </c>
      <c r="L95" s="147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0.4826388888888889</v>
      </c>
      <c r="M95" s="148" t="str">
        <f>IF(OR(WEEKDAY(data[[#This Row],[Date]],2)=7,COUNTIF(JF,data[[#This Row],[Date]])=1),"oui","non")</f>
        <v>non</v>
      </c>
      <c r="N95" s="149">
        <f>MAX(0,(MIN(1,data[[#This Row],[Hfin corrigée]])-data[[#This Row],[Hdébut corrigé]])-data[[#This Row],[NUIT1.1]]-data[[#This Row],[NUIT1.2]])</f>
        <v>5.4166666666666696E-2</v>
      </c>
      <c r="O95" s="149">
        <f>IF(data[[#This Row],[Hfin Interv.]]="",0,(
MIN(FinNuit,MIN(1,data[[#This Row],[Hfin corrigée]]))-MIN(FinNuit,data[[#This Row],[Hdébut corrigé]])
))</f>
        <v>0</v>
      </c>
      <c r="P95" s="149">
        <f>MAX(0,(MAX(0,(MIN(1,data[[#This Row],[Hfin corrigée]])-DebNuit))-MAX(0,(data[[#This Row],[Hdébut corrigé]]-DebNuit))))</f>
        <v>0</v>
      </c>
      <c r="Q95" s="148" t="str">
        <f>IF(OR(WEEKDAY(data[[#This Row],[Date]]+data[[#This Row],[Hfin corrigée]],2)=7,COUNTIF(JF,INT(data[[#This Row],[Date]]+data[[#This Row],[Hfin corrigée]]))=1),"oui","non")</f>
        <v>non</v>
      </c>
      <c r="R95" s="149">
        <f>MAX(0,data[[#This Row],[Hfin corrigée]]-MAX(1,data[[#This Row],[Hdébut corrigé]]))-data[[#This Row],[NUIT2.1]]-data[[#This Row],[NUIT2.2]]</f>
        <v>0</v>
      </c>
      <c r="S95" s="149">
        <f>MAX(0,MIN(1+FinNuit,data[[#This Row],[Hfin corrigée]])-MAX(1,data[[#This Row],[Hdébut corrigé]]))</f>
        <v>0</v>
      </c>
      <c r="T95" s="149">
        <f>MAX(0,(data[[#This Row],[Hfin corrigée]]-DebNuit-1))</f>
        <v>0</v>
      </c>
      <c r="U95" s="45">
        <f>IF(data[[#This Row],[Garde / Interv.]]="Intervention",MAX(0,data[[#This Row],[Hfin corrigée]]-SUMPRODUCT((data[Date]=data[[#This Row],[Date]])*(data[Garde / Interv.]="Garde")*data[Hfin corrigée])),0)</f>
        <v>0</v>
      </c>
      <c r="V95" s="149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5" s="149">
        <f>MAX(0,IF(data[[#This Row],[Garde / Interv.]]="Intervention",(data[[#This Row],[Fin Dim ou Férié]]="non")*data[[#This Row],[JOUR2]]+(data[[#This Row],[Début Dim ou Férié]]="non")*data[[#This Row],[JOUR1]],0))</f>
        <v>5.4166666666666696E-2</v>
      </c>
      <c r="X95" s="149">
        <f>IF(data[[#This Row],[Garde / Interv.]]="Intervention",(data[[#This Row],[Fin Dim ou Férié]]="oui")*data[[#This Row],[JOUR2]]+(data[[#This Row],[Début Dim ou Férié]]="oui")*data[[#This Row],[JOUR1]],0)</f>
        <v>0</v>
      </c>
      <c r="Y95" s="149">
        <f>MAX(0,IF(data[[#This Row],[Garde / Interv.]]="Intervention",data[[#This Row],[NUIT1.1]]+data[[#This Row],[NUIT1.2]]+data[[#This Row],[NUIT2.1]]+data[[#This Row],[NUIT2.2]],0))</f>
        <v>0</v>
      </c>
      <c r="Z95" s="165"/>
      <c r="AA95" s="149"/>
      <c r="AB95" s="149"/>
      <c r="AC95" s="149"/>
      <c r="AD95" s="149"/>
      <c r="AE95" s="149"/>
      <c r="AF95" s="149"/>
      <c r="AG95" s="149"/>
      <c r="AH95" s="149"/>
      <c r="AI95" s="149"/>
    </row>
    <row r="96" spans="1:35" s="137" customFormat="1" ht="15" thickBot="1" x14ac:dyDescent="0.4">
      <c r="A96" s="123">
        <v>43611</v>
      </c>
      <c r="B96" s="124" t="str">
        <f>IF(data[[#This Row],[Hdébut garde]]&lt;&gt;"","Garde",IF(data[[#This Row],[Hdébut corrigé]]&lt;&gt;"","Intervention",""))</f>
        <v>Garde</v>
      </c>
      <c r="C96" s="125">
        <v>0.29166666666666669</v>
      </c>
      <c r="D96" s="126">
        <v>0.79166666666666663</v>
      </c>
      <c r="E96" s="127">
        <f>MAX(0,IF(data[[#This Row],[Garde / Interv.]]="Garde",data[[#This Row],[Hfin corrigée]]-data[[#This Row],[Hdébut corrigé]],0))</f>
        <v>0.49999999999999994</v>
      </c>
      <c r="F96" s="128"/>
      <c r="G96" s="129"/>
      <c r="H96" s="130"/>
      <c r="I96" s="131"/>
      <c r="J96" s="132"/>
      <c r="K96" s="133">
        <f>IF(data[[#This Row],[Hdébut garde]]&lt;&gt;"",
data[[#This Row],[Hdébut garde]],
data[[#This Row],[Hdébut interv.]]+IF(data[[#This Row],[Hdébut interv.]]&lt;SUMPRODUCT((data[Date]=data[[#This Row],[Date]])*data[Hdébut garde]),1,0)
)</f>
        <v>0.29166666666666669</v>
      </c>
      <c r="L96" s="133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0.79166666666666663</v>
      </c>
      <c r="M96" s="139" t="str">
        <f>IF(OR(WEEKDAY(data[[#This Row],[Date]],2)=7,COUNTIF(JF,data[[#This Row],[Date]])=1),"oui","non")</f>
        <v>oui</v>
      </c>
      <c r="N96" s="135">
        <f>MAX(0,(MIN(1,data[[#This Row],[Hfin corrigée]])-data[[#This Row],[Hdébut corrigé]])-data[[#This Row],[NUIT1.1]]-data[[#This Row],[NUIT1.2]])</f>
        <v>0.49999999999999994</v>
      </c>
      <c r="O96" s="135">
        <f>IF(data[[#This Row],[Hfin Interv.]]="",0,(
MIN(FinNuit,MIN(1,data[[#This Row],[Hfin corrigée]]))-MIN(FinNuit,data[[#This Row],[Hdébut corrigé]])
))</f>
        <v>0</v>
      </c>
      <c r="P96" s="135">
        <f>MAX(0,(MAX(0,(MIN(1,data[[#This Row],[Hfin corrigée]])-DebNuit))-MAX(0,(data[[#This Row],[Hdébut corrigé]]-DebNuit))))</f>
        <v>0</v>
      </c>
      <c r="Q96" s="139" t="str">
        <f>IF(OR(WEEKDAY(data[[#This Row],[Date]]+data[[#This Row],[Hfin corrigée]],2)=7,COUNTIF(JF,INT(data[[#This Row],[Date]]+data[[#This Row],[Hfin corrigée]]))=1),"oui","non")</f>
        <v>oui</v>
      </c>
      <c r="R96" s="135">
        <f>MAX(0,data[[#This Row],[Hfin corrigée]]-MAX(1,data[[#This Row],[Hdébut corrigé]]))-data[[#This Row],[NUIT2.1]]-data[[#This Row],[NUIT2.2]]</f>
        <v>0</v>
      </c>
      <c r="S96" s="135">
        <f>MAX(0,MIN(1+FinNuit,data[[#This Row],[Hfin corrigée]])-MAX(1,data[[#This Row],[Hdébut corrigé]]))</f>
        <v>0</v>
      </c>
      <c r="T96" s="135">
        <f>MAX(0,(data[[#This Row],[Hfin corrigée]]-DebNuit-1))</f>
        <v>0</v>
      </c>
      <c r="U96" s="136">
        <f>IF(data[[#This Row],[Garde / Interv.]]="Intervention",MAX(0,data[[#This Row],[Hfin corrigée]]-SUMPRODUCT((data[Date]=data[[#This Row],[Date]])*(data[Garde / Interv.]="Garde")*data[Hfin corrigée])),0)</f>
        <v>0</v>
      </c>
      <c r="V96" s="13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0.49999999999999994</v>
      </c>
      <c r="W96" s="135">
        <f>MAX(0,IF(data[[#This Row],[Garde / Interv.]]="Intervention",(data[[#This Row],[Fin Dim ou Férié]]="non")*data[[#This Row],[JOUR2]]+(data[[#This Row],[Début Dim ou Férié]]="non")*data[[#This Row],[JOUR1]],0))</f>
        <v>0</v>
      </c>
      <c r="X96" s="135">
        <f>IF(data[[#This Row],[Garde / Interv.]]="Intervention",(data[[#This Row],[Fin Dim ou Férié]]="oui")*data[[#This Row],[JOUR2]]+(data[[#This Row],[Début Dim ou Férié]]="oui")*data[[#This Row],[JOUR1]],0)</f>
        <v>0</v>
      </c>
      <c r="Y96" s="135">
        <f>MAX(0,IF(data[[#This Row],[Garde / Interv.]]="Intervention",data[[#This Row],[NUIT1.1]]+data[[#This Row],[NUIT1.2]]+data[[#This Row],[NUIT2.1]]+data[[#This Row],[NUIT2.2]],0))</f>
        <v>0</v>
      </c>
      <c r="Z96" s="166"/>
      <c r="AA96" s="135"/>
      <c r="AB96" s="135"/>
      <c r="AC96" s="135"/>
      <c r="AD96" s="135"/>
      <c r="AE96" s="135"/>
      <c r="AF96" s="135"/>
      <c r="AG96" s="135"/>
      <c r="AH96" s="135"/>
      <c r="AI96" s="135"/>
    </row>
    <row r="97" spans="1:35" ht="15" thickTop="1" x14ac:dyDescent="0.35">
      <c r="A97" s="64"/>
      <c r="B97" s="122" t="str">
        <f>IF(data[[#This Row],[Hdébut garde]]&lt;&gt;"","Garde",IF(data[[#This Row],[Hdébut corrigé]]&lt;&gt;"","Intervention",""))</f>
        <v>Intervention</v>
      </c>
      <c r="C97" s="79"/>
      <c r="D97" s="56"/>
      <c r="E97" s="47">
        <f>MAX(0,IF(data[[#This Row],[Garde / Interv.]]="Garde",data[[#This Row],[Hfin corrigée]]-data[[#This Row],[Hdébut corrigé]],0))</f>
        <v>0</v>
      </c>
      <c r="F97" s="80"/>
      <c r="G97" s="57"/>
      <c r="H97" s="58"/>
      <c r="I97" s="59"/>
      <c r="J97" s="60"/>
      <c r="K97" s="42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L97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M97" s="138" t="str">
        <f>IF(OR(WEEKDAY(data[[#This Row],[Date]],2)=7,COUNTIF(JF,data[[#This Row],[Date]])=1),"oui","non")</f>
        <v>non</v>
      </c>
      <c r="N97" s="44">
        <f>MAX(0,(MIN(1,data[[#This Row],[Hfin corrigée]])-data[[#This Row],[Hdébut corrigé]])-data[[#This Row],[NUIT1.1]]-data[[#This Row],[NUIT1.2]])</f>
        <v>0</v>
      </c>
      <c r="O97" s="44">
        <f>IF(data[[#This Row],[Hfin Interv.]]="",0,(
MIN(FinNuit,MIN(1,data[[#This Row],[Hfin corrigée]]))-MIN(FinNuit,data[[#This Row],[Hdébut corrigé]])
))</f>
        <v>0</v>
      </c>
      <c r="P97" s="44">
        <f>MAX(0,(MAX(0,(MIN(1,data[[#This Row],[Hfin corrigée]])-DebNuit))-MAX(0,(data[[#This Row],[Hdébut corrigé]]-DebNuit))))</f>
        <v>0</v>
      </c>
      <c r="Q97" s="138" t="str">
        <f>IF(OR(WEEKDAY(data[[#This Row],[Date]]+data[[#This Row],[Hfin corrigée]],2)=7,COUNTIF(JF,INT(data[[#This Row],[Date]]+data[[#This Row],[Hfin corrigée]]))=1),"oui","non")</f>
        <v>non</v>
      </c>
      <c r="R97" s="44">
        <f>MAX(0,data[[#This Row],[Hfin corrigée]]-MAX(1,data[[#This Row],[Hdébut corrigé]]))-data[[#This Row],[NUIT2.1]]-data[[#This Row],[NUIT2.2]]</f>
        <v>0</v>
      </c>
      <c r="S97" s="44">
        <f>MAX(0,MIN(1+FinNuit,data[[#This Row],[Hfin corrigée]])-MAX(1,data[[#This Row],[Hdébut corrigé]]))</f>
        <v>0</v>
      </c>
      <c r="T97" s="44">
        <f>MAX(0,(data[[#This Row],[Hfin corrigée]]-DebNuit-1))</f>
        <v>0</v>
      </c>
      <c r="U97" s="45">
        <f>IF(data[[#This Row],[Garde / Interv.]]="Intervention",MAX(0,data[[#This Row],[Hfin corrigée]]-SUMPRODUCT((data[Date]=data[[#This Row],[Date]])*(data[Garde / Interv.]="Garde")*data[Hfin corrigée])),0)</f>
        <v>0</v>
      </c>
      <c r="V97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7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7" s="44">
        <f>IF(data[[#This Row],[Garde / Interv.]]="Intervention",(data[[#This Row],[Fin Dim ou Férié]]="oui")*data[[#This Row],[JOUR2]]+(data[[#This Row],[Début Dim ou Férié]]="oui")*data[[#This Row],[JOUR1]],0)</f>
        <v>0</v>
      </c>
      <c r="Y97" s="44">
        <f>MAX(0,IF(data[[#This Row],[Garde / Interv.]]="Intervention",data[[#This Row],[NUIT1.1]]+data[[#This Row],[NUIT1.2]]+data[[#This Row],[NUIT2.1]]+data[[#This Row],[NUIT2.2]],0))</f>
        <v>0</v>
      </c>
      <c r="Z97" s="165"/>
      <c r="AA97" s="44"/>
      <c r="AB97" s="44"/>
      <c r="AC97" s="44"/>
      <c r="AD97" s="44"/>
      <c r="AE97" s="44"/>
      <c r="AF97" s="44"/>
      <c r="AG97" s="44"/>
      <c r="AH97" s="44"/>
      <c r="AI97" s="44"/>
    </row>
    <row r="98" spans="1:35" x14ac:dyDescent="0.35">
      <c r="A98" s="64"/>
      <c r="B98" s="122" t="str">
        <f>IF(data[[#This Row],[Hdébut garde]]&lt;&gt;"","Garde",IF(data[[#This Row],[Hdébut corrigé]]&lt;&gt;"","Intervention",""))</f>
        <v>Intervention</v>
      </c>
      <c r="C98" s="79"/>
      <c r="D98" s="56"/>
      <c r="E98" s="47">
        <f>MAX(0,IF(data[[#This Row],[Garde / Interv.]]="Garde",data[[#This Row],[Hfin corrigée]]-data[[#This Row],[Hdébut corrigé]],0))</f>
        <v>0</v>
      </c>
      <c r="F98" s="80"/>
      <c r="G98" s="57"/>
      <c r="H98" s="58"/>
      <c r="I98" s="59"/>
      <c r="J98" s="60"/>
      <c r="K98" s="42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L98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M98" s="138" t="str">
        <f>IF(OR(WEEKDAY(data[[#This Row],[Date]],2)=7,COUNTIF(JF,data[[#This Row],[Date]])=1),"oui","non")</f>
        <v>non</v>
      </c>
      <c r="N98" s="44">
        <f>MAX(0,(MIN(1,data[[#This Row],[Hfin corrigée]])-data[[#This Row],[Hdébut corrigé]])-data[[#This Row],[NUIT1.1]]-data[[#This Row],[NUIT1.2]])</f>
        <v>0</v>
      </c>
      <c r="O98" s="44">
        <f>IF(data[[#This Row],[Hfin Interv.]]="",0,(
MIN(FinNuit,MIN(1,data[[#This Row],[Hfin corrigée]]))-MIN(FinNuit,data[[#This Row],[Hdébut corrigé]])
))</f>
        <v>0</v>
      </c>
      <c r="P98" s="44">
        <f>MAX(0,(MAX(0,(MIN(1,data[[#This Row],[Hfin corrigée]])-DebNuit))-MAX(0,(data[[#This Row],[Hdébut corrigé]]-DebNuit))))</f>
        <v>0</v>
      </c>
      <c r="Q98" s="138" t="str">
        <f>IF(OR(WEEKDAY(data[[#This Row],[Date]]+data[[#This Row],[Hfin corrigée]],2)=7,COUNTIF(JF,INT(data[[#This Row],[Date]]+data[[#This Row],[Hfin corrigée]]))=1),"oui","non")</f>
        <v>non</v>
      </c>
      <c r="R98" s="44">
        <f>MAX(0,data[[#This Row],[Hfin corrigée]]-MAX(1,data[[#This Row],[Hdébut corrigé]]))-data[[#This Row],[NUIT2.1]]-data[[#This Row],[NUIT2.2]]</f>
        <v>0</v>
      </c>
      <c r="S98" s="44">
        <f>MAX(0,MIN(1+FinNuit,data[[#This Row],[Hfin corrigée]])-MAX(1,data[[#This Row],[Hdébut corrigé]]))</f>
        <v>0</v>
      </c>
      <c r="T98" s="44">
        <f>MAX(0,(data[[#This Row],[Hfin corrigée]]-DebNuit-1))</f>
        <v>0</v>
      </c>
      <c r="U98" s="45">
        <f>IF(data[[#This Row],[Garde / Interv.]]="Intervention",MAX(0,data[[#This Row],[Hfin corrigée]]-SUMPRODUCT((data[Date]=data[[#This Row],[Date]])*(data[Garde / Interv.]="Garde")*data[Hfin corrigée])),0)</f>
        <v>0</v>
      </c>
      <c r="V98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8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8" s="44">
        <f>IF(data[[#This Row],[Garde / Interv.]]="Intervention",(data[[#This Row],[Fin Dim ou Férié]]="oui")*data[[#This Row],[JOUR2]]+(data[[#This Row],[Début Dim ou Férié]]="oui")*data[[#This Row],[JOUR1]],0)</f>
        <v>0</v>
      </c>
      <c r="Y98" s="44">
        <f>MAX(0,IF(data[[#This Row],[Garde / Interv.]]="Intervention",data[[#This Row],[NUIT1.1]]+data[[#This Row],[NUIT1.2]]+data[[#This Row],[NUIT2.1]]+data[[#This Row],[NUIT2.2]],0))</f>
        <v>0</v>
      </c>
      <c r="Z98" s="165"/>
      <c r="AA98" s="44"/>
      <c r="AB98" s="44"/>
      <c r="AC98" s="44"/>
      <c r="AD98" s="44"/>
      <c r="AE98" s="44"/>
      <c r="AF98" s="44"/>
      <c r="AG98" s="44"/>
      <c r="AH98" s="44"/>
      <c r="AI98" s="44"/>
    </row>
    <row r="99" spans="1:35" x14ac:dyDescent="0.35">
      <c r="A99" s="64"/>
      <c r="B99" s="122" t="str">
        <f>IF(data[[#This Row],[Hdébut garde]]&lt;&gt;"","Garde",IF(data[[#This Row],[Hdébut corrigé]]&lt;&gt;"","Intervention",""))</f>
        <v>Intervention</v>
      </c>
      <c r="C99" s="79"/>
      <c r="D99" s="56"/>
      <c r="E99" s="47">
        <f>MAX(0,IF(data[[#This Row],[Garde / Interv.]]="Garde",data[[#This Row],[Hfin corrigée]]-data[[#This Row],[Hdébut corrigé]],0))</f>
        <v>0</v>
      </c>
      <c r="F99" s="80"/>
      <c r="G99" s="57"/>
      <c r="H99" s="58"/>
      <c r="I99" s="59"/>
      <c r="J99" s="60"/>
      <c r="K99" s="42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L99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M99" s="138" t="str">
        <f>IF(OR(WEEKDAY(data[[#This Row],[Date]],2)=7,COUNTIF(JF,data[[#This Row],[Date]])=1),"oui","non")</f>
        <v>non</v>
      </c>
      <c r="N99" s="44">
        <f>MAX(0,(MIN(1,data[[#This Row],[Hfin corrigée]])-data[[#This Row],[Hdébut corrigé]])-data[[#This Row],[NUIT1.1]]-data[[#This Row],[NUIT1.2]])</f>
        <v>0</v>
      </c>
      <c r="O99" s="44">
        <f>IF(data[[#This Row],[Hfin Interv.]]="",0,(
MIN(FinNuit,MIN(1,data[[#This Row],[Hfin corrigée]]))-MIN(FinNuit,data[[#This Row],[Hdébut corrigé]])
))</f>
        <v>0</v>
      </c>
      <c r="P99" s="44">
        <f>MAX(0,(MAX(0,(MIN(1,data[[#This Row],[Hfin corrigée]])-DebNuit))-MAX(0,(data[[#This Row],[Hdébut corrigé]]-DebNuit))))</f>
        <v>0</v>
      </c>
      <c r="Q99" s="138" t="str">
        <f>IF(OR(WEEKDAY(data[[#This Row],[Date]]+data[[#This Row],[Hfin corrigée]],2)=7,COUNTIF(JF,INT(data[[#This Row],[Date]]+data[[#This Row],[Hfin corrigée]]))=1),"oui","non")</f>
        <v>non</v>
      </c>
      <c r="R99" s="44">
        <f>MAX(0,data[[#This Row],[Hfin corrigée]]-MAX(1,data[[#This Row],[Hdébut corrigé]]))-data[[#This Row],[NUIT2.1]]-data[[#This Row],[NUIT2.2]]</f>
        <v>0</v>
      </c>
      <c r="S99" s="44">
        <f>MAX(0,MIN(1+FinNuit,data[[#This Row],[Hfin corrigée]])-MAX(1,data[[#This Row],[Hdébut corrigé]]))</f>
        <v>0</v>
      </c>
      <c r="T99" s="44">
        <f>MAX(0,(data[[#This Row],[Hfin corrigée]]-DebNuit-1))</f>
        <v>0</v>
      </c>
      <c r="U99" s="45">
        <f>IF(data[[#This Row],[Garde / Interv.]]="Intervention",MAX(0,data[[#This Row],[Hfin corrigée]]-SUMPRODUCT((data[Date]=data[[#This Row],[Date]])*(data[Garde / Interv.]="Garde")*data[Hfin corrigée])),0)</f>
        <v>0</v>
      </c>
      <c r="V99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99" s="44">
        <f>MAX(0,IF(data[[#This Row],[Garde / Interv.]]="Intervention",(data[[#This Row],[Fin Dim ou Férié]]="non")*data[[#This Row],[JOUR2]]+(data[[#This Row],[Début Dim ou Férié]]="non")*data[[#This Row],[JOUR1]],0))</f>
        <v>0</v>
      </c>
      <c r="X99" s="44">
        <f>IF(data[[#This Row],[Garde / Interv.]]="Intervention",(data[[#This Row],[Fin Dim ou Férié]]="oui")*data[[#This Row],[JOUR2]]+(data[[#This Row],[Début Dim ou Férié]]="oui")*data[[#This Row],[JOUR1]],0)</f>
        <v>0</v>
      </c>
      <c r="Y99" s="44">
        <f>MAX(0,IF(data[[#This Row],[Garde / Interv.]]="Intervention",data[[#This Row],[NUIT1.1]]+data[[#This Row],[NUIT1.2]]+data[[#This Row],[NUIT2.1]]+data[[#This Row],[NUIT2.2]],0))</f>
        <v>0</v>
      </c>
      <c r="Z99" s="165"/>
      <c r="AA99" s="44"/>
      <c r="AB99" s="44"/>
      <c r="AC99" s="44"/>
      <c r="AD99" s="44"/>
      <c r="AE99" s="44"/>
      <c r="AF99" s="44"/>
      <c r="AG99" s="44"/>
      <c r="AH99" s="44"/>
      <c r="AI99" s="44"/>
    </row>
    <row r="100" spans="1:35" x14ac:dyDescent="0.35">
      <c r="A100" s="64"/>
      <c r="B100" s="122" t="str">
        <f>IF(data[[#This Row],[Hdébut garde]]&lt;&gt;"","Garde",IF(data[[#This Row],[Hdébut corrigé]]&lt;&gt;"","Intervention",""))</f>
        <v>Intervention</v>
      </c>
      <c r="C100" s="79"/>
      <c r="D100" s="56"/>
      <c r="E100" s="47">
        <f>MAX(0,IF(data[[#This Row],[Garde / Interv.]]="Garde",data[[#This Row],[Hfin corrigée]]-data[[#This Row],[Hdébut corrigé]],0))</f>
        <v>0</v>
      </c>
      <c r="F100" s="80"/>
      <c r="G100" s="57"/>
      <c r="H100" s="58"/>
      <c r="I100" s="59"/>
      <c r="J100" s="60"/>
      <c r="K100" s="42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L100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M100" s="138" t="str">
        <f>IF(OR(WEEKDAY(data[[#This Row],[Date]],2)=7,COUNTIF(JF,data[[#This Row],[Date]])=1),"oui","non")</f>
        <v>non</v>
      </c>
      <c r="N100" s="44">
        <f>MAX(0,(MIN(1,data[[#This Row],[Hfin corrigée]])-data[[#This Row],[Hdébut corrigé]])-data[[#This Row],[NUIT1.1]]-data[[#This Row],[NUIT1.2]])</f>
        <v>0</v>
      </c>
      <c r="O100" s="44">
        <f>IF(data[[#This Row],[Hfin Interv.]]="",0,(
MIN(FinNuit,MIN(1,data[[#This Row],[Hfin corrigée]]))-MIN(FinNuit,data[[#This Row],[Hdébut corrigé]])
))</f>
        <v>0</v>
      </c>
      <c r="P100" s="44">
        <f>MAX(0,(MAX(0,(MIN(1,data[[#This Row],[Hfin corrigée]])-DebNuit))-MAX(0,(data[[#This Row],[Hdébut corrigé]]-DebNuit))))</f>
        <v>0</v>
      </c>
      <c r="Q100" s="138" t="str">
        <f>IF(OR(WEEKDAY(data[[#This Row],[Date]]+data[[#This Row],[Hfin corrigée]],2)=7,COUNTIF(JF,INT(data[[#This Row],[Date]]+data[[#This Row],[Hfin corrigée]]))=1),"oui","non")</f>
        <v>non</v>
      </c>
      <c r="R100" s="44">
        <f>MAX(0,data[[#This Row],[Hfin corrigée]]-MAX(1,data[[#This Row],[Hdébut corrigé]]))-data[[#This Row],[NUIT2.1]]-data[[#This Row],[NUIT2.2]]</f>
        <v>0</v>
      </c>
      <c r="S100" s="44">
        <f>MAX(0,MIN(1+FinNuit,data[[#This Row],[Hfin corrigée]])-MAX(1,data[[#This Row],[Hdébut corrigé]]))</f>
        <v>0</v>
      </c>
      <c r="T100" s="44">
        <f>MAX(0,(data[[#This Row],[Hfin corrigée]]-DebNuit-1))</f>
        <v>0</v>
      </c>
      <c r="U100" s="45">
        <f>IF(data[[#This Row],[Garde / Interv.]]="Intervention",MAX(0,data[[#This Row],[Hfin corrigée]]-SUMPRODUCT((data[Date]=data[[#This Row],[Date]])*(data[Garde / Interv.]="Garde")*data[Hfin corrigée])),0)</f>
        <v>0</v>
      </c>
      <c r="V100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00" s="44">
        <f>MAX(0,IF(data[[#This Row],[Garde / Interv.]]="Intervention",(data[[#This Row],[Fin Dim ou Férié]]="non")*data[[#This Row],[JOUR2]]+(data[[#This Row],[Début Dim ou Férié]]="non")*data[[#This Row],[JOUR1]],0))</f>
        <v>0</v>
      </c>
      <c r="X100" s="44">
        <f>IF(data[[#This Row],[Garde / Interv.]]="Intervention",(data[[#This Row],[Fin Dim ou Férié]]="oui")*data[[#This Row],[JOUR2]]+(data[[#This Row],[Début Dim ou Férié]]="oui")*data[[#This Row],[JOUR1]],0)</f>
        <v>0</v>
      </c>
      <c r="Y100" s="44">
        <f>MAX(0,IF(data[[#This Row],[Garde / Interv.]]="Intervention",data[[#This Row],[NUIT1.1]]+data[[#This Row],[NUIT1.2]]+data[[#This Row],[NUIT2.1]]+data[[#This Row],[NUIT2.2]],0))</f>
        <v>0</v>
      </c>
      <c r="Z100" s="165"/>
      <c r="AA100" s="44"/>
      <c r="AB100" s="44"/>
      <c r="AC100" s="44"/>
      <c r="AD100" s="44"/>
      <c r="AE100" s="44"/>
      <c r="AF100" s="44"/>
      <c r="AG100" s="44"/>
      <c r="AH100" s="44"/>
      <c r="AI100" s="44"/>
    </row>
    <row r="101" spans="1:35" x14ac:dyDescent="0.35">
      <c r="A101" s="64"/>
      <c r="B101" s="122" t="str">
        <f>IF(data[[#This Row],[Hdébut garde]]&lt;&gt;"","Garde",IF(data[[#This Row],[Hdébut corrigé]]&lt;&gt;"","Intervention",""))</f>
        <v>Intervention</v>
      </c>
      <c r="C101" s="79"/>
      <c r="D101" s="56"/>
      <c r="E101" s="47">
        <f>MAX(0,IF(data[[#This Row],[Garde / Interv.]]="Garde",data[[#This Row],[Hfin corrigée]]-data[[#This Row],[Hdébut corrigé]],0))</f>
        <v>0</v>
      </c>
      <c r="F101" s="80"/>
      <c r="G101" s="57"/>
      <c r="H101" s="58"/>
      <c r="I101" s="59"/>
      <c r="J101" s="60"/>
      <c r="K101" s="42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L101" s="42">
        <f>IF(data[[#This Row],[Hfin garde]]&lt;&gt;"",
data[[#This Row],[Hfin garde]]+IF(data[[#This Row],[Hfin garde]]&lt;=data[[#This Row],[Hdébut garde]],1,0)+IF(data[[#This Row],[&gt;24h]]&lt;&gt;"",1,0),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M101" s="138" t="str">
        <f>IF(OR(WEEKDAY(data[[#This Row],[Date]],2)=7,COUNTIF(JF,data[[#This Row],[Date]])=1),"oui","non")</f>
        <v>non</v>
      </c>
      <c r="N101" s="44">
        <f>MAX(0,(MIN(1,data[[#This Row],[Hfin corrigée]])-data[[#This Row],[Hdébut corrigé]])-data[[#This Row],[NUIT1.1]]-data[[#This Row],[NUIT1.2]])</f>
        <v>0</v>
      </c>
      <c r="O101" s="44">
        <f>IF(data[[#This Row],[Hfin Interv.]]="",0,(
MIN(FinNuit,MIN(1,data[[#This Row],[Hfin corrigée]]))-MIN(FinNuit,data[[#This Row],[Hdébut corrigé]])
))</f>
        <v>0</v>
      </c>
      <c r="P101" s="44">
        <f>MAX(0,(MAX(0,(MIN(1,data[[#This Row],[Hfin corrigée]])-DebNuit))-MAX(0,(data[[#This Row],[Hdébut corrigé]]-DebNuit))))</f>
        <v>0</v>
      </c>
      <c r="Q101" s="138" t="str">
        <f>IF(OR(WEEKDAY(data[[#This Row],[Date]]+data[[#This Row],[Hfin corrigée]],2)=7,COUNTIF(JF,INT(data[[#This Row],[Date]]+data[[#This Row],[Hfin corrigée]]))=1),"oui","non")</f>
        <v>non</v>
      </c>
      <c r="R101" s="44">
        <f>MAX(0,data[[#This Row],[Hfin corrigée]]-MAX(1,data[[#This Row],[Hdébut corrigé]]))-data[[#This Row],[NUIT2.1]]-data[[#This Row],[NUIT2.2]]</f>
        <v>0</v>
      </c>
      <c r="S101" s="44">
        <f>MAX(0,MIN(1+FinNuit,data[[#This Row],[Hfin corrigée]])-MAX(1,data[[#This Row],[Hdébut corrigé]]))</f>
        <v>0</v>
      </c>
      <c r="T101" s="44">
        <f>MAX(0,(data[[#This Row],[Hfin corrigée]]-DebNuit-1))</f>
        <v>0</v>
      </c>
      <c r="U101" s="45">
        <f>IF(data[[#This Row],[Garde / Interv.]]="Intervention",MAX(0,data[[#This Row],[Hfin corrigée]]-SUMPRODUCT((data[Date]=data[[#This Row],[Date]])*(data[Garde / Interv.]="Garde")*data[Hfin corrigée])),0)</f>
        <v>0</v>
      </c>
      <c r="V101" s="4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W101" s="44">
        <f>MAX(0,IF(data[[#This Row],[Garde / Interv.]]="Intervention",(data[[#This Row],[Fin Dim ou Férié]]="non")*data[[#This Row],[JOUR2]]+(data[[#This Row],[Début Dim ou Férié]]="non")*data[[#This Row],[JOUR1]],0))</f>
        <v>0</v>
      </c>
      <c r="X101" s="44">
        <f>IF(data[[#This Row],[Garde / Interv.]]="Intervention",(data[[#This Row],[Fin Dim ou Férié]]="oui")*data[[#This Row],[JOUR2]]+(data[[#This Row],[Début Dim ou Férié]]="oui")*data[[#This Row],[JOUR1]],0)</f>
        <v>0</v>
      </c>
      <c r="Y101" s="44">
        <f>MAX(0,IF(data[[#This Row],[Garde / Interv.]]="Intervention",data[[#This Row],[NUIT1.1]]+data[[#This Row],[NUIT1.2]]+data[[#This Row],[NUIT2.1]]+data[[#This Row],[NUIT2.2]],0))</f>
        <v>0</v>
      </c>
      <c r="Z101" s="165"/>
      <c r="AA101" s="44"/>
      <c r="AB101" s="44"/>
      <c r="AC101" s="44"/>
      <c r="AD101" s="44"/>
      <c r="AE101" s="44"/>
      <c r="AF101" s="44"/>
      <c r="AG101" s="44"/>
      <c r="AH101" s="44"/>
      <c r="AI101" s="44"/>
    </row>
  </sheetData>
  <dataValidations count="3">
    <dataValidation type="list" allowBlank="1" showInputMessage="1" showErrorMessage="1" sqref="H39:H41 H2:H37">
      <formula1>véhicule</formula1>
    </dataValidation>
    <dataValidation type="list" allowBlank="1" showInputMessage="1" showErrorMessage="1" sqref="G2:G101">
      <formula1>Motifs</formula1>
    </dataValidation>
    <dataValidation type="list" allowBlank="1" showInputMessage="1" showErrorMessage="1" sqref="F2:F101">
      <formula1>réponses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9"/>
  <sheetViews>
    <sheetView workbookViewId="0"/>
  </sheetViews>
  <sheetFormatPr baseColWidth="10" defaultColWidth="16" defaultRowHeight="14.5" x14ac:dyDescent="0.35"/>
  <cols>
    <col min="1" max="2" width="16" style="15"/>
    <col min="3" max="9" width="16" style="2"/>
    <col min="10" max="13" width="16" style="16"/>
    <col min="14" max="14" width="16" style="17"/>
    <col min="15" max="16384" width="16" style="2"/>
  </cols>
  <sheetData>
    <row r="1" spans="1:14" s="14" customFormat="1" x14ac:dyDescent="0.35">
      <c r="A1" s="18" t="s">
        <v>25</v>
      </c>
      <c r="B1" s="18" t="s">
        <v>13</v>
      </c>
      <c r="C1" s="19" t="s">
        <v>19</v>
      </c>
      <c r="D1" s="19" t="s">
        <v>20</v>
      </c>
      <c r="E1" s="19" t="s">
        <v>21</v>
      </c>
      <c r="F1" s="19" t="s">
        <v>22</v>
      </c>
      <c r="G1" s="19" t="s">
        <v>23</v>
      </c>
      <c r="H1" s="19" t="s">
        <v>24</v>
      </c>
    </row>
    <row r="2" spans="1:14" x14ac:dyDescent="0.35">
      <c r="A2" s="15">
        <v>0.16666666666666666</v>
      </c>
      <c r="B2" s="15">
        <v>0.20833333333333334</v>
      </c>
      <c r="C2" s="16">
        <f>MAX(0,(MIN(1,test[[#This Row],[Hfin corrigée]])-test[[#This Row],[Hdébut corrigé]])-test[[#This Row],[NUIT1.1]]-test[[#This Row],[NUIT1.2]])</f>
        <v>0</v>
      </c>
      <c r="D2" s="16">
        <f>MIN(FinNuit,MIN(1,test[[#This Row],[Hfin corrigée]]))-MIN(FinNuit,test[[#This Row],[Hdébut corrigé]])</f>
        <v>4.1666666666666685E-2</v>
      </c>
      <c r="E2" s="16">
        <f>MAX(0,(MAX(0,(MIN(1,test[[#This Row],[Hfin corrigée]])-DebNuit))-MAX(0,(test[[#This Row],[Hdébut corrigé]]-DebNuit))))</f>
        <v>0</v>
      </c>
      <c r="F2" s="16">
        <f>MAX(0,test[[#This Row],[Hfin corrigée]]-MAX(1,test[[#This Row],[Hdébut corrigé]]))-test[[#This Row],[NUIT2.1]]-test[[#This Row],[NUIT2.2]]</f>
        <v>0</v>
      </c>
      <c r="G2" s="16">
        <f>MAX(0,MIN(1+FinNuit,test[[#This Row],[Hfin corrigée]])-MAX(1,test[[#This Row],[Hdébut corrigé]]))</f>
        <v>0</v>
      </c>
      <c r="H2" s="16">
        <f>MAX(0,(test[[#This Row],[Hfin corrigée]]-DebNuit-1))</f>
        <v>0</v>
      </c>
      <c r="J2" s="2"/>
      <c r="K2" s="2"/>
      <c r="L2" s="2"/>
      <c r="M2" s="2"/>
      <c r="N2" s="2"/>
    </row>
    <row r="3" spans="1:14" x14ac:dyDescent="0.35">
      <c r="A3" s="15">
        <v>0.16666666666666666</v>
      </c>
      <c r="B3" s="15">
        <v>0.375</v>
      </c>
      <c r="C3" s="16">
        <f>MAX(0,(MIN(1,test[[#This Row],[Hfin corrigée]])-test[[#This Row],[Hdébut corrigé]])-test[[#This Row],[NUIT1.1]]-test[[#This Row],[NUIT1.2]])</f>
        <v>8.3333333333333315E-2</v>
      </c>
      <c r="D3" s="16">
        <f>MIN(FinNuit,MIN(1,test[[#This Row],[Hfin corrigée]]))-MIN(FinNuit,test[[#This Row],[Hdébut corrigé]])</f>
        <v>0.12500000000000003</v>
      </c>
      <c r="E3" s="16">
        <f>MAX(0,(MAX(0,(MIN(1,test[[#This Row],[Hfin corrigée]])-DebNuit))-MAX(0,(test[[#This Row],[Hdébut corrigé]]-DebNuit))))</f>
        <v>0</v>
      </c>
      <c r="F3" s="16">
        <f>MAX(0,test[[#This Row],[Hfin corrigée]]-MAX(1,test[[#This Row],[Hdébut corrigé]]))-test[[#This Row],[NUIT2.1]]-test[[#This Row],[NUIT2.2]]</f>
        <v>0</v>
      </c>
      <c r="G3" s="16">
        <f>MAX(0,MIN(1+FinNuit,test[[#This Row],[Hfin corrigée]])-MAX(1,test[[#This Row],[Hdébut corrigé]]))</f>
        <v>0</v>
      </c>
      <c r="H3" s="16">
        <f>MAX(0,(test[[#This Row],[Hfin corrigée]]-DebNuit-1))</f>
        <v>0</v>
      </c>
      <c r="J3" s="2"/>
      <c r="K3" s="2"/>
      <c r="L3" s="2"/>
      <c r="M3" s="2"/>
      <c r="N3" s="2"/>
    </row>
    <row r="4" spans="1:14" x14ac:dyDescent="0.35">
      <c r="A4" s="15">
        <v>0.16666666666666666</v>
      </c>
      <c r="B4" s="15">
        <v>0.75</v>
      </c>
      <c r="C4" s="16">
        <f>MAX(0,(MIN(1,test[[#This Row],[Hfin corrigée]])-test[[#This Row],[Hdébut corrigé]])-test[[#This Row],[NUIT1.1]]-test[[#This Row],[NUIT1.2]])</f>
        <v>0.45833333333333337</v>
      </c>
      <c r="D4" s="16">
        <f>MIN(FinNuit,MIN(1,test[[#This Row],[Hfin corrigée]]))-MIN(FinNuit,test[[#This Row],[Hdébut corrigé]])</f>
        <v>0.12500000000000003</v>
      </c>
      <c r="E4" s="16">
        <f>MAX(0,(MAX(0,(MIN(1,test[[#This Row],[Hfin corrigée]])-DebNuit))-MAX(0,(test[[#This Row],[Hdébut corrigé]]-DebNuit))))</f>
        <v>0</v>
      </c>
      <c r="F4" s="16">
        <f>MAX(0,test[[#This Row],[Hfin corrigée]]-MAX(1,test[[#This Row],[Hdébut corrigé]]))-test[[#This Row],[NUIT2.1]]-test[[#This Row],[NUIT2.2]]</f>
        <v>0</v>
      </c>
      <c r="G4" s="16">
        <f>MAX(0,MIN(1+FinNuit,test[[#This Row],[Hfin corrigée]])-MAX(1,test[[#This Row],[Hdébut corrigé]]))</f>
        <v>0</v>
      </c>
      <c r="H4" s="16">
        <f>MAX(0,(test[[#This Row],[Hfin corrigée]]-DebNuit-1))</f>
        <v>0</v>
      </c>
    </row>
    <row r="5" spans="1:14" x14ac:dyDescent="0.35">
      <c r="A5" s="15">
        <v>0.33333333333333331</v>
      </c>
      <c r="B5" s="15">
        <v>0.95833333333333337</v>
      </c>
      <c r="C5" s="16">
        <f>MAX(0,(MIN(1,test[[#This Row],[Hfin corrigée]])-test[[#This Row],[Hdébut corrigé]])-test[[#This Row],[NUIT1.1]]-test[[#This Row],[NUIT1.2]])</f>
        <v>0.58333333333333326</v>
      </c>
      <c r="D5" s="16">
        <f>MIN(FinNuit,MIN(1,test[[#This Row],[Hfin corrigée]]))-MIN(FinNuit,test[[#This Row],[Hdébut corrigé]])</f>
        <v>0</v>
      </c>
      <c r="E5" s="16">
        <f>MAX(0,(MAX(0,(MIN(1,test[[#This Row],[Hfin corrigée]])-DebNuit))-MAX(0,(test[[#This Row],[Hdébut corrigé]]-DebNuit))))</f>
        <v>4.1666666666666741E-2</v>
      </c>
      <c r="F5" s="16">
        <f>MAX(0,test[[#This Row],[Hfin corrigée]]-MAX(1,test[[#This Row],[Hdébut corrigé]]))-test[[#This Row],[NUIT2.1]]-test[[#This Row],[NUIT2.2]]</f>
        <v>0</v>
      </c>
      <c r="G5" s="16">
        <f>MAX(0,MIN(1+FinNuit,test[[#This Row],[Hfin corrigée]])-MAX(1,test[[#This Row],[Hdébut corrigé]]))</f>
        <v>0</v>
      </c>
      <c r="H5" s="16">
        <f>MAX(0,(test[[#This Row],[Hfin corrigée]]-DebNuit-1))</f>
        <v>0</v>
      </c>
    </row>
    <row r="6" spans="1:14" x14ac:dyDescent="0.35">
      <c r="A6" s="15">
        <v>1.0416666666666667</v>
      </c>
      <c r="B6" s="15">
        <v>1.3333333333333333</v>
      </c>
      <c r="C6" s="16">
        <f>MAX(0,(MIN(1,test[[#This Row],[Hfin corrigée]])-test[[#This Row],[Hdébut corrigé]])-test[[#This Row],[NUIT1.1]]-test[[#This Row],[NUIT1.2]])</f>
        <v>0</v>
      </c>
      <c r="D6" s="16">
        <f>MIN(FinNuit,MIN(1,test[[#This Row],[Hfin corrigée]]))-MIN(FinNuit,test[[#This Row],[Hdébut corrigé]])</f>
        <v>0</v>
      </c>
      <c r="E6" s="16">
        <f>MAX(0,(MAX(0,(MIN(1,test[[#This Row],[Hfin corrigée]])-DebNuit))-MAX(0,(test[[#This Row],[Hdébut corrigé]]-DebNuit))))</f>
        <v>0</v>
      </c>
      <c r="F6" s="16">
        <f>MAX(0,test[[#This Row],[Hfin corrigée]]-MAX(1,test[[#This Row],[Hdébut corrigé]]))-test[[#This Row],[NUIT2.1]]-test[[#This Row],[NUIT2.2]]</f>
        <v>4.1666666666666519E-2</v>
      </c>
      <c r="G6" s="16">
        <f>MAX(0,MIN(1+FinNuit,test[[#This Row],[Hfin corrigée]])-MAX(1,test[[#This Row],[Hdébut corrigé]]))</f>
        <v>0.25</v>
      </c>
      <c r="H6" s="16">
        <f>MAX(0,(test[[#This Row],[Hfin corrigée]]-DebNuit-1))</f>
        <v>0</v>
      </c>
    </row>
    <row r="7" spans="1:14" x14ac:dyDescent="0.35">
      <c r="A7" s="15">
        <v>0.16666666666666666</v>
      </c>
      <c r="B7" s="15">
        <v>0.95833333333333337</v>
      </c>
      <c r="C7" s="16">
        <f>MAX(0,(MIN(1,test[[#This Row],[Hfin corrigée]])-test[[#This Row],[Hdébut corrigé]])-test[[#This Row],[NUIT1.1]]-test[[#This Row],[NUIT1.2]])</f>
        <v>0.625</v>
      </c>
      <c r="D7" s="16">
        <f>MIN(FinNuit,MIN(1,test[[#This Row],[Hfin corrigée]]))-MIN(FinNuit,test[[#This Row],[Hdébut corrigé]])</f>
        <v>0.12500000000000003</v>
      </c>
      <c r="E7" s="16">
        <f>MAX(0,(MAX(0,(MIN(1,test[[#This Row],[Hfin corrigée]])-DebNuit))-MAX(0,(test[[#This Row],[Hdébut corrigé]]-DebNuit))))</f>
        <v>4.1666666666666741E-2</v>
      </c>
      <c r="F7" s="16">
        <f>MAX(0,test[[#This Row],[Hfin corrigée]]-MAX(1,test[[#This Row],[Hdébut corrigé]]))-test[[#This Row],[NUIT2.1]]-test[[#This Row],[NUIT2.2]]</f>
        <v>0</v>
      </c>
      <c r="G7" s="16">
        <f>MAX(0,MIN(1+FinNuit,test[[#This Row],[Hfin corrigée]])-MAX(1,test[[#This Row],[Hdébut corrigé]]))</f>
        <v>0</v>
      </c>
      <c r="H7" s="16">
        <f>MAX(0,(test[[#This Row],[Hfin corrigée]]-DebNuit-1))</f>
        <v>0</v>
      </c>
    </row>
    <row r="8" spans="1:14" x14ac:dyDescent="0.35">
      <c r="A8" s="15">
        <v>0.5</v>
      </c>
      <c r="B8" s="15">
        <v>1.6666666666666667</v>
      </c>
      <c r="C8" s="16">
        <f>MAX(0,(MIN(1,test[[#This Row],[Hfin corrigée]])-test[[#This Row],[Hdébut corrigé]])-test[[#This Row],[NUIT1.1]]-test[[#This Row],[NUIT1.2]])</f>
        <v>0.41666666666666663</v>
      </c>
      <c r="D8" s="16">
        <f>MIN(FinNuit,MIN(1,test[[#This Row],[Hfin corrigée]]))-MIN(FinNuit,test[[#This Row],[Hdébut corrigé]])</f>
        <v>0</v>
      </c>
      <c r="E8" s="16">
        <f>MAX(0,(MAX(0,(MIN(1,test[[#This Row],[Hfin corrigée]])-DebNuit))-MAX(0,(test[[#This Row],[Hdébut corrigé]]-DebNuit))))</f>
        <v>8.333333333333337E-2</v>
      </c>
      <c r="F8" s="16">
        <f>MAX(0,test[[#This Row],[Hfin corrigée]]-MAX(1,test[[#This Row],[Hdébut corrigé]]))-test[[#This Row],[NUIT2.1]]-test[[#This Row],[NUIT2.2]]</f>
        <v>0.375</v>
      </c>
      <c r="G8" s="16">
        <f>MAX(0,MIN(1+FinNuit,test[[#This Row],[Hfin corrigée]])-MAX(1,test[[#This Row],[Hdébut corrigé]]))</f>
        <v>0.29166666666666674</v>
      </c>
      <c r="H8" s="16">
        <f>MAX(0,(test[[#This Row],[Hfin corrigée]]-DebNuit-1))</f>
        <v>0</v>
      </c>
    </row>
    <row r="9" spans="1:14" x14ac:dyDescent="0.35">
      <c r="A9" s="15">
        <v>0</v>
      </c>
      <c r="B9" s="15">
        <v>2</v>
      </c>
      <c r="C9" s="16">
        <f>MAX(0,(MIN(1,test[[#This Row],[Hfin corrigée]])-test[[#This Row],[Hdébut corrigé]])-test[[#This Row],[NUIT1.1]]-test[[#This Row],[NUIT1.2]])</f>
        <v>0.62499999999999989</v>
      </c>
      <c r="D9" s="16">
        <f>MIN(FinNuit,MIN(1,test[[#This Row],[Hfin corrigée]]))-MIN(FinNuit,test[[#This Row],[Hdébut corrigé]])</f>
        <v>0.29166666666666669</v>
      </c>
      <c r="E9" s="16">
        <f>MAX(0,(MAX(0,(MIN(1,test[[#This Row],[Hfin corrigée]])-DebNuit))-MAX(0,(test[[#This Row],[Hdébut corrigé]]-DebNuit))))</f>
        <v>8.333333333333337E-2</v>
      </c>
      <c r="F9" s="16">
        <f>MAX(0,test[[#This Row],[Hfin corrigée]]-MAX(1,test[[#This Row],[Hdébut corrigé]]))-test[[#This Row],[NUIT2.1]]-test[[#This Row],[NUIT2.2]]</f>
        <v>0.62499999999999978</v>
      </c>
      <c r="G9" s="16">
        <f>MAX(0,MIN(1+FinNuit,test[[#This Row],[Hfin corrigée]])-MAX(1,test[[#This Row],[Hdébut corrigé]]))</f>
        <v>0.29166666666666674</v>
      </c>
      <c r="H9" s="16">
        <f>MAX(0,(test[[#This Row],[Hfin corrigée]]-DebNuit-1))</f>
        <v>8.3333333333333481E-2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17"/>
  <sheetViews>
    <sheetView showZeros="0" zoomScale="97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S4" sqref="S4"/>
    </sheetView>
  </sheetViews>
  <sheetFormatPr baseColWidth="10" defaultRowHeight="14.5" x14ac:dyDescent="0.35"/>
  <cols>
    <col min="1" max="2" width="8.08984375" customWidth="1"/>
    <col min="3" max="8" width="6.90625" customWidth="1"/>
    <col min="9" max="10" width="10.1796875" style="26" bestFit="1" customWidth="1"/>
    <col min="11" max="11" width="12.90625" style="86" customWidth="1"/>
    <col min="12" max="12" width="9.1796875" customWidth="1"/>
    <col min="13" max="13" width="12.90625" style="86" customWidth="1"/>
    <col min="14" max="14" width="10.6328125" customWidth="1"/>
    <col min="15" max="18" width="11.1796875" hidden="1" customWidth="1"/>
    <col min="19" max="19" width="12.90625" style="89" customWidth="1"/>
    <col min="20" max="20" width="10.54296875" style="89" customWidth="1"/>
    <col min="21" max="21" width="13.453125" style="26" bestFit="1" customWidth="1"/>
  </cols>
  <sheetData>
    <row r="1" spans="1:24" ht="73.25" customHeight="1" x14ac:dyDescent="0.35">
      <c r="A1" s="53" t="s">
        <v>46</v>
      </c>
      <c r="B1" s="117" t="s">
        <v>47</v>
      </c>
      <c r="C1" s="160" t="s">
        <v>16</v>
      </c>
      <c r="D1" s="160"/>
      <c r="E1" s="160" t="s">
        <v>14</v>
      </c>
      <c r="F1" s="160"/>
      <c r="G1" s="160" t="s">
        <v>15</v>
      </c>
      <c r="H1" s="161"/>
      <c r="I1" s="67" t="s">
        <v>100</v>
      </c>
      <c r="J1" s="67" t="s">
        <v>69</v>
      </c>
      <c r="K1" s="154" t="s">
        <v>81</v>
      </c>
      <c r="L1" s="162"/>
      <c r="M1" s="153" t="s">
        <v>99</v>
      </c>
      <c r="N1" s="154"/>
      <c r="O1" s="117" t="s">
        <v>48</v>
      </c>
      <c r="P1" s="117" t="s">
        <v>50</v>
      </c>
      <c r="Q1" s="117" t="s">
        <v>49</v>
      </c>
      <c r="R1" s="118" t="s">
        <v>51</v>
      </c>
      <c r="S1" s="119" t="s">
        <v>97</v>
      </c>
      <c r="T1" s="66" t="s">
        <v>101</v>
      </c>
      <c r="U1" s="66" t="s">
        <v>77</v>
      </c>
    </row>
    <row r="2" spans="1:24" x14ac:dyDescent="0.35">
      <c r="A2" s="20">
        <v>2019</v>
      </c>
      <c r="B2" s="91">
        <f>DATE($A$2,ROW()-1,1)</f>
        <v>43466</v>
      </c>
      <c r="C2" s="151">
        <f>SUMPRODUCT(data[Durée interv. jour]*(data[Date]&gt;=B2)*(data[Date]&lt;=EOMONTH(B2,0)))</f>
        <v>1.2409722222222221</v>
      </c>
      <c r="D2" s="151">
        <f t="shared" ref="D2:D13" si="0">ROUNDUP(INT(C2*4*24*60)/60,0)/4/24</f>
        <v>1.25</v>
      </c>
      <c r="E2" s="151">
        <f>SUMPRODUCT(data[Durée interv. dim ou férié]*(data[Date]&gt;=B2)*(data[Date]&lt;=EOMONTH(B2,0)))</f>
        <v>0</v>
      </c>
      <c r="F2" s="151">
        <f t="shared" ref="F2:F13" si="1">ROUNDUP(INT(E2*4*24*60)/60,0)/4/24</f>
        <v>0</v>
      </c>
      <c r="G2" s="151">
        <f>SUMPRODUCT(data[Durée interv. nuit]*(data[Date]&gt;=B2)*(data[Date]&lt;=EOMONTH(B2,0)))</f>
        <v>0.21527777777777768</v>
      </c>
      <c r="H2" s="151">
        <f t="shared" ref="H2:L13" si="2">ROUNDUP(INT(G2*4*24*60)/60,0)/4/24</f>
        <v>0.21875</v>
      </c>
      <c r="I2" s="152">
        <f>SUMPRODUCT(data[Garde de :]*(data[Date]&gt;=B2)*(data[Date]&lt;=EOMONTH(B2,0)))</f>
        <v>5.0256944444444445</v>
      </c>
      <c r="J2" s="157">
        <f>SUM(I2:I4)</f>
        <v>14.338194444444445</v>
      </c>
      <c r="K2" s="83">
        <f t="shared" ref="K2:K13" si="3">C2+E2+G2</f>
        <v>1.4562499999999998</v>
      </c>
      <c r="L2" s="97">
        <f t="shared" si="2"/>
        <v>1.4583333333333333</v>
      </c>
      <c r="M2" s="87">
        <f>SUMPRODUCT(data[[Garde postée au CIS]:[Durée interv. nuit]]*(data[Date]&gt;=B2)*(data[Date]&lt;=EOMONTH(B2,0)))-C2-E2-G2</f>
        <v>3.5694444444444438</v>
      </c>
      <c r="N2" s="120">
        <f t="shared" ref="N2:N13" si="4">ROUNDUP(INT(M2*4*24*60)/60,0)/4/24</f>
        <v>3.5729166666666665</v>
      </c>
      <c r="O2" s="25">
        <f t="shared" ref="O2:O13" si="5">24*(TAUX1*N2)</f>
        <v>497.35</v>
      </c>
      <c r="P2" s="25">
        <f t="shared" ref="P2:P13" si="6">24*(TAUX2*D2)</f>
        <v>232.20000000000002</v>
      </c>
      <c r="Q2" s="25">
        <f t="shared" ref="Q2:Q13" si="7">24*(TAUX3*F2)</f>
        <v>0</v>
      </c>
      <c r="R2" s="98">
        <f t="shared" ref="R2:R13" si="8">24*(TAUX4*H2)</f>
        <v>81.27</v>
      </c>
      <c r="S2" s="104">
        <f>24*(TAUX1*N2+TAUX2*D2+TAUX3*F2+TAUX4*H2)</f>
        <v>810.81999999999994</v>
      </c>
      <c r="T2" s="108" t="s">
        <v>94</v>
      </c>
      <c r="U2" s="74">
        <f>Paramètres!B46-'Calcul indemnités mensuelles'!S2</f>
        <v>10689.18</v>
      </c>
    </row>
    <row r="3" spans="1:24" x14ac:dyDescent="0.35">
      <c r="A3" s="54"/>
      <c r="B3" s="91">
        <f t="shared" ref="B3:B13" si="9">DATE($A$2,ROW()-1,1)</f>
        <v>43497</v>
      </c>
      <c r="C3" s="151">
        <f>SUMPRODUCT(data[Durée interv. jour]*(data[Date]&gt;=B3)*(data[Date]&lt;=EOMONTH(B3,0)))</f>
        <v>0.26111111111111102</v>
      </c>
      <c r="D3" s="151">
        <f t="shared" si="0"/>
        <v>0.27083333333333331</v>
      </c>
      <c r="E3" s="151">
        <f>SUMPRODUCT(data[Durée interv. dim ou férié]*(data[Date]&gt;=B3)*(data[Date]&lt;=EOMONTH(B3,0)))</f>
        <v>0.28749999999999998</v>
      </c>
      <c r="F3" s="151">
        <f t="shared" si="1"/>
        <v>0.29166666666666669</v>
      </c>
      <c r="G3" s="151">
        <f>SUMPRODUCT(data[Durée interv. nuit]*(data[Date]&gt;=B3)*(data[Date]&lt;=EOMONTH(B3,0)))</f>
        <v>3.125E-2</v>
      </c>
      <c r="H3" s="151">
        <f t="shared" si="2"/>
        <v>3.125E-2</v>
      </c>
      <c r="I3" s="152">
        <f>SUMPRODUCT(data[Garde de :]*(data[Date]&gt;=B3)*(data[Date]&lt;=EOMONTH(B3,0)))</f>
        <v>4.4166666666666661</v>
      </c>
      <c r="J3" s="158"/>
      <c r="K3" s="83">
        <f t="shared" si="3"/>
        <v>0.57986111111111094</v>
      </c>
      <c r="L3" s="97">
        <f t="shared" si="2"/>
        <v>0.58333333333333337</v>
      </c>
      <c r="M3" s="87">
        <f>SUMPRODUCT(data[[Garde postée au CIS]:[Durée interv. nuit]]*(data[Date]&gt;=B3)*(data[Date]&lt;=EOMONTH(B3,0)))-C3-E3-G3</f>
        <v>3.8368055555555549</v>
      </c>
      <c r="N3" s="120">
        <f t="shared" si="4"/>
        <v>3.84375</v>
      </c>
      <c r="O3" s="25">
        <f t="shared" si="5"/>
        <v>535.04999999999995</v>
      </c>
      <c r="P3" s="25">
        <f t="shared" si="6"/>
        <v>50.31</v>
      </c>
      <c r="Q3" s="25">
        <f t="shared" si="7"/>
        <v>81.27</v>
      </c>
      <c r="R3" s="98">
        <f t="shared" si="8"/>
        <v>11.61</v>
      </c>
      <c r="S3" s="104">
        <f>24*(TAUX1*N3+TAUX2*D3+TAUX3*F3+TAUX4*H3)</f>
        <v>678.24</v>
      </c>
      <c r="T3" s="108" t="s">
        <v>84</v>
      </c>
      <c r="U3" s="74">
        <f t="shared" ref="U3:U13" si="10">U2-S3</f>
        <v>10010.94</v>
      </c>
      <c r="V3" s="107"/>
      <c r="W3" s="105"/>
    </row>
    <row r="4" spans="1:24" x14ac:dyDescent="0.35">
      <c r="A4" s="54"/>
      <c r="B4" s="91">
        <f t="shared" si="9"/>
        <v>43525</v>
      </c>
      <c r="C4" s="151">
        <f>SUMPRODUCT(data[Durée interv. jour]*(data[Date]&gt;=B4)*(data[Date]&lt;=EOMONTH(B4,0)))</f>
        <v>0.51111111111111107</v>
      </c>
      <c r="D4" s="151">
        <f>ROUNDUP(INT(C4*4*24*60)/60,0)/4/24</f>
        <v>0.52083333333333337</v>
      </c>
      <c r="E4" s="151">
        <f>SUMPRODUCT(data[Durée interv. dim ou férié]*(data[Date]&gt;=B4)*(data[Date]&lt;=EOMONTH(B4,0)))</f>
        <v>7.2222222222222077E-2</v>
      </c>
      <c r="F4" s="151">
        <f t="shared" si="1"/>
        <v>7.2916666666666671E-2</v>
      </c>
      <c r="G4" s="151">
        <f>SUMPRODUCT(data[Durée interv. nuit]*(data[Date]&gt;=B4)*(data[Date]&lt;=EOMONTH(B4,0)))</f>
        <v>5.486111111111136E-2</v>
      </c>
      <c r="H4" s="151">
        <f t="shared" si="2"/>
        <v>6.25E-2</v>
      </c>
      <c r="I4" s="152">
        <f>SUMPRODUCT(data[Garde de :]*(data[Date]&gt;=B4)*(data[Date]&lt;=EOMONTH(B4,0)))</f>
        <v>4.8958333333333339</v>
      </c>
      <c r="J4" s="159"/>
      <c r="K4" s="83">
        <f t="shared" si="3"/>
        <v>0.63819444444444451</v>
      </c>
      <c r="L4" s="97">
        <f t="shared" si="2"/>
        <v>0.64583333333333337</v>
      </c>
      <c r="M4" s="87">
        <f>SUMPRODUCT(data[[Garde postée au CIS]:[Durée interv. nuit]]*(data[Date]&gt;=B4)*(data[Date]&lt;=EOMONTH(B4,0)))-C4-E4-G4</f>
        <v>4.2576388888888896</v>
      </c>
      <c r="N4" s="120">
        <f t="shared" si="4"/>
        <v>4.260416666666667</v>
      </c>
      <c r="O4" s="25">
        <f t="shared" si="5"/>
        <v>593.04999999999995</v>
      </c>
      <c r="P4" s="25">
        <f t="shared" si="6"/>
        <v>96.75</v>
      </c>
      <c r="Q4" s="25">
        <f t="shared" si="7"/>
        <v>20.317499999999999</v>
      </c>
      <c r="R4" s="98">
        <f t="shared" si="8"/>
        <v>23.22</v>
      </c>
      <c r="S4" s="104">
        <f>24*(TAUX1*N4+TAUX2*D4+TAUX3*F4+TAUX4*H4)</f>
        <v>733.33750000000009</v>
      </c>
      <c r="T4" s="108" t="s">
        <v>87</v>
      </c>
      <c r="U4" s="74">
        <f t="shared" si="10"/>
        <v>9277.6025000000009</v>
      </c>
      <c r="W4" s="105"/>
      <c r="X4" s="113"/>
    </row>
    <row r="5" spans="1:24" x14ac:dyDescent="0.35">
      <c r="A5" s="54"/>
      <c r="B5" s="91">
        <f t="shared" si="9"/>
        <v>43556</v>
      </c>
      <c r="C5" s="151">
        <f>SUMPRODUCT(data[Durée interv. jour]*(data[Date]&gt;=B5)*(data[Date]&lt;=EOMONTH(B5,0)))</f>
        <v>0.3541666666666668</v>
      </c>
      <c r="D5" s="151">
        <f t="shared" si="0"/>
        <v>0.35416666666666669</v>
      </c>
      <c r="E5" s="151">
        <f>SUMPRODUCT(data[Durée interv. dim ou férié]*(data[Date]&gt;=B5)*(data[Date]&lt;=EOMONTH(B5,0)))</f>
        <v>0.31874999999999976</v>
      </c>
      <c r="F5" s="151">
        <f t="shared" si="1"/>
        <v>0.32291666666666669</v>
      </c>
      <c r="G5" s="151">
        <f>SUMPRODUCT(data[Durée interv. nuit]*(data[Date]&gt;=B5)*(data[Date]&lt;=EOMONTH(B5,0)))</f>
        <v>6.6666666666666652E-2</v>
      </c>
      <c r="H5" s="151">
        <f t="shared" si="2"/>
        <v>7.2916666666666671E-2</v>
      </c>
      <c r="I5" s="152">
        <f>SUMPRODUCT(data[Garde de :]*(data[Date]&gt;=B5)*(data[Date]&lt;=EOMONTH(B5,0)))</f>
        <v>5.1298611111111114</v>
      </c>
      <c r="J5" s="157">
        <f>SUM(I5:I7)</f>
        <v>9.1298611111111114</v>
      </c>
      <c r="K5" s="83">
        <f t="shared" si="3"/>
        <v>0.73958333333333326</v>
      </c>
      <c r="L5" s="97">
        <f t="shared" si="2"/>
        <v>0.73958333333333337</v>
      </c>
      <c r="M5" s="87">
        <f>SUMPRODUCT(data[[Garde postée au CIS]:[Durée interv. nuit]]*(data[Date]&gt;=B5)*(data[Date]&lt;=EOMONTH(B5,0)))-C5-E5-G5</f>
        <v>4.3902777777777775</v>
      </c>
      <c r="N5" s="120">
        <f t="shared" si="4"/>
        <v>4.395833333333333</v>
      </c>
      <c r="O5" s="25">
        <f t="shared" si="5"/>
        <v>611.89999999999986</v>
      </c>
      <c r="P5" s="25">
        <f t="shared" si="6"/>
        <v>65.790000000000006</v>
      </c>
      <c r="Q5" s="25">
        <f t="shared" si="7"/>
        <v>89.977499999999992</v>
      </c>
      <c r="R5" s="98">
        <f t="shared" si="8"/>
        <v>27.090000000000003</v>
      </c>
      <c r="S5" s="104">
        <f>24*(TAUX1*N5+TAUX2*D5+TAUX3*F5+TAUX4*H5)</f>
        <v>794.75750000000005</v>
      </c>
      <c r="T5" s="108" t="s">
        <v>85</v>
      </c>
      <c r="U5" s="74">
        <f t="shared" si="10"/>
        <v>8482.8450000000012</v>
      </c>
      <c r="W5" s="105"/>
    </row>
    <row r="6" spans="1:24" x14ac:dyDescent="0.35">
      <c r="A6" s="54"/>
      <c r="B6" s="91">
        <f t="shared" si="9"/>
        <v>43586</v>
      </c>
      <c r="C6" s="151">
        <f>SUMPRODUCT(data[Durée interv. jour]*(data[Date]&gt;=B6)*(data[Date]&lt;=EOMONTH(B6,0)))</f>
        <v>0.17152777777777789</v>
      </c>
      <c r="D6" s="151">
        <f t="shared" si="0"/>
        <v>0.17708333333333334</v>
      </c>
      <c r="E6" s="151">
        <f>SUMPRODUCT(data[Durée interv. dim ou férié]*(data[Date]&gt;=B6)*(data[Date]&lt;=EOMONTH(B6,0)))</f>
        <v>0.14861111111111114</v>
      </c>
      <c r="F6" s="151">
        <f t="shared" si="1"/>
        <v>0.15625</v>
      </c>
      <c r="G6" s="151">
        <f>SUMPRODUCT(data[Durée interv. nuit]*(data[Date]&gt;=B6)*(data[Date]&lt;=EOMONTH(B6,0)))</f>
        <v>4.8611111111111049E-2</v>
      </c>
      <c r="H6" s="151">
        <f t="shared" si="2"/>
        <v>5.2083333333333336E-2</v>
      </c>
      <c r="I6" s="152">
        <f>SUMPRODUCT(data[Garde de :]*(data[Date]&gt;=B6)*(data[Date]&lt;=EOMONTH(B6,0)))</f>
        <v>4</v>
      </c>
      <c r="J6" s="158"/>
      <c r="K6" s="83">
        <f t="shared" si="3"/>
        <v>0.36875000000000008</v>
      </c>
      <c r="L6" s="97">
        <f t="shared" si="2"/>
        <v>0.375</v>
      </c>
      <c r="M6" s="87">
        <f>SUMPRODUCT(data[[Garde postée au CIS]:[Durée interv. nuit]]*(data[Date]&gt;=B6)*(data[Date]&lt;=EOMONTH(B6,0)))-C6-E6-G6</f>
        <v>3.6312499999999996</v>
      </c>
      <c r="N6" s="120">
        <f t="shared" si="4"/>
        <v>3.6354166666666665</v>
      </c>
      <c r="O6" s="25">
        <f t="shared" si="5"/>
        <v>506.04999999999995</v>
      </c>
      <c r="P6" s="25">
        <f t="shared" si="6"/>
        <v>32.895000000000003</v>
      </c>
      <c r="Q6" s="25">
        <f t="shared" si="7"/>
        <v>43.537499999999994</v>
      </c>
      <c r="R6" s="98">
        <f t="shared" si="8"/>
        <v>19.350000000000001</v>
      </c>
      <c r="S6" s="104">
        <f>24*(TAUX1*N6+TAUX2*D6+TAUX3*F6+TAUX4*H6)</f>
        <v>601.83249999999987</v>
      </c>
      <c r="T6" s="108" t="s">
        <v>102</v>
      </c>
      <c r="U6" s="74">
        <f t="shared" si="10"/>
        <v>7881.0125000000016</v>
      </c>
      <c r="W6" s="105"/>
    </row>
    <row r="7" spans="1:24" x14ac:dyDescent="0.35">
      <c r="A7" s="54"/>
      <c r="B7" s="91">
        <f t="shared" si="9"/>
        <v>43617</v>
      </c>
      <c r="C7" s="96">
        <f>SUMPRODUCT(data[Durée interv. jour]*(data[Date]&gt;=B7)*(data[Date]&lt;=EOMONTH(B7,0)))</f>
        <v>0</v>
      </c>
      <c r="D7" s="94">
        <f t="shared" si="0"/>
        <v>0</v>
      </c>
      <c r="E7" s="96">
        <f>SUMPRODUCT(data[Durée interv. dim ou férié]*(data[Date]&gt;=B7)*(data[Date]&lt;=EOMONTH(B7,0)))</f>
        <v>0</v>
      </c>
      <c r="F7" s="94">
        <f t="shared" si="1"/>
        <v>0</v>
      </c>
      <c r="G7" s="96">
        <f>SUMPRODUCT(data[Durée interv. nuit]*(data[Date]&gt;=B7)*(data[Date]&lt;=EOMONTH(B7,0)))</f>
        <v>0</v>
      </c>
      <c r="H7" s="94">
        <f t="shared" si="2"/>
        <v>0</v>
      </c>
      <c r="I7" s="151">
        <f>SUMPRODUCT(data[Garde de :]*(data[Date]&gt;=B7)*(data[Date]&lt;=EOMONTH(B7,0)))</f>
        <v>0</v>
      </c>
      <c r="J7" s="159"/>
      <c r="K7" s="83">
        <f t="shared" si="3"/>
        <v>0</v>
      </c>
      <c r="L7" s="97">
        <f t="shared" si="2"/>
        <v>0</v>
      </c>
      <c r="M7" s="87">
        <f>SUMPRODUCT(data[[Garde postée au CIS]:[Durée interv. nuit]]*(data[Date]&gt;=B7)*(data[Date]&lt;=EOMONTH(B7,0)))-C7-E7-G7</f>
        <v>0</v>
      </c>
      <c r="N7" s="120">
        <f t="shared" si="4"/>
        <v>0</v>
      </c>
      <c r="O7" s="25">
        <f t="shared" si="5"/>
        <v>0</v>
      </c>
      <c r="P7" s="25">
        <f t="shared" si="6"/>
        <v>0</v>
      </c>
      <c r="Q7" s="25">
        <f t="shared" si="7"/>
        <v>0</v>
      </c>
      <c r="R7" s="98">
        <f t="shared" si="8"/>
        <v>0</v>
      </c>
      <c r="S7" s="104">
        <f>24*(TAUX1*N7+TAUX2*D7+TAUX3*F7+TAUX4*H7)</f>
        <v>0</v>
      </c>
      <c r="T7" s="108" t="s">
        <v>88</v>
      </c>
      <c r="U7" s="74">
        <f t="shared" si="10"/>
        <v>7881.0125000000016</v>
      </c>
      <c r="W7" s="106"/>
    </row>
    <row r="8" spans="1:24" x14ac:dyDescent="0.35">
      <c r="A8" s="54"/>
      <c r="B8" s="91">
        <f t="shared" si="9"/>
        <v>43647</v>
      </c>
      <c r="C8" s="96">
        <f>SUMPRODUCT(data[Durée interv. jour]*(data[Date]&gt;=B8)*(data[Date]&lt;=EOMONTH(B8,0)))</f>
        <v>0</v>
      </c>
      <c r="D8" s="94">
        <f t="shared" si="0"/>
        <v>0</v>
      </c>
      <c r="E8" s="96">
        <f>SUMPRODUCT(data[Durée interv. dim ou férié]*(data[Date]&gt;=B8)*(data[Date]&lt;=EOMONTH(B8,0)))</f>
        <v>0</v>
      </c>
      <c r="F8" s="94">
        <f t="shared" si="1"/>
        <v>0</v>
      </c>
      <c r="G8" s="96">
        <f>SUMPRODUCT(data[Durée interv. nuit]*(data[Date]&gt;=B8)*(data[Date]&lt;=EOMONTH(B8,0)))</f>
        <v>0</v>
      </c>
      <c r="H8" s="94">
        <f t="shared" si="2"/>
        <v>0</v>
      </c>
      <c r="I8" s="151">
        <f>SUMPRODUCT(data[Garde de :]*(data[Date]&gt;=B8)*(data[Date]&lt;=EOMONTH(B8,0)))</f>
        <v>0</v>
      </c>
      <c r="J8" s="157">
        <f>SUM(I8:I10)</f>
        <v>0</v>
      </c>
      <c r="K8" s="83">
        <f t="shared" si="3"/>
        <v>0</v>
      </c>
      <c r="L8" s="97">
        <f t="shared" si="2"/>
        <v>0</v>
      </c>
      <c r="M8" s="87">
        <f>SUMPRODUCT(data[[Garde postée au CIS]:[Durée interv. nuit]]*(data[Date]&gt;=B8)*(data[Date]&lt;=EOMONTH(B8,0)))-C8-E8-G8</f>
        <v>0</v>
      </c>
      <c r="N8" s="120">
        <f t="shared" si="4"/>
        <v>0</v>
      </c>
      <c r="O8" s="25">
        <f t="shared" si="5"/>
        <v>0</v>
      </c>
      <c r="P8" s="25">
        <f t="shared" si="6"/>
        <v>0</v>
      </c>
      <c r="Q8" s="25">
        <f t="shared" si="7"/>
        <v>0</v>
      </c>
      <c r="R8" s="98">
        <f t="shared" si="8"/>
        <v>0</v>
      </c>
      <c r="S8" s="104">
        <f>24*(TAUX1*N8+TAUX2*D8+TAUX3*F8+TAUX4*H8)</f>
        <v>0</v>
      </c>
      <c r="T8" s="108" t="s">
        <v>86</v>
      </c>
      <c r="U8" s="74">
        <f t="shared" si="10"/>
        <v>7881.0125000000016</v>
      </c>
      <c r="W8" s="105"/>
    </row>
    <row r="9" spans="1:24" x14ac:dyDescent="0.35">
      <c r="A9" s="54"/>
      <c r="B9" s="91">
        <f t="shared" si="9"/>
        <v>43678</v>
      </c>
      <c r="C9" s="96">
        <f>SUMPRODUCT(data[Durée interv. jour]*(data[Date]&gt;=B9)*(data[Date]&lt;=EOMONTH(B9,0)))</f>
        <v>0</v>
      </c>
      <c r="D9" s="94">
        <f t="shared" si="0"/>
        <v>0</v>
      </c>
      <c r="E9" s="96">
        <f>SUMPRODUCT(data[Durée interv. dim ou férié]*(data[Date]&gt;=B9)*(data[Date]&lt;=EOMONTH(B9,0)))</f>
        <v>0</v>
      </c>
      <c r="F9" s="94">
        <f t="shared" si="1"/>
        <v>0</v>
      </c>
      <c r="G9" s="96">
        <f>SUMPRODUCT(data[Durée interv. nuit]*(data[Date]&gt;=B9)*(data[Date]&lt;=EOMONTH(B9,0)))</f>
        <v>0</v>
      </c>
      <c r="H9" s="94">
        <f t="shared" si="2"/>
        <v>0</v>
      </c>
      <c r="I9" s="151">
        <f>SUMPRODUCT(data[Garde de :]*(data[Date]&gt;=B9)*(data[Date]&lt;=EOMONTH(B9,0)))</f>
        <v>0</v>
      </c>
      <c r="J9" s="158"/>
      <c r="K9" s="83">
        <f t="shared" si="3"/>
        <v>0</v>
      </c>
      <c r="L9" s="97">
        <f t="shared" si="2"/>
        <v>0</v>
      </c>
      <c r="M9" s="87">
        <f>SUMPRODUCT(data[[Garde postée au CIS]:[Durée interv. nuit]]*(data[Date]&gt;=B9)*(data[Date]&lt;=EOMONTH(B9,0)))-C9-E9-G9</f>
        <v>0</v>
      </c>
      <c r="N9" s="120">
        <f t="shared" si="4"/>
        <v>0</v>
      </c>
      <c r="O9" s="25">
        <f t="shared" si="5"/>
        <v>0</v>
      </c>
      <c r="P9" s="25">
        <f t="shared" si="6"/>
        <v>0</v>
      </c>
      <c r="Q9" s="25">
        <f t="shared" si="7"/>
        <v>0</v>
      </c>
      <c r="R9" s="98">
        <f t="shared" si="8"/>
        <v>0</v>
      </c>
      <c r="S9" s="104">
        <f>24*(TAUX1*N9+TAUX2*D9+TAUX3*F9+TAUX4*H9)</f>
        <v>0</v>
      </c>
      <c r="T9" s="108" t="s">
        <v>89</v>
      </c>
      <c r="U9" s="74">
        <f t="shared" si="10"/>
        <v>7881.0125000000016</v>
      </c>
    </row>
    <row r="10" spans="1:24" x14ac:dyDescent="0.35">
      <c r="A10" s="54"/>
      <c r="B10" s="91">
        <f t="shared" si="9"/>
        <v>43709</v>
      </c>
      <c r="C10" s="96">
        <f>SUMPRODUCT(data[Durée interv. jour]*(data[Date]&gt;=B10)*(data[Date]&lt;=EOMONTH(B10,0)))</f>
        <v>0</v>
      </c>
      <c r="D10" s="94">
        <f t="shared" si="0"/>
        <v>0</v>
      </c>
      <c r="E10" s="96">
        <f>SUMPRODUCT(data[Durée interv. dim ou férié]*(data[Date]&gt;=B10)*(data[Date]&lt;=EOMONTH(B10,0)))</f>
        <v>0</v>
      </c>
      <c r="F10" s="94">
        <f t="shared" si="1"/>
        <v>0</v>
      </c>
      <c r="G10" s="96">
        <f>SUMPRODUCT(data[Durée interv. nuit]*(data[Date]&gt;=B10)*(data[Date]&lt;=EOMONTH(B10,0)))</f>
        <v>0</v>
      </c>
      <c r="H10" s="94">
        <f t="shared" si="2"/>
        <v>0</v>
      </c>
      <c r="I10" s="151">
        <f>SUMPRODUCT(data[Garde de :]*(data[Date]&gt;=B10)*(data[Date]&lt;=EOMONTH(B10,0)))</f>
        <v>0</v>
      </c>
      <c r="J10" s="159"/>
      <c r="K10" s="83">
        <f t="shared" si="3"/>
        <v>0</v>
      </c>
      <c r="L10" s="97">
        <f t="shared" si="2"/>
        <v>0</v>
      </c>
      <c r="M10" s="87">
        <f>SUMPRODUCT(data[[Garde postée au CIS]:[Durée interv. nuit]]*(data[Date]&gt;=B10)*(data[Date]&lt;=EOMONTH(B10,0)))-C10-E10-G10</f>
        <v>0</v>
      </c>
      <c r="N10" s="120">
        <f t="shared" si="4"/>
        <v>0</v>
      </c>
      <c r="O10" s="25">
        <f t="shared" si="5"/>
        <v>0</v>
      </c>
      <c r="P10" s="25">
        <f t="shared" si="6"/>
        <v>0</v>
      </c>
      <c r="Q10" s="25">
        <f t="shared" si="7"/>
        <v>0</v>
      </c>
      <c r="R10" s="98">
        <f t="shared" si="8"/>
        <v>0</v>
      </c>
      <c r="S10" s="104">
        <f>24*(TAUX1*N10+TAUX2*D10+TAUX3*F10+TAUX4*H10)</f>
        <v>0</v>
      </c>
      <c r="T10" s="108" t="s">
        <v>90</v>
      </c>
      <c r="U10" s="74">
        <f t="shared" si="10"/>
        <v>7881.0125000000016</v>
      </c>
    </row>
    <row r="11" spans="1:24" x14ac:dyDescent="0.35">
      <c r="A11" s="54"/>
      <c r="B11" s="91">
        <f t="shared" si="9"/>
        <v>43739</v>
      </c>
      <c r="C11" s="96">
        <f>SUMPRODUCT(data[Durée interv. jour]*(data[Date]&gt;=B11)*(data[Date]&lt;=EOMONTH(B11,0)))</f>
        <v>0</v>
      </c>
      <c r="D11" s="94">
        <f t="shared" si="0"/>
        <v>0</v>
      </c>
      <c r="E11" s="96">
        <f>SUMPRODUCT(data[Durée interv. dim ou férié]*(data[Date]&gt;=B11)*(data[Date]&lt;=EOMONTH(B11,0)))</f>
        <v>0</v>
      </c>
      <c r="F11" s="94">
        <f t="shared" si="1"/>
        <v>0</v>
      </c>
      <c r="G11" s="96">
        <f>SUMPRODUCT(data[Durée interv. nuit]*(data[Date]&gt;=B11)*(data[Date]&lt;=EOMONTH(B11,0)))</f>
        <v>0</v>
      </c>
      <c r="H11" s="94">
        <f t="shared" si="2"/>
        <v>0</v>
      </c>
      <c r="I11" s="151">
        <f>SUMPRODUCT(data[Garde de :]*(data[Date]&gt;=B11)*(data[Date]&lt;=EOMONTH(B11,0)))</f>
        <v>0</v>
      </c>
      <c r="J11" s="157">
        <f>SUM(I11:I13)</f>
        <v>0</v>
      </c>
      <c r="K11" s="83">
        <f t="shared" si="3"/>
        <v>0</v>
      </c>
      <c r="L11" s="97">
        <f t="shared" ref="L11:L13" si="11">IF(K11=0,0,ROUNDUP(K11*4*24+1/60/24,0)/4/24)</f>
        <v>0</v>
      </c>
      <c r="M11" s="87">
        <f>SUMPRODUCT(data[[Garde postée au CIS]:[Durée interv. nuit]]*(data[Date]&gt;=B11)*(data[Date]&lt;=EOMONTH(B11,0)))-C11-E11-G11</f>
        <v>0</v>
      </c>
      <c r="N11" s="120">
        <f t="shared" si="4"/>
        <v>0</v>
      </c>
      <c r="O11" s="25">
        <f t="shared" si="5"/>
        <v>0</v>
      </c>
      <c r="P11" s="25">
        <f t="shared" si="6"/>
        <v>0</v>
      </c>
      <c r="Q11" s="25">
        <f t="shared" si="7"/>
        <v>0</v>
      </c>
      <c r="R11" s="98">
        <f t="shared" si="8"/>
        <v>0</v>
      </c>
      <c r="S11" s="104">
        <f>24*(TAUX1*N11+TAUX2*D11+TAUX3*F11+TAUX4*H11)</f>
        <v>0</v>
      </c>
      <c r="T11" s="108" t="s">
        <v>91</v>
      </c>
      <c r="U11" s="74">
        <f t="shared" si="10"/>
        <v>7881.0125000000016</v>
      </c>
      <c r="W11" s="113"/>
    </row>
    <row r="12" spans="1:24" x14ac:dyDescent="0.35">
      <c r="A12" s="54"/>
      <c r="B12" s="91">
        <f t="shared" si="9"/>
        <v>43770</v>
      </c>
      <c r="C12" s="96">
        <f>SUMPRODUCT(data[Durée interv. jour]*(data[Date]&gt;=B12)*(data[Date]&lt;=EOMONTH(B12,0)))</f>
        <v>0</v>
      </c>
      <c r="D12" s="94">
        <f t="shared" si="0"/>
        <v>0</v>
      </c>
      <c r="E12" s="96">
        <f>SUMPRODUCT(data[Durée interv. dim ou férié]*(data[Date]&gt;=B12)*(data[Date]&lt;=EOMONTH(B12,0)))</f>
        <v>0</v>
      </c>
      <c r="F12" s="94">
        <f t="shared" si="1"/>
        <v>0</v>
      </c>
      <c r="G12" s="96">
        <f>SUMPRODUCT(data[Durée interv. nuit]*(data[Date]&gt;=B12)*(data[Date]&lt;=EOMONTH(B12,0)))</f>
        <v>0</v>
      </c>
      <c r="H12" s="94">
        <f t="shared" si="2"/>
        <v>0</v>
      </c>
      <c r="I12" s="151">
        <f>SUMPRODUCT(data[Garde de :]*(data[Date]&gt;=B12)*(data[Date]&lt;=EOMONTH(B12,0)))</f>
        <v>0</v>
      </c>
      <c r="J12" s="158"/>
      <c r="K12" s="83">
        <f t="shared" si="3"/>
        <v>0</v>
      </c>
      <c r="L12" s="97">
        <f t="shared" si="11"/>
        <v>0</v>
      </c>
      <c r="M12" s="87">
        <f>SUMPRODUCT(data[[Garde postée au CIS]:[Durée interv. nuit]]*(data[Date]&gt;=B12)*(data[Date]&lt;=EOMONTH(B12,0)))-C12-E12-G12</f>
        <v>0</v>
      </c>
      <c r="N12" s="120">
        <f t="shared" si="4"/>
        <v>0</v>
      </c>
      <c r="O12" s="25">
        <f t="shared" si="5"/>
        <v>0</v>
      </c>
      <c r="P12" s="25">
        <f t="shared" si="6"/>
        <v>0</v>
      </c>
      <c r="Q12" s="25">
        <f t="shared" si="7"/>
        <v>0</v>
      </c>
      <c r="R12" s="98">
        <f t="shared" si="8"/>
        <v>0</v>
      </c>
      <c r="S12" s="104">
        <f>24*(TAUX1*N12+TAUX2*D12+TAUX3*F12+TAUX4*H12)</f>
        <v>0</v>
      </c>
      <c r="T12" s="108" t="s">
        <v>92</v>
      </c>
      <c r="U12" s="74">
        <f t="shared" si="10"/>
        <v>7881.0125000000016</v>
      </c>
      <c r="W12" s="113"/>
    </row>
    <row r="13" spans="1:24" ht="15" thickBot="1" x14ac:dyDescent="0.4">
      <c r="A13" s="54"/>
      <c r="B13" s="92">
        <f t="shared" si="9"/>
        <v>43800</v>
      </c>
      <c r="C13" s="99">
        <f>SUMPRODUCT(data[Durée interv. jour]*(data[Date]&gt;=B13)*(data[Date]&lt;=EOMONTH(B13,0)))</f>
        <v>0</v>
      </c>
      <c r="D13" s="95">
        <f t="shared" si="0"/>
        <v>0</v>
      </c>
      <c r="E13" s="99">
        <f>SUMPRODUCT(data[Durée interv. dim ou férié]*(data[Date]&gt;=B13)*(data[Date]&lt;=EOMONTH(B13,0)))</f>
        <v>0</v>
      </c>
      <c r="F13" s="95">
        <f t="shared" si="1"/>
        <v>0</v>
      </c>
      <c r="G13" s="99">
        <f>SUMPRODUCT(data[Durée interv. nuit]*(data[Date]&gt;=B13)*(data[Date]&lt;=EOMONTH(B13,0)))</f>
        <v>0</v>
      </c>
      <c r="H13" s="95">
        <f t="shared" si="2"/>
        <v>0</v>
      </c>
      <c r="I13" s="151">
        <f>SUMPRODUCT(data[Garde de :]*(data[Date]&gt;=B13)*(data[Date]&lt;=EOMONTH(B13,0)))</f>
        <v>0</v>
      </c>
      <c r="J13" s="159"/>
      <c r="K13" s="84">
        <f t="shared" si="3"/>
        <v>0</v>
      </c>
      <c r="L13" s="100">
        <f t="shared" si="11"/>
        <v>0</v>
      </c>
      <c r="M13" s="88">
        <f>SUMPRODUCT(data[[Garde postée au CIS]:[Durée interv. nuit]]*(data[Date]&gt;=B13)*(data[Date]&lt;=EOMONTH(B13,0)))-C13-E13-G13</f>
        <v>0</v>
      </c>
      <c r="N13" s="121">
        <f t="shared" si="4"/>
        <v>0</v>
      </c>
      <c r="O13" s="101">
        <f t="shared" si="5"/>
        <v>0</v>
      </c>
      <c r="P13" s="101">
        <f t="shared" si="6"/>
        <v>0</v>
      </c>
      <c r="Q13" s="101">
        <f t="shared" si="7"/>
        <v>0</v>
      </c>
      <c r="R13" s="102">
        <f t="shared" si="8"/>
        <v>0</v>
      </c>
      <c r="S13" s="104">
        <f>24*(TAUX1*N13+TAUX2*D13+TAUX3*F13+TAUX4*H13)</f>
        <v>0</v>
      </c>
      <c r="T13" s="109" t="s">
        <v>93</v>
      </c>
      <c r="U13" s="75">
        <f t="shared" si="10"/>
        <v>7881.0125000000016</v>
      </c>
      <c r="W13" s="116"/>
    </row>
    <row r="14" spans="1:24" ht="15" thickTop="1" x14ac:dyDescent="0.35">
      <c r="B14" s="22" t="s">
        <v>45</v>
      </c>
      <c r="C14" s="73"/>
      <c r="D14" s="73">
        <f>SUM(D2:D13)</f>
        <v>2.5729166666666665</v>
      </c>
      <c r="E14" s="73"/>
      <c r="F14" s="73">
        <f>SUM(F2:F13)</f>
        <v>0.84375</v>
      </c>
      <c r="G14" s="73"/>
      <c r="H14" s="73">
        <f>SUM(H2:H13)</f>
        <v>0.4375</v>
      </c>
      <c r="I14" s="155">
        <f>SUM(I2:I13)</f>
        <v>23.468055555555559</v>
      </c>
      <c r="J14" s="156"/>
      <c r="K14" s="85"/>
      <c r="L14" s="23">
        <f t="shared" ref="L14:R14" si="12">SUM(L2:L13)</f>
        <v>3.8020833333333335</v>
      </c>
      <c r="M14" s="85"/>
      <c r="N14" s="72">
        <f>SUM(N2:N13)</f>
        <v>19.708333333333332</v>
      </c>
      <c r="O14" s="24">
        <f t="shared" si="12"/>
        <v>2743.3999999999996</v>
      </c>
      <c r="P14" s="24">
        <f t="shared" si="12"/>
        <v>477.94499999999999</v>
      </c>
      <c r="Q14" s="24">
        <f t="shared" si="12"/>
        <v>235.10249999999999</v>
      </c>
      <c r="R14" s="24">
        <f t="shared" si="12"/>
        <v>162.54</v>
      </c>
      <c r="S14" s="90">
        <f>SUM(S2:S13)</f>
        <v>3618.9875000000002</v>
      </c>
      <c r="T14" s="103"/>
      <c r="U14" s="68">
        <f>U13</f>
        <v>7881.0125000000016</v>
      </c>
      <c r="W14" s="115"/>
    </row>
    <row r="17" spans="9:9" x14ac:dyDescent="0.35">
      <c r="I17" s="61"/>
    </row>
  </sheetData>
  <autoFilter ref="A1:B14"/>
  <mergeCells count="10">
    <mergeCell ref="C1:D1"/>
    <mergeCell ref="E1:F1"/>
    <mergeCell ref="G1:H1"/>
    <mergeCell ref="K1:L1"/>
    <mergeCell ref="J2:J4"/>
    <mergeCell ref="M1:N1"/>
    <mergeCell ref="I14:J14"/>
    <mergeCell ref="J5:J7"/>
    <mergeCell ref="J8:J10"/>
    <mergeCell ref="J11:J13"/>
  </mergeCells>
  <phoneticPr fontId="30" type="noConversion"/>
  <conditionalFormatting sqref="M2:M13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{B17F1626-3F4F-463F-A0F0-B6FA89374712}</x14:id>
        </ext>
      </extLst>
    </cfRule>
  </conditionalFormatting>
  <conditionalFormatting sqref="K2:K13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{E2CAFFDD-9D5E-4EC7-B1B0-3BC5D96953E2}</x14:id>
        </ext>
      </extLst>
    </cfRule>
  </conditionalFormatting>
  <conditionalFormatting sqref="S2:S13"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{9BA5B356-A150-4CF1-AAB9-E539427FCA40}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E2:E13 G2:G13 C2:C13" formula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17F1626-3F4F-463F-A0F0-B6FA8937471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M2:M13</xm:sqref>
        </x14:conditionalFormatting>
        <x14:conditionalFormatting xmlns:xm="http://schemas.microsoft.com/office/excel/2006/main">
          <x14:cfRule type="dataBar" id="{E2CAFFDD-9D5E-4EC7-B1B0-3BC5D96953E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K2:K13</xm:sqref>
        </x14:conditionalFormatting>
        <x14:conditionalFormatting xmlns:xm="http://schemas.microsoft.com/office/excel/2006/main">
          <x14:cfRule type="dataBar" id="{9BA5B356-A150-4CF1-AAB9-E539427FCA4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S2:S13</xm:sqref>
        </x14:conditionalFormatting>
        <x14:conditionalFormatting xmlns:xm="http://schemas.microsoft.com/office/excel/2006/main">
          <x14:cfRule type="cellIs" priority="25" operator="lessThan" id="{43B80724-BC2F-44AE-966C-28081FBD2C82}">
            <xm:f>Paramètres!$B$46</xm:f>
            <x14:dxf>
              <font>
                <color theme="9" tint="-0.24994659260841701"/>
              </font>
              <fill>
                <patternFill patternType="solid">
                  <bgColor theme="8" tint="0.59996337778862885"/>
                </patternFill>
              </fill>
            </x14:dxf>
          </x14:cfRule>
          <x14:cfRule type="cellIs" priority="26" operator="greaterThan" id="{4225DDA6-D424-44D1-9749-76C9CDBC64DF}">
            <xm:f>Paramètres!$B$46</xm:f>
            <x14:dxf>
              <fill>
                <patternFill>
                  <bgColor rgb="FFFFC7CE"/>
                </patternFill>
              </fill>
            </x14:dxf>
          </x14:cfRule>
          <xm:sqref>S14:T14</xm:sqref>
        </x14:conditionalFormatting>
        <x14:conditionalFormatting xmlns:xm="http://schemas.microsoft.com/office/excel/2006/main">
          <x14:cfRule type="iconSet" priority="5" id="{9E630488-69CC-4092-8D81-5A034AA670DF}">
            <x14:iconSet iconSet="4Arrows" custom="1">
              <x14:cfvo type="percent">
                <xm:f>0</xm:f>
              </x14:cfvo>
              <x14:cfvo type="formula" gte="0">
                <xm:f>Paramètres!$B$44</xm:f>
              </x14:cfvo>
              <x14:cfvo type="formula">
                <xm:f>Paramètres!$B$41</xm:f>
              </x14:cfvo>
              <x14:cfvo type="formula" gte="0">
                <xm:f>Paramètres!$B$41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J2:J4</xm:sqref>
        </x14:conditionalFormatting>
        <x14:conditionalFormatting xmlns:xm="http://schemas.microsoft.com/office/excel/2006/main">
          <x14:cfRule type="iconSet" priority="4" id="{4F56E466-B4E5-4D2F-A594-9CEBBBA9E1F5}">
            <x14:iconSet iconSet="4Arrows" custom="1">
              <x14:cfvo type="percent">
                <xm:f>0</xm:f>
              </x14:cfvo>
              <x14:cfvo type="formula" gte="0">
                <xm:f>Paramètres!$B$44</xm:f>
              </x14:cfvo>
              <x14:cfvo type="formula">
                <xm:f>Paramètres!$B$41</xm:f>
              </x14:cfvo>
              <x14:cfvo type="formula" gte="0">
                <xm:f>Paramètres!$B$41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J5:J7</xm:sqref>
        </x14:conditionalFormatting>
        <x14:conditionalFormatting xmlns:xm="http://schemas.microsoft.com/office/excel/2006/main">
          <x14:cfRule type="iconSet" priority="3" id="{A977CC0E-8FDA-4900-8BD0-4022D2DB0DC9}">
            <x14:iconSet iconSet="4Arrows" custom="1">
              <x14:cfvo type="percent">
                <xm:f>0</xm:f>
              </x14:cfvo>
              <x14:cfvo type="formula" gte="0">
                <xm:f>Paramètres!$B$44</xm:f>
              </x14:cfvo>
              <x14:cfvo type="formula">
                <xm:f>Paramètres!$B$41</xm:f>
              </x14:cfvo>
              <x14:cfvo type="formula" gte="0">
                <xm:f>Paramètres!$B$41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J8:J10</xm:sqref>
        </x14:conditionalFormatting>
        <x14:conditionalFormatting xmlns:xm="http://schemas.microsoft.com/office/excel/2006/main">
          <x14:cfRule type="iconSet" priority="2" id="{8661B6E4-89D5-4FE7-A9F6-0B5DCCDB83CB}">
            <x14:iconSet iconSet="4Arrows" custom="1">
              <x14:cfvo type="percent">
                <xm:f>0</xm:f>
              </x14:cfvo>
              <x14:cfvo type="formula" gte="0">
                <xm:f>Paramètres!$B$44</xm:f>
              </x14:cfvo>
              <x14:cfvo type="formula">
                <xm:f>Paramètres!$B$41</xm:f>
              </x14:cfvo>
              <x14:cfvo type="formula" gte="0">
                <xm:f>Paramètres!$B$41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J11:J13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6"/>
  <sheetViews>
    <sheetView workbookViewId="0">
      <selection activeCell="H13" sqref="H13"/>
    </sheetView>
  </sheetViews>
  <sheetFormatPr baseColWidth="10" defaultColWidth="10.90625" defaultRowHeight="14.5" x14ac:dyDescent="0.35"/>
  <cols>
    <col min="1" max="1" width="21.36328125" style="3" bestFit="1" customWidth="1"/>
    <col min="2" max="2" width="20.36328125" style="10" bestFit="1" customWidth="1"/>
    <col min="3" max="16384" width="10.90625" style="3"/>
  </cols>
  <sheetData>
    <row r="1" spans="1:5" x14ac:dyDescent="0.35">
      <c r="A1" s="4" t="s">
        <v>27</v>
      </c>
      <c r="B1" s="9">
        <v>0.29166666666666669</v>
      </c>
      <c r="E1" s="3" t="s">
        <v>80</v>
      </c>
    </row>
    <row r="2" spans="1:5" x14ac:dyDescent="0.35">
      <c r="A2" s="4" t="s">
        <v>28</v>
      </c>
      <c r="B2" s="9">
        <v>0.91666666666666663</v>
      </c>
      <c r="E2" s="3" t="s">
        <v>79</v>
      </c>
    </row>
    <row r="3" spans="1:5" x14ac:dyDescent="0.35">
      <c r="B3" s="10" t="s">
        <v>82</v>
      </c>
      <c r="C3" s="114"/>
    </row>
    <row r="4" spans="1:5" x14ac:dyDescent="0.35">
      <c r="A4" s="4" t="s">
        <v>29</v>
      </c>
      <c r="B4" s="11">
        <v>5.8</v>
      </c>
    </row>
    <row r="5" spans="1:5" x14ac:dyDescent="0.35">
      <c r="A5" s="4" t="s">
        <v>30</v>
      </c>
      <c r="B5" s="11">
        <v>7.74</v>
      </c>
    </row>
    <row r="6" spans="1:5" x14ac:dyDescent="0.35">
      <c r="A6" s="4" t="s">
        <v>31</v>
      </c>
      <c r="B6" s="11">
        <v>11.61</v>
      </c>
    </row>
    <row r="7" spans="1:5" x14ac:dyDescent="0.35">
      <c r="A7" s="4" t="s">
        <v>32</v>
      </c>
      <c r="B7" s="11">
        <v>15.48</v>
      </c>
    </row>
    <row r="9" spans="1:5" x14ac:dyDescent="0.35">
      <c r="A9" s="5" t="s">
        <v>26</v>
      </c>
      <c r="B9" s="8" t="s">
        <v>2</v>
      </c>
    </row>
    <row r="10" spans="1:5" x14ac:dyDescent="0.35">
      <c r="A10" s="6"/>
      <c r="B10" s="8" t="s">
        <v>4</v>
      </c>
    </row>
    <row r="11" spans="1:5" x14ac:dyDescent="0.35">
      <c r="A11" s="6"/>
      <c r="B11" s="8" t="s">
        <v>3</v>
      </c>
    </row>
    <row r="12" spans="1:5" x14ac:dyDescent="0.35">
      <c r="A12" s="6"/>
      <c r="B12" s="8" t="s">
        <v>5</v>
      </c>
    </row>
    <row r="13" spans="1:5" x14ac:dyDescent="0.35">
      <c r="A13" s="6"/>
      <c r="B13" s="8" t="s">
        <v>76</v>
      </c>
    </row>
    <row r="14" spans="1:5" x14ac:dyDescent="0.35">
      <c r="A14" s="7"/>
      <c r="B14" s="8" t="s">
        <v>95</v>
      </c>
    </row>
    <row r="16" spans="1:5" x14ac:dyDescent="0.35">
      <c r="A16" s="5" t="s">
        <v>63</v>
      </c>
      <c r="B16" s="8" t="s">
        <v>56</v>
      </c>
    </row>
    <row r="17" spans="1:2" x14ac:dyDescent="0.35">
      <c r="A17" s="6"/>
      <c r="B17" s="8" t="s">
        <v>52</v>
      </c>
    </row>
    <row r="18" spans="1:2" x14ac:dyDescent="0.35">
      <c r="A18" s="6"/>
      <c r="B18" s="8" t="s">
        <v>66</v>
      </c>
    </row>
    <row r="19" spans="1:2" x14ac:dyDescent="0.35">
      <c r="A19" s="6"/>
      <c r="B19" s="8" t="s">
        <v>65</v>
      </c>
    </row>
    <row r="20" spans="1:2" x14ac:dyDescent="0.35">
      <c r="A20" s="6"/>
      <c r="B20" s="8" t="s">
        <v>67</v>
      </c>
    </row>
    <row r="21" spans="1:2" x14ac:dyDescent="0.35">
      <c r="A21" s="6"/>
      <c r="B21" s="8" t="s">
        <v>57</v>
      </c>
    </row>
    <row r="22" spans="1:2" x14ac:dyDescent="0.35">
      <c r="A22" s="6"/>
      <c r="B22" s="8" t="s">
        <v>54</v>
      </c>
    </row>
    <row r="23" spans="1:2" x14ac:dyDescent="0.35">
      <c r="A23" s="6"/>
      <c r="B23" s="8" t="s">
        <v>64</v>
      </c>
    </row>
    <row r="24" spans="1:2" x14ac:dyDescent="0.35">
      <c r="A24" s="6"/>
      <c r="B24" s="8" t="s">
        <v>59</v>
      </c>
    </row>
    <row r="25" spans="1:2" x14ac:dyDescent="0.35">
      <c r="A25" s="6"/>
      <c r="B25" s="8" t="s">
        <v>55</v>
      </c>
    </row>
    <row r="26" spans="1:2" x14ac:dyDescent="0.35">
      <c r="A26" s="6"/>
      <c r="B26" s="8" t="s">
        <v>53</v>
      </c>
    </row>
    <row r="27" spans="1:2" x14ac:dyDescent="0.35">
      <c r="A27" s="6"/>
      <c r="B27" s="8" t="s">
        <v>60</v>
      </c>
    </row>
    <row r="28" spans="1:2" x14ac:dyDescent="0.35">
      <c r="A28" s="6"/>
      <c r="B28" s="8" t="s">
        <v>58</v>
      </c>
    </row>
    <row r="29" spans="1:2" x14ac:dyDescent="0.35">
      <c r="A29" s="6"/>
      <c r="B29" s="8" t="s">
        <v>83</v>
      </c>
    </row>
    <row r="30" spans="1:2" x14ac:dyDescent="0.35">
      <c r="A30" s="7"/>
      <c r="B30" s="8" t="s">
        <v>61</v>
      </c>
    </row>
    <row r="40" spans="1:2" x14ac:dyDescent="0.35">
      <c r="A40" s="69" t="s">
        <v>70</v>
      </c>
      <c r="B40" s="110">
        <f>B42*12</f>
        <v>60</v>
      </c>
    </row>
    <row r="41" spans="1:2" x14ac:dyDescent="0.35">
      <c r="A41" s="55" t="s">
        <v>71</v>
      </c>
      <c r="B41" s="111">
        <f>B42*3</f>
        <v>15</v>
      </c>
    </row>
    <row r="42" spans="1:2" x14ac:dyDescent="0.35">
      <c r="A42" s="70" t="s">
        <v>72</v>
      </c>
      <c r="B42" s="112">
        <v>5</v>
      </c>
    </row>
    <row r="43" spans="1:2" x14ac:dyDescent="0.35">
      <c r="A43" s="70" t="s">
        <v>73</v>
      </c>
      <c r="B43" s="112">
        <v>16</v>
      </c>
    </row>
    <row r="44" spans="1:2" x14ac:dyDescent="0.35">
      <c r="A44" s="70" t="s">
        <v>74</v>
      </c>
      <c r="B44" s="112">
        <v>4</v>
      </c>
    </row>
    <row r="45" spans="1:2" x14ac:dyDescent="0.35">
      <c r="A45" s="55" t="s">
        <v>75</v>
      </c>
      <c r="B45" s="111">
        <v>0</v>
      </c>
    </row>
    <row r="46" spans="1:2" x14ac:dyDescent="0.35">
      <c r="A46" s="71" t="s">
        <v>68</v>
      </c>
      <c r="B46" s="93">
        <v>11500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3"/>
  <sheetViews>
    <sheetView topLeftCell="L1" workbookViewId="0">
      <selection activeCell="R7" sqref="R7"/>
    </sheetView>
  </sheetViews>
  <sheetFormatPr baseColWidth="10" defaultRowHeight="14.5" x14ac:dyDescent="0.35"/>
  <cols>
    <col min="1" max="1" width="18.36328125" bestFit="1" customWidth="1"/>
  </cols>
  <sheetData>
    <row r="1" spans="1:17" x14ac:dyDescent="0.35">
      <c r="A1" s="12" t="s">
        <v>10</v>
      </c>
      <c r="B1" s="13">
        <v>2018</v>
      </c>
      <c r="C1" s="13">
        <v>2019</v>
      </c>
      <c r="D1" s="13">
        <v>2020</v>
      </c>
      <c r="E1" s="13">
        <v>2021</v>
      </c>
      <c r="F1" s="13">
        <v>2022</v>
      </c>
      <c r="G1" s="13">
        <v>2023</v>
      </c>
      <c r="H1" s="13">
        <v>2024</v>
      </c>
      <c r="I1" s="13">
        <v>2025</v>
      </c>
      <c r="J1" s="13">
        <v>2026</v>
      </c>
      <c r="K1" s="13">
        <v>2027</v>
      </c>
      <c r="L1" s="13">
        <v>2028</v>
      </c>
      <c r="M1" s="13">
        <v>2029</v>
      </c>
      <c r="N1" s="13">
        <v>2030</v>
      </c>
      <c r="O1" s="13">
        <v>2031</v>
      </c>
      <c r="P1" s="13">
        <v>2032</v>
      </c>
      <c r="Q1" s="13">
        <v>2033</v>
      </c>
    </row>
    <row r="2" spans="1:17" x14ac:dyDescent="0.35">
      <c r="A2" s="1" t="s">
        <v>34</v>
      </c>
      <c r="B2" s="1">
        <f>DATE(B1,1,1)</f>
        <v>43101</v>
      </c>
      <c r="C2" s="1">
        <f>DATE(C1,1,1)</f>
        <v>43466</v>
      </c>
      <c r="D2" s="1">
        <f t="shared" ref="D2:Q2" si="0">DATE(D1,1,1)</f>
        <v>43831</v>
      </c>
      <c r="E2" s="1">
        <f t="shared" si="0"/>
        <v>44197</v>
      </c>
      <c r="F2" s="1">
        <f t="shared" si="0"/>
        <v>44562</v>
      </c>
      <c r="G2" s="1">
        <f t="shared" si="0"/>
        <v>44927</v>
      </c>
      <c r="H2" s="1">
        <f t="shared" si="0"/>
        <v>45292</v>
      </c>
      <c r="I2" s="1">
        <f t="shared" si="0"/>
        <v>45658</v>
      </c>
      <c r="J2" s="1">
        <f t="shared" si="0"/>
        <v>46023</v>
      </c>
      <c r="K2" s="1">
        <f t="shared" si="0"/>
        <v>46388</v>
      </c>
      <c r="L2" s="1">
        <f t="shared" si="0"/>
        <v>46753</v>
      </c>
      <c r="M2" s="1">
        <f t="shared" si="0"/>
        <v>47119</v>
      </c>
      <c r="N2" s="1">
        <f t="shared" si="0"/>
        <v>47484</v>
      </c>
      <c r="O2" s="1">
        <f t="shared" si="0"/>
        <v>47849</v>
      </c>
      <c r="P2" s="1">
        <f t="shared" si="0"/>
        <v>48214</v>
      </c>
      <c r="Q2" s="1">
        <f t="shared" si="0"/>
        <v>48580</v>
      </c>
    </row>
    <row r="3" spans="1:17" x14ac:dyDescent="0.35">
      <c r="A3" s="1" t="s">
        <v>35</v>
      </c>
      <c r="B3" s="1">
        <f>ROUND(DATE(B1,4,MOD(234-11*MOD(B1,19),30))/7,0)*7-6</f>
        <v>43191</v>
      </c>
      <c r="C3" s="1">
        <f>ROUND(DATE(C1,4,MOD(234-11*MOD(C1,19),30))/7,0)*7-6</f>
        <v>43576</v>
      </c>
      <c r="D3" s="1">
        <f t="shared" ref="D3:Q3" si="1">ROUND(DATE(D1,4,MOD(234-11*MOD(D1,19),30))/7,0)*7-6</f>
        <v>43933</v>
      </c>
      <c r="E3" s="1">
        <f t="shared" si="1"/>
        <v>44290</v>
      </c>
      <c r="F3" s="1">
        <f t="shared" si="1"/>
        <v>44668</v>
      </c>
      <c r="G3" s="1">
        <f t="shared" si="1"/>
        <v>45025</v>
      </c>
      <c r="H3" s="1">
        <f t="shared" si="1"/>
        <v>45382</v>
      </c>
      <c r="I3" s="1">
        <f t="shared" si="1"/>
        <v>45767</v>
      </c>
      <c r="J3" s="1">
        <f t="shared" si="1"/>
        <v>46117</v>
      </c>
      <c r="K3" s="1">
        <f t="shared" si="1"/>
        <v>46474</v>
      </c>
      <c r="L3" s="1">
        <f t="shared" si="1"/>
        <v>46859</v>
      </c>
      <c r="M3" s="1">
        <f t="shared" si="1"/>
        <v>47209</v>
      </c>
      <c r="N3" s="1">
        <f t="shared" si="1"/>
        <v>47594</v>
      </c>
      <c r="O3" s="1">
        <f t="shared" si="1"/>
        <v>47951</v>
      </c>
      <c r="P3" s="1">
        <f t="shared" si="1"/>
        <v>48301</v>
      </c>
      <c r="Q3" s="1">
        <f t="shared" si="1"/>
        <v>48686</v>
      </c>
    </row>
    <row r="4" spans="1:17" x14ac:dyDescent="0.35">
      <c r="A4" s="1" t="s">
        <v>6</v>
      </c>
      <c r="B4" s="1">
        <f>B3+1</f>
        <v>43192</v>
      </c>
      <c r="C4" s="1">
        <f>C3+1</f>
        <v>43577</v>
      </c>
      <c r="D4" s="1">
        <f t="shared" ref="D4:Q4" si="2">D3+1</f>
        <v>43934</v>
      </c>
      <c r="E4" s="1">
        <f t="shared" si="2"/>
        <v>44291</v>
      </c>
      <c r="F4" s="1">
        <f t="shared" si="2"/>
        <v>44669</v>
      </c>
      <c r="G4" s="1">
        <f t="shared" si="2"/>
        <v>45026</v>
      </c>
      <c r="H4" s="1">
        <f t="shared" si="2"/>
        <v>45383</v>
      </c>
      <c r="I4" s="1">
        <f t="shared" si="2"/>
        <v>45768</v>
      </c>
      <c r="J4" s="1">
        <f t="shared" si="2"/>
        <v>46118</v>
      </c>
      <c r="K4" s="1">
        <f t="shared" si="2"/>
        <v>46475</v>
      </c>
      <c r="L4" s="1">
        <f t="shared" si="2"/>
        <v>46860</v>
      </c>
      <c r="M4" s="1">
        <f t="shared" si="2"/>
        <v>47210</v>
      </c>
      <c r="N4" s="1">
        <f t="shared" si="2"/>
        <v>47595</v>
      </c>
      <c r="O4" s="1">
        <f t="shared" si="2"/>
        <v>47952</v>
      </c>
      <c r="P4" s="1">
        <f t="shared" si="2"/>
        <v>48302</v>
      </c>
      <c r="Q4" s="1">
        <f t="shared" si="2"/>
        <v>48687</v>
      </c>
    </row>
    <row r="5" spans="1:17" x14ac:dyDescent="0.35">
      <c r="A5" s="1" t="s">
        <v>36</v>
      </c>
      <c r="B5" s="1">
        <f>DATE(B1,5,1)</f>
        <v>43221</v>
      </c>
      <c r="C5" s="1">
        <f>DATE(C1,5,1)</f>
        <v>43586</v>
      </c>
      <c r="D5" s="1">
        <f t="shared" ref="D5:Q5" si="3">DATE(D1,5,1)</f>
        <v>43952</v>
      </c>
      <c r="E5" s="1">
        <f t="shared" si="3"/>
        <v>44317</v>
      </c>
      <c r="F5" s="1">
        <f t="shared" si="3"/>
        <v>44682</v>
      </c>
      <c r="G5" s="1">
        <f t="shared" si="3"/>
        <v>45047</v>
      </c>
      <c r="H5" s="1">
        <f t="shared" si="3"/>
        <v>45413</v>
      </c>
      <c r="I5" s="1">
        <f t="shared" si="3"/>
        <v>45778</v>
      </c>
      <c r="J5" s="1">
        <f t="shared" si="3"/>
        <v>46143</v>
      </c>
      <c r="K5" s="1">
        <f t="shared" si="3"/>
        <v>46508</v>
      </c>
      <c r="L5" s="1">
        <f t="shared" si="3"/>
        <v>46874</v>
      </c>
      <c r="M5" s="1">
        <f t="shared" si="3"/>
        <v>47239</v>
      </c>
      <c r="N5" s="1">
        <f t="shared" si="3"/>
        <v>47604</v>
      </c>
      <c r="O5" s="1">
        <f t="shared" si="3"/>
        <v>47969</v>
      </c>
      <c r="P5" s="1">
        <f t="shared" si="3"/>
        <v>48335</v>
      </c>
      <c r="Q5" s="1">
        <f t="shared" si="3"/>
        <v>48700</v>
      </c>
    </row>
    <row r="6" spans="1:17" x14ac:dyDescent="0.35">
      <c r="A6" s="1" t="s">
        <v>37</v>
      </c>
      <c r="B6" s="1">
        <f>DATE(B1,5,8)</f>
        <v>43228</v>
      </c>
      <c r="C6" s="1">
        <f>DATE(C1,5,8)</f>
        <v>43593</v>
      </c>
      <c r="D6" s="1">
        <f t="shared" ref="D6:Q6" si="4">DATE(D1,5,8)</f>
        <v>43959</v>
      </c>
      <c r="E6" s="1">
        <f t="shared" si="4"/>
        <v>44324</v>
      </c>
      <c r="F6" s="1">
        <f t="shared" si="4"/>
        <v>44689</v>
      </c>
      <c r="G6" s="1">
        <f t="shared" si="4"/>
        <v>45054</v>
      </c>
      <c r="H6" s="1">
        <f t="shared" si="4"/>
        <v>45420</v>
      </c>
      <c r="I6" s="1">
        <f t="shared" si="4"/>
        <v>45785</v>
      </c>
      <c r="J6" s="1">
        <f t="shared" si="4"/>
        <v>46150</v>
      </c>
      <c r="K6" s="1">
        <f t="shared" si="4"/>
        <v>46515</v>
      </c>
      <c r="L6" s="1">
        <f t="shared" si="4"/>
        <v>46881</v>
      </c>
      <c r="M6" s="1">
        <f t="shared" si="4"/>
        <v>47246</v>
      </c>
      <c r="N6" s="1">
        <f t="shared" si="4"/>
        <v>47611</v>
      </c>
      <c r="O6" s="1">
        <f t="shared" si="4"/>
        <v>47976</v>
      </c>
      <c r="P6" s="1">
        <f t="shared" si="4"/>
        <v>48342</v>
      </c>
      <c r="Q6" s="1">
        <f t="shared" si="4"/>
        <v>48707</v>
      </c>
    </row>
    <row r="7" spans="1:17" x14ac:dyDescent="0.35">
      <c r="A7" s="1" t="s">
        <v>38</v>
      </c>
      <c r="B7" s="1">
        <f>B3+39</f>
        <v>43230</v>
      </c>
      <c r="C7" s="1">
        <f>C3+39</f>
        <v>43615</v>
      </c>
      <c r="D7" s="1">
        <f t="shared" ref="D7:Q7" si="5">D3+39</f>
        <v>43972</v>
      </c>
      <c r="E7" s="1">
        <f t="shared" si="5"/>
        <v>44329</v>
      </c>
      <c r="F7" s="1">
        <f t="shared" si="5"/>
        <v>44707</v>
      </c>
      <c r="G7" s="1">
        <f t="shared" si="5"/>
        <v>45064</v>
      </c>
      <c r="H7" s="1">
        <f t="shared" si="5"/>
        <v>45421</v>
      </c>
      <c r="I7" s="1">
        <f t="shared" si="5"/>
        <v>45806</v>
      </c>
      <c r="J7" s="1">
        <f t="shared" si="5"/>
        <v>46156</v>
      </c>
      <c r="K7" s="1">
        <f t="shared" si="5"/>
        <v>46513</v>
      </c>
      <c r="L7" s="1">
        <f t="shared" si="5"/>
        <v>46898</v>
      </c>
      <c r="M7" s="1">
        <f t="shared" si="5"/>
        <v>47248</v>
      </c>
      <c r="N7" s="1">
        <f t="shared" si="5"/>
        <v>47633</v>
      </c>
      <c r="O7" s="1">
        <f t="shared" si="5"/>
        <v>47990</v>
      </c>
      <c r="P7" s="1">
        <f t="shared" si="5"/>
        <v>48340</v>
      </c>
      <c r="Q7" s="1">
        <f t="shared" si="5"/>
        <v>48725</v>
      </c>
    </row>
    <row r="8" spans="1:17" x14ac:dyDescent="0.35">
      <c r="A8" s="1" t="s">
        <v>39</v>
      </c>
      <c r="B8" s="1">
        <f>B3+50</f>
        <v>43241</v>
      </c>
      <c r="C8" s="1">
        <f>C3+50</f>
        <v>43626</v>
      </c>
      <c r="D8" s="1">
        <f t="shared" ref="D8:Q8" si="6">D3+50</f>
        <v>43983</v>
      </c>
      <c r="E8" s="1">
        <f t="shared" si="6"/>
        <v>44340</v>
      </c>
      <c r="F8" s="1">
        <f t="shared" si="6"/>
        <v>44718</v>
      </c>
      <c r="G8" s="1">
        <f t="shared" si="6"/>
        <v>45075</v>
      </c>
      <c r="H8" s="1">
        <f t="shared" si="6"/>
        <v>45432</v>
      </c>
      <c r="I8" s="1">
        <f t="shared" si="6"/>
        <v>45817</v>
      </c>
      <c r="J8" s="1">
        <f t="shared" si="6"/>
        <v>46167</v>
      </c>
      <c r="K8" s="1">
        <f t="shared" si="6"/>
        <v>46524</v>
      </c>
      <c r="L8" s="1">
        <f t="shared" si="6"/>
        <v>46909</v>
      </c>
      <c r="M8" s="1">
        <f t="shared" si="6"/>
        <v>47259</v>
      </c>
      <c r="N8" s="1">
        <f t="shared" si="6"/>
        <v>47644</v>
      </c>
      <c r="O8" s="1">
        <f t="shared" si="6"/>
        <v>48001</v>
      </c>
      <c r="P8" s="1">
        <f t="shared" si="6"/>
        <v>48351</v>
      </c>
      <c r="Q8" s="1">
        <f t="shared" si="6"/>
        <v>48736</v>
      </c>
    </row>
    <row r="9" spans="1:17" x14ac:dyDescent="0.35">
      <c r="A9" s="1" t="s">
        <v>40</v>
      </c>
      <c r="B9" s="1">
        <f>DATE(B1,7,14)</f>
        <v>43295</v>
      </c>
      <c r="C9" s="1">
        <f>DATE(C1,7,14)</f>
        <v>43660</v>
      </c>
      <c r="D9" s="1">
        <f t="shared" ref="D9:Q9" si="7">DATE(D1,7,14)</f>
        <v>44026</v>
      </c>
      <c r="E9" s="1">
        <f t="shared" si="7"/>
        <v>44391</v>
      </c>
      <c r="F9" s="1">
        <f t="shared" si="7"/>
        <v>44756</v>
      </c>
      <c r="G9" s="1">
        <f t="shared" si="7"/>
        <v>45121</v>
      </c>
      <c r="H9" s="1">
        <f t="shared" si="7"/>
        <v>45487</v>
      </c>
      <c r="I9" s="1">
        <f t="shared" si="7"/>
        <v>45852</v>
      </c>
      <c r="J9" s="1">
        <f t="shared" si="7"/>
        <v>46217</v>
      </c>
      <c r="K9" s="1">
        <f t="shared" si="7"/>
        <v>46582</v>
      </c>
      <c r="L9" s="1">
        <f t="shared" si="7"/>
        <v>46948</v>
      </c>
      <c r="M9" s="1">
        <f t="shared" si="7"/>
        <v>47313</v>
      </c>
      <c r="N9" s="1">
        <f t="shared" si="7"/>
        <v>47678</v>
      </c>
      <c r="O9" s="1">
        <f t="shared" si="7"/>
        <v>48043</v>
      </c>
      <c r="P9" s="1">
        <f t="shared" si="7"/>
        <v>48409</v>
      </c>
      <c r="Q9" s="1">
        <f t="shared" si="7"/>
        <v>48774</v>
      </c>
    </row>
    <row r="10" spans="1:17" x14ac:dyDescent="0.35">
      <c r="A10" s="1" t="s">
        <v>7</v>
      </c>
      <c r="B10" s="1">
        <f>DATE(B1,8,15)</f>
        <v>43327</v>
      </c>
      <c r="C10" s="1">
        <f>DATE(C1,8,15)</f>
        <v>43692</v>
      </c>
      <c r="D10" s="1">
        <f t="shared" ref="D10:Q10" si="8">DATE(D1,8,15)</f>
        <v>44058</v>
      </c>
      <c r="E10" s="1">
        <f t="shared" si="8"/>
        <v>44423</v>
      </c>
      <c r="F10" s="1">
        <f t="shared" si="8"/>
        <v>44788</v>
      </c>
      <c r="G10" s="1">
        <f t="shared" si="8"/>
        <v>45153</v>
      </c>
      <c r="H10" s="1">
        <f t="shared" si="8"/>
        <v>45519</v>
      </c>
      <c r="I10" s="1">
        <f t="shared" si="8"/>
        <v>45884</v>
      </c>
      <c r="J10" s="1">
        <f t="shared" si="8"/>
        <v>46249</v>
      </c>
      <c r="K10" s="1">
        <f t="shared" si="8"/>
        <v>46614</v>
      </c>
      <c r="L10" s="1">
        <f t="shared" si="8"/>
        <v>46980</v>
      </c>
      <c r="M10" s="1">
        <f t="shared" si="8"/>
        <v>47345</v>
      </c>
      <c r="N10" s="1">
        <f t="shared" si="8"/>
        <v>47710</v>
      </c>
      <c r="O10" s="1">
        <f t="shared" si="8"/>
        <v>48075</v>
      </c>
      <c r="P10" s="1">
        <f t="shared" si="8"/>
        <v>48441</v>
      </c>
      <c r="Q10" s="1">
        <f t="shared" si="8"/>
        <v>48806</v>
      </c>
    </row>
    <row r="11" spans="1:17" x14ac:dyDescent="0.35">
      <c r="A11" s="1" t="s">
        <v>41</v>
      </c>
      <c r="B11" s="1">
        <f>DATE(B1,11,1)</f>
        <v>43405</v>
      </c>
      <c r="C11" s="1">
        <f>DATE(C1,11,1)</f>
        <v>43770</v>
      </c>
      <c r="D11" s="1">
        <f t="shared" ref="D11:Q11" si="9">DATE(D1,11,1)</f>
        <v>44136</v>
      </c>
      <c r="E11" s="1">
        <f t="shared" si="9"/>
        <v>44501</v>
      </c>
      <c r="F11" s="1">
        <f t="shared" si="9"/>
        <v>44866</v>
      </c>
      <c r="G11" s="1">
        <f t="shared" si="9"/>
        <v>45231</v>
      </c>
      <c r="H11" s="1">
        <f t="shared" si="9"/>
        <v>45597</v>
      </c>
      <c r="I11" s="1">
        <f t="shared" si="9"/>
        <v>45962</v>
      </c>
      <c r="J11" s="1">
        <f t="shared" si="9"/>
        <v>46327</v>
      </c>
      <c r="K11" s="1">
        <f t="shared" si="9"/>
        <v>46692</v>
      </c>
      <c r="L11" s="1">
        <f t="shared" si="9"/>
        <v>47058</v>
      </c>
      <c r="M11" s="1">
        <f t="shared" si="9"/>
        <v>47423</v>
      </c>
      <c r="N11" s="1">
        <f t="shared" si="9"/>
        <v>47788</v>
      </c>
      <c r="O11" s="1">
        <f t="shared" si="9"/>
        <v>48153</v>
      </c>
      <c r="P11" s="1">
        <f t="shared" si="9"/>
        <v>48519</v>
      </c>
      <c r="Q11" s="1">
        <f t="shared" si="9"/>
        <v>48884</v>
      </c>
    </row>
    <row r="12" spans="1:17" x14ac:dyDescent="0.35">
      <c r="A12" s="1" t="s">
        <v>8</v>
      </c>
      <c r="B12" s="1">
        <f>DATE(B1,11,11)</f>
        <v>43415</v>
      </c>
      <c r="C12" s="1">
        <f>DATE(C1,11,11)</f>
        <v>43780</v>
      </c>
      <c r="D12" s="1">
        <f t="shared" ref="D12:Q12" si="10">DATE(D1,11,11)</f>
        <v>44146</v>
      </c>
      <c r="E12" s="1">
        <f t="shared" si="10"/>
        <v>44511</v>
      </c>
      <c r="F12" s="1">
        <f t="shared" si="10"/>
        <v>44876</v>
      </c>
      <c r="G12" s="1">
        <f t="shared" si="10"/>
        <v>45241</v>
      </c>
      <c r="H12" s="1">
        <f t="shared" si="10"/>
        <v>45607</v>
      </c>
      <c r="I12" s="1">
        <f t="shared" si="10"/>
        <v>45972</v>
      </c>
      <c r="J12" s="1">
        <f t="shared" si="10"/>
        <v>46337</v>
      </c>
      <c r="K12" s="1">
        <f t="shared" si="10"/>
        <v>46702</v>
      </c>
      <c r="L12" s="1">
        <f t="shared" si="10"/>
        <v>47068</v>
      </c>
      <c r="M12" s="1">
        <f t="shared" si="10"/>
        <v>47433</v>
      </c>
      <c r="N12" s="1">
        <f t="shared" si="10"/>
        <v>47798</v>
      </c>
      <c r="O12" s="1">
        <f t="shared" si="10"/>
        <v>48163</v>
      </c>
      <c r="P12" s="1">
        <f t="shared" si="10"/>
        <v>48529</v>
      </c>
      <c r="Q12" s="1">
        <f t="shared" si="10"/>
        <v>48894</v>
      </c>
    </row>
    <row r="13" spans="1:17" x14ac:dyDescent="0.35">
      <c r="A13" s="1" t="s">
        <v>9</v>
      </c>
      <c r="B13" s="1">
        <f>DATE(B1,12,25)</f>
        <v>43459</v>
      </c>
      <c r="C13" s="1">
        <f>DATE(C1,12,25)</f>
        <v>43824</v>
      </c>
      <c r="D13" s="1">
        <f t="shared" ref="D13:Q13" si="11">DATE(D1,12,25)</f>
        <v>44190</v>
      </c>
      <c r="E13" s="1">
        <f t="shared" si="11"/>
        <v>44555</v>
      </c>
      <c r="F13" s="1">
        <f t="shared" si="11"/>
        <v>44920</v>
      </c>
      <c r="G13" s="1">
        <f t="shared" si="11"/>
        <v>45285</v>
      </c>
      <c r="H13" s="1">
        <f t="shared" si="11"/>
        <v>45651</v>
      </c>
      <c r="I13" s="1">
        <f t="shared" si="11"/>
        <v>46016</v>
      </c>
      <c r="J13" s="1">
        <f t="shared" si="11"/>
        <v>46381</v>
      </c>
      <c r="K13" s="1">
        <f t="shared" si="11"/>
        <v>46746</v>
      </c>
      <c r="L13" s="1">
        <f t="shared" si="11"/>
        <v>47112</v>
      </c>
      <c r="M13" s="1">
        <f t="shared" si="11"/>
        <v>47477</v>
      </c>
      <c r="N13" s="1">
        <f t="shared" si="11"/>
        <v>47842</v>
      </c>
      <c r="O13" s="1">
        <f t="shared" si="11"/>
        <v>48207</v>
      </c>
      <c r="P13" s="1">
        <f t="shared" si="11"/>
        <v>48573</v>
      </c>
      <c r="Q13" s="1">
        <f t="shared" si="11"/>
        <v>48938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Données</vt:lpstr>
      <vt:lpstr>Test sur jour nuit</vt:lpstr>
      <vt:lpstr>Calcul indemnités mensuelles</vt:lpstr>
      <vt:lpstr>Paramètres</vt:lpstr>
      <vt:lpstr>Jours Fériés</vt:lpstr>
      <vt:lpstr>DebNuit</vt:lpstr>
      <vt:lpstr>FinNuit</vt:lpstr>
      <vt:lpstr>JF</vt:lpstr>
      <vt:lpstr>Motifs</vt:lpstr>
      <vt:lpstr>réponses</vt:lpstr>
      <vt:lpstr>TAUX1</vt:lpstr>
      <vt:lpstr>TAUX2</vt:lpstr>
      <vt:lpstr>TAUX3</vt:lpstr>
      <vt:lpstr>TAUX4</vt:lpstr>
      <vt:lpstr>véhicule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cp:lastPrinted>2018-11-01T10:12:43Z</cp:lastPrinted>
  <dcterms:created xsi:type="dcterms:W3CDTF">2015-06-05T18:19:34Z</dcterms:created>
  <dcterms:modified xsi:type="dcterms:W3CDTF">2019-06-14T03:16:31Z</dcterms:modified>
</cp:coreProperties>
</file>