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calcul" sheetId="3" r:id="rId1"/>
    <sheet name="mise au point 1" sheetId="4" state="hidden" r:id="rId2"/>
    <sheet name="mise au point 2" sheetId="5" state="hidden" r:id="rId3"/>
    <sheet name="calendrier" sheetId="2" state="hidden" r:id="rId4"/>
  </sheets>
  <definedNames>
    <definedName name="deb_jour">calcul!$B$1</definedName>
    <definedName name="deb_pause">calcul!$B$4</definedName>
    <definedName name="fin_jour">calcul!$B$2</definedName>
    <definedName name="fin_pause">calcul!$B$5</definedName>
    <definedName name="JF">calendrier!$E$1:$E$56</definedName>
    <definedName name="ouverture">calcul!$B$1</definedName>
    <definedName name="tot_jour">calcul!$B$8</definedName>
    <definedName name="tot_pause">calcul!$B$6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3" l="1"/>
  <c r="C13" i="3"/>
  <c r="C14" i="3"/>
  <c r="C15" i="3"/>
  <c r="C16" i="3"/>
  <c r="C17" i="3"/>
  <c r="C18" i="3"/>
  <c r="C19" i="3"/>
  <c r="C20" i="3"/>
  <c r="C21" i="3"/>
  <c r="C22" i="3"/>
  <c r="C23" i="3"/>
  <c r="C24" i="3"/>
  <c r="K2" i="4"/>
  <c r="K3" i="4"/>
  <c r="K4" i="4"/>
  <c r="K5" i="4"/>
  <c r="K6" i="4"/>
  <c r="K7" i="4"/>
  <c r="K8" i="4"/>
  <c r="K9" i="4"/>
  <c r="K10" i="4"/>
  <c r="K11" i="4"/>
  <c r="K12" i="4"/>
  <c r="K13" i="4"/>
  <c r="K14" i="4"/>
  <c r="E2" i="4"/>
  <c r="E3" i="4"/>
  <c r="E4" i="4"/>
  <c r="E5" i="4"/>
  <c r="E6" i="4"/>
  <c r="E7" i="4"/>
  <c r="E8" i="4"/>
  <c r="E9" i="4"/>
  <c r="E10" i="4"/>
  <c r="E11" i="4"/>
  <c r="E12" i="4"/>
  <c r="E13" i="4"/>
  <c r="E14" i="4"/>
  <c r="D2" i="4" l="1"/>
  <c r="D3" i="4"/>
  <c r="D4" i="4"/>
  <c r="D5" i="4"/>
  <c r="D6" i="4"/>
  <c r="D7" i="4"/>
  <c r="D8" i="4"/>
  <c r="D9" i="4"/>
  <c r="D10" i="4"/>
  <c r="D11" i="4"/>
  <c r="D12" i="4"/>
  <c r="D13" i="4"/>
  <c r="D14" i="4"/>
  <c r="C2" i="4"/>
  <c r="C3" i="4"/>
  <c r="C4" i="4"/>
  <c r="C5" i="4"/>
  <c r="C6" i="4"/>
  <c r="C7" i="4"/>
  <c r="C8" i="4"/>
  <c r="C9" i="4"/>
  <c r="C10" i="4"/>
  <c r="C11" i="4"/>
  <c r="C12" i="4"/>
  <c r="C13" i="4"/>
  <c r="C14" i="4"/>
  <c r="C4" i="5"/>
  <c r="C5" i="5"/>
  <c r="C6" i="5"/>
  <c r="C7" i="5"/>
  <c r="C8" i="5"/>
  <c r="C9" i="5"/>
  <c r="C10" i="5"/>
  <c r="C11" i="5"/>
  <c r="C12" i="5"/>
  <c r="C13" i="5"/>
  <c r="C14" i="5"/>
  <c r="C15" i="5"/>
  <c r="C16" i="5"/>
  <c r="H4" i="5"/>
  <c r="H5" i="5"/>
  <c r="H6" i="5"/>
  <c r="H7" i="5"/>
  <c r="H8" i="5"/>
  <c r="H9" i="5"/>
  <c r="H10" i="5"/>
  <c r="H11" i="5"/>
  <c r="H12" i="5"/>
  <c r="H13" i="5"/>
  <c r="H14" i="5"/>
  <c r="H15" i="5"/>
  <c r="H16" i="5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F11" i="4" l="1"/>
  <c r="F7" i="4"/>
  <c r="F3" i="4"/>
  <c r="H3" i="4" s="1"/>
  <c r="F13" i="4"/>
  <c r="F9" i="4"/>
  <c r="F12" i="4"/>
  <c r="F8" i="4"/>
  <c r="F4" i="4"/>
  <c r="G16" i="5"/>
  <c r="F16" i="5"/>
  <c r="E16" i="5"/>
  <c r="D16" i="5"/>
  <c r="I16" i="5" s="1"/>
  <c r="G15" i="5"/>
  <c r="F15" i="5"/>
  <c r="E15" i="5"/>
  <c r="D15" i="5"/>
  <c r="I15" i="5" s="1"/>
  <c r="G14" i="5"/>
  <c r="F14" i="5"/>
  <c r="E14" i="5"/>
  <c r="I14" i="5" s="1"/>
  <c r="D14" i="5"/>
  <c r="G13" i="5"/>
  <c r="F13" i="5"/>
  <c r="E13" i="5"/>
  <c r="D13" i="5"/>
  <c r="I13" i="5" s="1"/>
  <c r="G12" i="5"/>
  <c r="F12" i="5"/>
  <c r="E12" i="5"/>
  <c r="D12" i="5"/>
  <c r="I12" i="5" s="1"/>
  <c r="G11" i="5"/>
  <c r="F11" i="5"/>
  <c r="E11" i="5"/>
  <c r="D11" i="5"/>
  <c r="I11" i="5" s="1"/>
  <c r="G10" i="5"/>
  <c r="F10" i="5"/>
  <c r="E10" i="5"/>
  <c r="I10" i="5" s="1"/>
  <c r="D10" i="5"/>
  <c r="G9" i="5"/>
  <c r="F9" i="5"/>
  <c r="E9" i="5"/>
  <c r="D9" i="5"/>
  <c r="I9" i="5" s="1"/>
  <c r="G8" i="5"/>
  <c r="F8" i="5"/>
  <c r="E8" i="5"/>
  <c r="D8" i="5"/>
  <c r="I8" i="5" s="1"/>
  <c r="G7" i="5"/>
  <c r="F7" i="5"/>
  <c r="E7" i="5"/>
  <c r="D7" i="5"/>
  <c r="I7" i="5" s="1"/>
  <c r="G6" i="5"/>
  <c r="F6" i="5"/>
  <c r="E6" i="5"/>
  <c r="I6" i="5" s="1"/>
  <c r="D6" i="5"/>
  <c r="G5" i="5"/>
  <c r="F5" i="5"/>
  <c r="E5" i="5"/>
  <c r="D5" i="5"/>
  <c r="I5" i="5" s="1"/>
  <c r="G4" i="5"/>
  <c r="F4" i="5"/>
  <c r="E4" i="5"/>
  <c r="D4" i="5"/>
  <c r="I4" i="5" s="1"/>
  <c r="F2" i="4" l="1"/>
  <c r="F5" i="4"/>
  <c r="F6" i="4"/>
  <c r="F10" i="4"/>
  <c r="F14" i="4"/>
  <c r="H11" i="4"/>
  <c r="G6" i="4"/>
  <c r="H6" i="4"/>
  <c r="H10" i="4"/>
  <c r="G10" i="4"/>
  <c r="G2" i="4"/>
  <c r="H2" i="4"/>
  <c r="I2" i="4" s="1"/>
  <c r="J2" i="4" s="1"/>
  <c r="H14" i="4"/>
  <c r="G14" i="4"/>
  <c r="G13" i="4"/>
  <c r="H13" i="4"/>
  <c r="G11" i="4"/>
  <c r="G7" i="4"/>
  <c r="G5" i="4"/>
  <c r="H7" i="4"/>
  <c r="I7" i="4" s="1"/>
  <c r="J7" i="4" s="1"/>
  <c r="G9" i="4"/>
  <c r="G3" i="4"/>
  <c r="I14" i="4"/>
  <c r="J14" i="4" s="1"/>
  <c r="I13" i="4"/>
  <c r="J13" i="4" s="1"/>
  <c r="I3" i="4"/>
  <c r="J3" i="4" s="1"/>
  <c r="I6" i="4"/>
  <c r="J6" i="4" s="1"/>
  <c r="I10" i="4"/>
  <c r="J10" i="4" s="1"/>
  <c r="I11" i="4"/>
  <c r="J11" i="4" s="1"/>
  <c r="H9" i="4"/>
  <c r="H5" i="4"/>
  <c r="G4" i="4"/>
  <c r="H4" i="4"/>
  <c r="G12" i="4"/>
  <c r="H12" i="4"/>
  <c r="G8" i="4"/>
  <c r="H8" i="4"/>
  <c r="I4" i="4" l="1"/>
  <c r="J4" i="4" s="1"/>
  <c r="I8" i="4"/>
  <c r="J8" i="4" s="1"/>
  <c r="I12" i="4"/>
  <c r="J12" i="4" s="1"/>
  <c r="I5" i="4"/>
  <c r="J5" i="4" s="1"/>
  <c r="I9" i="4"/>
  <c r="J9" i="4" s="1"/>
  <c r="B5" i="3" l="1"/>
  <c r="B4" i="3"/>
  <c r="B1" i="3"/>
  <c r="B2" i="3"/>
  <c r="B6" i="3" l="1"/>
  <c r="B8" i="3" s="1"/>
  <c r="A43" i="2" l="1"/>
  <c r="E54" i="2" s="1"/>
  <c r="A29" i="2"/>
  <c r="E40" i="2" s="1"/>
  <c r="A15" i="2"/>
  <c r="E27" i="2" s="1"/>
  <c r="E13" i="2"/>
  <c r="E12" i="2"/>
  <c r="E9" i="2"/>
  <c r="E5" i="2"/>
  <c r="E2" i="2"/>
  <c r="E14" i="2"/>
  <c r="E47" i="2" l="1"/>
  <c r="E51" i="2"/>
  <c r="E55" i="2"/>
  <c r="C43" i="2"/>
  <c r="E48" i="2"/>
  <c r="E52" i="2"/>
  <c r="E56" i="2"/>
  <c r="E44" i="2"/>
  <c r="E53" i="2"/>
  <c r="E33" i="2"/>
  <c r="E37" i="2"/>
  <c r="E41" i="2"/>
  <c r="C29" i="2"/>
  <c r="E34" i="2"/>
  <c r="E38" i="2"/>
  <c r="E42" i="2"/>
  <c r="E30" i="2"/>
  <c r="E39" i="2"/>
  <c r="E26" i="2"/>
  <c r="E11" i="2"/>
  <c r="C15" i="2"/>
  <c r="E20" i="2"/>
  <c r="E24" i="2"/>
  <c r="E28" i="2"/>
  <c r="E25" i="2"/>
  <c r="C1" i="2"/>
  <c r="E6" i="2"/>
  <c r="E10" i="2"/>
  <c r="E16" i="2"/>
  <c r="E19" i="2"/>
  <c r="E23" i="2"/>
  <c r="E50" i="2" l="1"/>
  <c r="E46" i="2"/>
  <c r="E49" i="2"/>
  <c r="E36" i="2"/>
  <c r="E32" i="2"/>
  <c r="E35" i="2"/>
  <c r="E8" i="2"/>
  <c r="E4" i="2"/>
  <c r="E7" i="2"/>
  <c r="E21" i="2"/>
  <c r="E22" i="2"/>
  <c r="E18" i="2"/>
</calcChain>
</file>

<file path=xl/sharedStrings.xml><?xml version="1.0" encoding="utf-8"?>
<sst xmlns="http://schemas.openxmlformats.org/spreadsheetml/2006/main" count="94" uniqueCount="43">
  <si>
    <t xml:space="preserve">Pâques = </t>
  </si>
  <si>
    <t>JF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</si>
  <si>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</si>
  <si>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</si>
  <si>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</si>
  <si>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</si>
  <si>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</si>
  <si>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</si>
  <si>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</si>
  <si>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</si>
  <si>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</si>
  <si>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</si>
  <si>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</si>
  <si>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</si>
  <si>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Début journée</t>
  </si>
  <si>
    <t>Fin journée</t>
  </si>
  <si>
    <t>Début pause</t>
  </si>
  <si>
    <t>Fin pause</t>
  </si>
  <si>
    <t>Début</t>
  </si>
  <si>
    <t>Temps</t>
  </si>
  <si>
    <t>Fin</t>
  </si>
  <si>
    <t>Total pause</t>
  </si>
  <si>
    <t>Total Journée</t>
  </si>
  <si>
    <t>Colonne1</t>
  </si>
  <si>
    <t>Colonne2</t>
  </si>
  <si>
    <t>Colonne3</t>
  </si>
  <si>
    <t>Colonne4</t>
  </si>
  <si>
    <t>Colonne5</t>
  </si>
  <si>
    <t>fin matin</t>
  </si>
  <si>
    <t>fin apm</t>
  </si>
  <si>
    <t>debut matin</t>
  </si>
  <si>
    <t>debut apm</t>
  </si>
  <si>
    <t>Colonne6</t>
  </si>
  <si>
    <t>Totalité des jours</t>
  </si>
  <si>
    <t>moins …</t>
  </si>
  <si>
    <t>temps passé depuis début matin</t>
  </si>
  <si>
    <t>temps passé depuis début apm</t>
  </si>
  <si>
    <t>temps total à ce stade pour le calcul des jours</t>
  </si>
  <si>
    <t>nb jours ouvrés</t>
  </si>
  <si>
    <t>fin le</t>
  </si>
  <si>
    <t>à retirer dernier jour</t>
  </si>
  <si>
    <t>heure fin brute</t>
  </si>
  <si>
    <t>heure fin corrigée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</si>
</sst>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 dd/mm/yyyy"/>
    <numFmt numFmtId="165" formatCode="[h]:mm"/>
    <numFmt numFmtId="166" formatCode="ddd\ dd/mm/yyyy\ hh:mm"/>
    <numFmt numFmtId="167" formatCode="[hh]:mm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20" fontId="0" fillId="0" borderId="0" xfId="0" applyNumberFormat="1"/>
    <xf numFmtId="0" fontId="2" fillId="2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14" fontId="4" fillId="2" borderId="0" xfId="0" applyNumberFormat="1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4" fontId="5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0" fontId="0" fillId="0" borderId="0" xfId="0" applyAlignment="1">
      <alignment wrapText="1"/>
    </xf>
    <xf numFmtId="165" fontId="0" fillId="0" borderId="0" xfId="0" applyNumberFormat="1"/>
    <xf numFmtId="166" fontId="6" fillId="0" borderId="1" xfId="0" applyNumberFormat="1" applyFont="1" applyBorder="1"/>
    <xf numFmtId="165" fontId="0" fillId="0" borderId="0" xfId="0" applyNumberFormat="1" applyAlignment="1"/>
    <xf numFmtId="167" fontId="0" fillId="0" borderId="0" xfId="0" applyNumberFormat="1" applyAlignment="1"/>
    <xf numFmtId="166" fontId="0" fillId="0" borderId="0" xfId="0" applyNumberFormat="1" applyAlignment="1"/>
    <xf numFmtId="0" fontId="0" fillId="0" borderId="0" xfId="0" applyFill="1"/>
    <xf numFmtId="165" fontId="8" fillId="0" borderId="2" xfId="0" applyNumberFormat="1" applyFont="1" applyFill="1" applyBorder="1" applyAlignment="1"/>
    <xf numFmtId="167" fontId="8" fillId="0" borderId="2" xfId="0" applyNumberFormat="1" applyFont="1" applyFill="1" applyBorder="1" applyAlignment="1"/>
    <xf numFmtId="166" fontId="8" fillId="0" borderId="2" xfId="0" applyNumberFormat="1" applyFont="1" applyFill="1" applyBorder="1" applyAlignment="1"/>
    <xf numFmtId="0" fontId="8" fillId="0" borderId="0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9" fillId="0" borderId="0" xfId="0" applyNumberFormat="1" applyFont="1" applyFill="1" applyBorder="1" applyAlignment="1"/>
    <xf numFmtId="0" fontId="8" fillId="0" borderId="0" xfId="0" applyFont="1" applyFill="1" applyAlignment="1">
      <alignment wrapText="1"/>
    </xf>
    <xf numFmtId="167" fontId="0" fillId="0" borderId="0" xfId="0" applyNumberFormat="1" applyFill="1" applyAlignment="1"/>
    <xf numFmtId="166" fontId="7" fillId="0" borderId="0" xfId="0" applyNumberFormat="1" applyFont="1" applyAlignment="1"/>
    <xf numFmtId="165" fontId="7" fillId="0" borderId="0" xfId="0" applyNumberFormat="1" applyFont="1"/>
  </cellXfs>
  <cellStyles count="1">
    <cellStyle name="Normal" xfId="0" builtinId="0"/>
  </cellStyles>
  <dxfs count="32"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[h]:mm"/>
    </dxf>
    <dxf>
      <numFmt numFmtId="166" formatCode="ddd\ dd/mm/yyyy\ hh:mm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6" formatCode="ddd\ dd/mm/yyyy\ hh:mm"/>
      <alignment horizontal="general" vertical="bottom" textRotation="0" wrapText="0" indent="0" justifyLastLine="0" shrinkToFit="0" readingOrder="0"/>
    </dxf>
    <dxf>
      <numFmt numFmtId="165" formatCode="[h]:mm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ddd\ 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]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]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]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]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numFmt numFmtId="165" formatCode="[h]:mm"/>
    </dxf>
    <dxf>
      <numFmt numFmtId="165" formatCode="[h]:mm"/>
    </dxf>
    <dxf>
      <numFmt numFmtId="165" formatCode="[h]:mm"/>
    </dxf>
    <dxf>
      <numFmt numFmtId="165" formatCode="[h]:mm"/>
    </dxf>
    <dxf>
      <numFmt numFmtId="165" formatCode="[h]:mm"/>
    </dxf>
    <dxf>
      <numFmt numFmtId="165" formatCode="[h]:mm"/>
    </dxf>
    <dxf>
      <numFmt numFmtId="165" formatCode="[h]:mm"/>
    </dxf>
    <dxf>
      <numFmt numFmtId="166" formatCode="ddd\ dd/mm/yyyy\ hh:mm"/>
      <alignment horizontal="general" vertical="bottom" textRotation="0" wrapText="0" indent="0" justifyLastLine="0" shrinkToFit="0" readingOrder="0"/>
    </dxf>
    <dxf>
      <numFmt numFmtId="166" formatCode="ddd\ dd/mm/yyyy\ hh:mm"/>
      <alignment horizontal="general" vertical="bottom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ddd\ 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]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]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hh]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ddd\ 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numFmt numFmtId="166" formatCode="ddd\ dd/mm/yyyy\ hh:mm"/>
      <alignment horizontal="general" vertical="bottom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66" formatCode="ddd\ dd/mm/yyyy\ hh:mm"/>
      <alignment horizontal="general" vertical="bottom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590550</xdr:colOff>
      <xdr:row>4</xdr:row>
      <xdr:rowOff>63500</xdr:rowOff>
    </xdr:from>
    <xdr:to>
      <xdr:col>6</xdr:col>
      <xdr:colOff>361950</xdr:colOff>
      <xdr:row>7</xdr:row>
      <xdr:rowOff>0</xdr:rowOff>
    </xdr:to>
    <xdr:sp macro="" textlink="">
      <xdr:nvSpPr>
        <xdr:cNvPr id="3" name="Rectangle à coins arrondis 2"/>
        <xdr:cNvSpPr/>
      </xdr:nvSpPr>
      <xdr:spPr>
        <a:xfrm>
          <a:off x="4102100" y="800100"/>
          <a:ext cx="3810000" cy="488950"/>
        </a:xfrm>
        <a:prstGeom prst="wedgeRoundRectCallout">
          <a:avLst>
            <a:gd name="adj1" fmla="val -63284"/>
            <a:gd name="adj2" fmla="val -37129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artifice permettant d'avoir la même précision</a:t>
          </a:r>
          <a:r>
            <a:rPr lang="fr-FR" sz="1100" baseline="0"/>
            <a:t> pour les calculs (diminuer le risques d'avoir des différences infinitésimales)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1:C24" totalsRowShown="0" headerRowDxfId="31">
  <autoFilter ref="A11:C24"/>
  <tableColumns count="3">
    <tableColumn id="1" name="Début" dataDxfId="30"/>
    <tableColumn id="2" name="Temps" dataDxfId="3"/>
    <tableColumn id="9" name="Fin" dataDxfId="2">
      <calculatedColumnFormula>WORKDAY(Tableau1[[#This Row],[Début]],INT((Tableau1[[#This Row],[Temps]]+MIN(deb_pause,MOD(Tableau1[[#This Row],[Début]],1))-deb_jour+MAX(0,MOD(Tableau1[[#This Row],[Début]],1)-fin_pause))/tot_jour),JF)+IF(((INT((Tableau1[[#This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Row],[Début]],1)-fin_pause)))&lt;(fin_jour-fin_pause),fin_jour-((INT((Tableau1[[#This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Row],[Début]],1)-fin_pause))),fin_jour-((INT((Tableau1[[#This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Row],[Début]],1)-fin_pause)))-(fin_pause-deb_pause))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14" displayName="Tableau14" ref="E11:G24" totalsRowShown="0" headerRowDxfId="29">
  <autoFilter ref="E11:G24"/>
  <tableColumns count="3">
    <tableColumn id="1" name="Début" dataDxfId="28"/>
    <tableColumn id="9" name="Fin" dataDxfId="1"/>
    <tableColumn id="2" name="Temps" dataDxfId="0">
      <calculatedColumnFormula>NETWORKDAYS(Tableau14[[#This Row],[Début]],Tableau14[[#This Row],[Fin]],JF)*tot_jour-(MIN(deb_pause,MOD(Tableau14[[#This Row],[Début]],1))-deb_jour+MAX(0,MOD(Tableau14[[#This Row],[Début]],1)-fin_pause)+MAX(0,deb_pause-MOD(Tableau14[[#This Row],[Fin]],1))+fin_jour-MAX(fin_pause,MOD(Tableau14[[#This Row],[Fin]],1)))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K14" totalsRowShown="0" headerRowDxfId="27" dataDxfId="26" tableBorderDxfId="25">
  <autoFilter ref="A1:K14"/>
  <tableColumns count="11">
    <tableColumn id="1" name="Début" dataDxfId="24"/>
    <tableColumn id="2" name="Temps" dataDxfId="23"/>
    <tableColumn id="3" name="temps passé depuis début matin" dataDxfId="22">
      <calculatedColumnFormula>MIN(deb_pause,MOD(Tableau5[[#This Row],[Début]],1))-deb_jour</calculatedColumnFormula>
    </tableColumn>
    <tableColumn id="4" name="temps passé depuis début apm" dataDxfId="21">
      <calculatedColumnFormula>MAX(0,MOD(Tableau5[[#This Row],[Début]],1)-fin_pause)</calculatedColumnFormula>
    </tableColumn>
    <tableColumn id="5" name="temps total à ce stade pour le calcul des jours" dataDxfId="5">
      <calculatedColumnFormula>Tableau5[[#This Row],[Temps]]+Tableau5[[#This Row],[temps passé depuis début matin]]+Tableau5[[#This Row],[temps passé depuis début apm]]</calculatedColumnFormula>
    </tableColumn>
    <tableColumn id="6" name="nb jours ouvrés" dataDxfId="20">
      <calculatedColumnFormula>INT(Tableau5[[#This Row],[temps total à ce stade pour le calcul des jours]]/tot_jour)</calculatedColumnFormula>
    </tableColumn>
    <tableColumn id="7" name="fin le" dataDxfId="19">
      <calculatedColumnFormula>WORKDAY(Tableau5[[#This Row],[Début]],Tableau5[[#This Row],[nb jours ouvrés]],JF)</calculatedColumnFormula>
    </tableColumn>
    <tableColumn id="8" name="à retirer dernier jour" dataDxfId="8">
      <calculatedColumnFormula>(Tableau5[[#This Row],[nb jours ouvrés]]+1)*tot_jour-Tableau5[[#This Row],[temps total à ce stade pour le calcul des jours]]</calculatedColumnFormula>
    </tableColumn>
    <tableColumn id="11" name="heure fin brute" dataDxfId="7">
      <calculatedColumnFormula>fin_jour-Tableau5[[#This Row],[à retirer dernier jour]]</calculatedColumnFormula>
    </tableColumn>
    <tableColumn id="9" name="heure fin corrigée" dataDxfId="6">
      <calculatedColumnFormula>IF(Tableau5[[#This Row],[à retirer dernier jour]]&lt;(fin_jour-fin_pause),Tableau5[[#This Row],[heure fin brute]],Tableau5[[#This Row],[heure fin brute]]-(fin_pause-deb_pause))</calculatedColumnFormula>
    </tableColumn>
    <tableColumn id="12" name="Fin" dataDxfId="4">
      <calculatedColumnFormula>WORKDAY(Tableau5[[#This Row],[Début]],INT((Tableau5[[#This Row],[Temps]]+MIN(deb_pause,MOD(Tableau5[[#This Row],[Début]],1))-deb_jour+MAX(0,MOD(Tableau5[[#This Row],[Début]],1)-fin_pause))/tot_jour),JF)+IF(((INT((Tableau5[[#This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Row],[Début]],1)-fin_pause)))&lt;(fin_jour-fin_pause),fin_jour-((INT((Tableau5[[#This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Row],[Début]],1)-fin_pause))),fin_jour-((INT((Tableau5[[#This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Row],[Début]],1)-fin_pause)))-(fin_pause-deb_pause))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ableau145" displayName="Tableau145" ref="A3:I16" totalsRowShown="0" headerRowDxfId="18">
  <autoFilter ref="A3:I16"/>
  <tableColumns count="9">
    <tableColumn id="1" name="Début" dataDxfId="17"/>
    <tableColumn id="9" name="Fin" dataDxfId="16"/>
    <tableColumn id="2" name="Temps" dataDxfId="15">
      <calculatedColumnFormula>NETWORKDAYS(Tableau145[[#This Row],[Début]],Tableau145[[#This Row],[Fin]],JF)*tot_jour-(MIN(deb_pause,MOD(Tableau145[[#This Row],[Début]],1))-deb_jour+MAX(0,MOD(Tableau145[[#This Row],[Début]],1)-fin_pause)+MAX(0,deb_pause-MOD(Tableau145[[#This Row],[Fin]],1))+fin_jour-MAX(fin_pause,MOD(Tableau145[[#This Row],[Fin]],1)))</calculatedColumnFormula>
    </tableColumn>
    <tableColumn id="3" name="Colonne1" dataDxfId="14">
      <calculatedColumnFormula>NETWORKDAYS(Tableau145[[#This Row],[Début]],Tableau145[[#This Row],[Fin]],JF)*tot_jour</calculatedColumnFormula>
    </tableColumn>
    <tableColumn id="4" name="Colonne2" dataDxfId="13">
      <calculatedColumnFormula>MIN(deb_pause,MOD(Tableau145[[#This Row],[Début]],1))-deb_jour</calculatedColumnFormula>
    </tableColumn>
    <tableColumn id="5" name="Colonne3" dataDxfId="12">
      <calculatedColumnFormula>MAX(0,MOD(Tableau145[[#This Row],[Début]],1)-fin_pause)</calculatedColumnFormula>
    </tableColumn>
    <tableColumn id="6" name="Colonne4" dataDxfId="11">
      <calculatedColumnFormula>MAX(0,deb_pause-MOD(Tableau145[[#This Row],[Fin]],1))</calculatedColumnFormula>
    </tableColumn>
    <tableColumn id="7" name="Colonne5" dataDxfId="10">
      <calculatedColumnFormula>fin_jour-MAX(fin_pause,MOD(Tableau145[[#This Row],[Fin]],1))</calculatedColumnFormula>
    </tableColumn>
    <tableColumn id="8" name="Colonne6" dataDxfId="9">
      <calculatedColumnFormula>Tableau145[[#This Row],[Colonne1]]-SUM(Tableau145[[#This Row],[Colonne2]:[Colonne5]])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tabSelected="1" workbookViewId="0">
      <selection activeCell="C12" sqref="C12"/>
    </sheetView>
  </sheetViews>
  <sheetFormatPr baseColWidth="10" defaultColWidth="19.26953125" defaultRowHeight="14.5"/>
  <cols>
    <col min="2" max="2" width="11.26953125" customWidth="1"/>
    <col min="3" max="3" width="19.7265625" bestFit="1" customWidth="1"/>
    <col min="7" max="7" width="8.08984375" customWidth="1"/>
  </cols>
  <sheetData>
    <row r="1" spans="1:7">
      <c r="A1" t="s">
        <v>14</v>
      </c>
      <c r="B1" s="1">
        <f>MOD(C1,1)</f>
        <v>0.25</v>
      </c>
      <c r="C1" s="12">
        <v>42736.25</v>
      </c>
    </row>
    <row r="2" spans="1:7">
      <c r="A2" t="s">
        <v>15</v>
      </c>
      <c r="B2" s="1">
        <f>MOD(C2,1)</f>
        <v>0.70833333333575865</v>
      </c>
      <c r="C2" s="12">
        <v>42736.708333333336</v>
      </c>
    </row>
    <row r="3" spans="1:7">
      <c r="B3" s="1"/>
      <c r="C3" s="12"/>
    </row>
    <row r="4" spans="1:7">
      <c r="A4" t="s">
        <v>16</v>
      </c>
      <c r="B4" s="1">
        <f>MOD(C4,1)</f>
        <v>0.5</v>
      </c>
      <c r="C4" s="12">
        <v>42736.5</v>
      </c>
    </row>
    <row r="5" spans="1:7">
      <c r="A5" t="s">
        <v>17</v>
      </c>
      <c r="B5" s="1">
        <f>MOD(C5,1)</f>
        <v>0.54166666666424135</v>
      </c>
      <c r="C5" s="12">
        <v>42736.541666666664</v>
      </c>
    </row>
    <row r="6" spans="1:7">
      <c r="A6" t="s">
        <v>21</v>
      </c>
      <c r="B6" s="1">
        <f>fin_pause-deb_pause</f>
        <v>4.1666666664241347E-2</v>
      </c>
    </row>
    <row r="7" spans="1:7">
      <c r="B7" s="1"/>
    </row>
    <row r="8" spans="1:7">
      <c r="A8" t="s">
        <v>22</v>
      </c>
      <c r="B8" s="1">
        <f>fin_jour-deb_jour-B6</f>
        <v>0.41666666667151731</v>
      </c>
    </row>
    <row r="10" spans="1:7" s="10" customFormat="1"/>
    <row r="11" spans="1:7" s="10" customFormat="1">
      <c r="A11" s="10" t="s">
        <v>18</v>
      </c>
      <c r="B11" s="10" t="s">
        <v>19</v>
      </c>
      <c r="C11" s="10" t="s">
        <v>20</v>
      </c>
      <c r="E11" s="10" t="s">
        <v>18</v>
      </c>
      <c r="F11" s="10" t="s">
        <v>20</v>
      </c>
      <c r="G11" s="10" t="s">
        <v>19</v>
      </c>
    </row>
    <row r="12" spans="1:7">
      <c r="A12" s="15">
        <v>42972.458333333336</v>
      </c>
      <c r="B12" s="13">
        <v>0.16666666666666666</v>
      </c>
      <c r="C12" s="25">
        <f>WORKDAY(Tableau1[[#This Row],[Début]],INT((Tableau1[[#This Row],[Temps]]+MIN(deb_pause,MOD(Tableau1[[#This Row],[Début]],1))-deb_jour+MAX(0,MOD(Tableau1[[#This Row],[Début]],1)-fin_pause))/tot_jour),JF)+IF(((INT((Tableau1[[#This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Row],[Début]],1)-fin_pause)))&lt;(fin_jour-fin_pause),fin_jour-((INT((Tableau1[[#This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Row],[Début]],1)-fin_pause))),fin_jour-((INT((Tableau1[[#This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Row],[Début]],1)-fin_pause)))-(fin_pause-deb_pause))</f>
        <v>42972.666666666664</v>
      </c>
      <c r="E12" s="15">
        <v>42972.458333333336</v>
      </c>
      <c r="F12" s="15">
        <v>42972.666666666664</v>
      </c>
      <c r="G12" s="26">
        <f>NETWORKDAYS(Tableau14[[#This Row],[Début]],Tableau14[[#This Row],[Fin]],JF)*tot_jour-(MIN(deb_pause,MOD(Tableau14[[#This Row],[Début]],1))-deb_jour+MAX(0,MOD(Tableau14[[#This Row],[Début]],1)-fin_pause)+MAX(0,deb_pause-MOD(Tableau14[[#This Row],[Fin]],1))+fin_jour-MAX(fin_pause,MOD(Tableau14[[#This Row],[Fin]],1)))</f>
        <v>0.16666666666424135</v>
      </c>
    </row>
    <row r="13" spans="1:7">
      <c r="A13" s="15">
        <v>42972.458333333336</v>
      </c>
      <c r="B13" s="13">
        <v>0.1875</v>
      </c>
      <c r="C13" s="25">
        <f>WORKDAY(Tableau1[[#This Row],[Début]],INT((Tableau1[[#This Row],[Temps]]+MIN(deb_pause,MOD(Tableau1[[#This Row],[Début]],1))-deb_jour+MAX(0,MOD(Tableau1[[#This Row],[Début]],1)-fin_pause))/tot_jour),JF)+IF(((INT((Tableau1[[#This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Row],[Début]],1)-fin_pause)))&lt;(fin_jour-fin_pause),fin_jour-((INT((Tableau1[[#This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Row],[Début]],1)-fin_pause))),fin_jour-((INT((Tableau1[[#This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Row],[Début]],1)-fin_pause)))-(fin_pause-deb_pause))</f>
        <v>42972.6875</v>
      </c>
      <c r="E13" s="15">
        <v>42972.458333333336</v>
      </c>
      <c r="F13" s="15">
        <v>42972.6875</v>
      </c>
      <c r="G13" s="26">
        <f>NETWORKDAYS(Tableau14[[#This Row],[Début]],Tableau14[[#This Row],[Fin]],JF)*tot_jour-(MIN(deb_pause,MOD(Tableau14[[#This Row],[Début]],1))-deb_jour+MAX(0,MOD(Tableau14[[#This Row],[Début]],1)-fin_pause)+MAX(0,deb_pause-MOD(Tableau14[[#This Row],[Fin]],1))+fin_jour-MAX(fin_pause,MOD(Tableau14[[#This Row],[Fin]],1)))</f>
        <v>0.1875</v>
      </c>
    </row>
    <row r="14" spans="1:7">
      <c r="A14" s="15">
        <v>42972.458333333336</v>
      </c>
      <c r="B14" s="13">
        <v>0.20833333333333301</v>
      </c>
      <c r="C14" s="25">
        <f>WORKDAY(Tableau1[[#This Row],[Début]],INT((Tableau1[[#This Row],[Temps]]+MIN(deb_pause,MOD(Tableau1[[#This Row],[Début]],1))-deb_jour+MAX(0,MOD(Tableau1[[#This Row],[Début]],1)-fin_pause))/tot_jour),JF)+IF(((INT((Tableau1[[#This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Row],[Début]],1)-fin_pause)))&lt;(fin_jour-fin_pause),fin_jour-((INT((Tableau1[[#This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Row],[Début]],1)-fin_pause))),fin_jour-((INT((Tableau1[[#This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Row],[Début]],1)-fin_pause)))-(fin_pause-deb_pause))</f>
        <v>42972.708333333336</v>
      </c>
      <c r="E14" s="15">
        <v>42972.458333333336</v>
      </c>
      <c r="F14" s="15">
        <v>42972.708333333336</v>
      </c>
      <c r="G14" s="26">
        <f>NETWORKDAYS(Tableau14[[#This Row],[Début]],Tableau14[[#This Row],[Fin]],JF)*tot_jour-(MIN(deb_pause,MOD(Tableau14[[#This Row],[Début]],1))-deb_jour+MAX(0,MOD(Tableau14[[#This Row],[Début]],1)-fin_pause)+MAX(0,deb_pause-MOD(Tableau14[[#This Row],[Fin]],1))+fin_jour-MAX(fin_pause,MOD(Tableau14[[#This Row],[Fin]],1)))</f>
        <v>0.20833333333575865</v>
      </c>
    </row>
    <row r="15" spans="1:7">
      <c r="A15" s="15">
        <v>42972.458333333336</v>
      </c>
      <c r="B15" s="13">
        <v>0.22916666666666699</v>
      </c>
      <c r="C15" s="25">
        <f>WORKDAY(Tableau1[[#This Row],[Début]],INT((Tableau1[[#This Row],[Temps]]+MIN(deb_pause,MOD(Tableau1[[#This Row],[Début]],1))-deb_jour+MAX(0,MOD(Tableau1[[#This Row],[Début]],1)-fin_pause))/tot_jour),JF)+IF(((INT((Tableau1[[#This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Row],[Début]],1)-fin_pause)))&lt;(fin_jour-fin_pause),fin_jour-((INT((Tableau1[[#This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Row],[Début]],1)-fin_pause))),fin_jour-((INT((Tableau1[[#This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Row],[Début]],1)-fin_pause)))-(fin_pause-deb_pause))</f>
        <v>42975.270833333328</v>
      </c>
      <c r="E15" s="15">
        <v>42972.458333333336</v>
      </c>
      <c r="F15" s="15">
        <v>42975.270833333328</v>
      </c>
      <c r="G15" s="26">
        <f>NETWORKDAYS(Tableau14[[#This Row],[Début]],Tableau14[[#This Row],[Fin]],JF)*tot_jour-(MIN(deb_pause,MOD(Tableau14[[#This Row],[Début]],1))-deb_jour+MAX(0,MOD(Tableau14[[#This Row],[Début]],1)-fin_pause)+MAX(0,deb_pause-MOD(Tableau14[[#This Row],[Fin]],1))+fin_jour-MAX(fin_pause,MOD(Tableau14[[#This Row],[Fin]],1)))</f>
        <v>0.22916666666424135</v>
      </c>
    </row>
    <row r="16" spans="1:7">
      <c r="A16" s="15">
        <v>42972.458333333336</v>
      </c>
      <c r="B16" s="13">
        <v>0.25</v>
      </c>
      <c r="C16" s="25">
        <f>WORKDAY(Tableau1[[#This Row],[Début]],INT((Tableau1[[#This Row],[Temps]]+MIN(deb_pause,MOD(Tableau1[[#This Row],[Début]],1))-deb_jour+MAX(0,MOD(Tableau1[[#This Row],[Début]],1)-fin_pause))/tot_jour),JF)+IF(((INT((Tableau1[[#This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Row],[Début]],1)-fin_pause)))&lt;(fin_jour-fin_pause),fin_jour-((INT((Tableau1[[#This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Row],[Début]],1)-fin_pause))),fin_jour-((INT((Tableau1[[#This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Row],[Début]],1)-fin_pause)))-(fin_pause-deb_pause))</f>
        <v>42975.291666666664</v>
      </c>
      <c r="E16" s="15">
        <v>42972.458333333336</v>
      </c>
      <c r="F16" s="15">
        <v>42975.291666666664</v>
      </c>
      <c r="G16" s="26">
        <f>NETWORKDAYS(Tableau14[[#This Row],[Début]],Tableau14[[#This Row],[Fin]],JF)*tot_jour-(MIN(deb_pause,MOD(Tableau14[[#This Row],[Début]],1))-deb_jour+MAX(0,MOD(Tableau14[[#This Row],[Début]],1)-fin_pause)+MAX(0,deb_pause-MOD(Tableau14[[#This Row],[Fin]],1))+fin_jour-MAX(fin_pause,MOD(Tableau14[[#This Row],[Fin]],1)))</f>
        <v>0.25</v>
      </c>
    </row>
    <row r="17" spans="1:7">
      <c r="A17" s="15">
        <v>42972.458333333336</v>
      </c>
      <c r="B17" s="13">
        <v>0.27083333333333398</v>
      </c>
      <c r="C17" s="25">
        <f>WORKDAY(Tableau1[[#This Row],[Début]],INT((Tableau1[[#This Row],[Temps]]+MIN(deb_pause,MOD(Tableau1[[#This Row],[Début]],1))-deb_jour+MAX(0,MOD(Tableau1[[#This Row],[Début]],1)-fin_pause))/tot_jour),JF)+IF(((INT((Tableau1[[#This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Row],[Début]],1)-fin_pause)))&lt;(fin_jour-fin_pause),fin_jour-((INT((Tableau1[[#This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Row],[Début]],1)-fin_pause))),fin_jour-((INT((Tableau1[[#This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Row],[Début]],1)-fin_pause)))-(fin_pause-deb_pause))</f>
        <v>42975.3125</v>
      </c>
      <c r="E17" s="15">
        <v>42972.458333333336</v>
      </c>
      <c r="F17" s="15">
        <v>42975.3125</v>
      </c>
      <c r="G17" s="26">
        <f>NETWORKDAYS(Tableau14[[#This Row],[Début]],Tableau14[[#This Row],[Fin]],JF)*tot_jour-(MIN(deb_pause,MOD(Tableau14[[#This Row],[Début]],1))-deb_jour+MAX(0,MOD(Tableau14[[#This Row],[Début]],1)-fin_pause)+MAX(0,deb_pause-MOD(Tableau14[[#This Row],[Fin]],1))+fin_jour-MAX(fin_pause,MOD(Tableau14[[#This Row],[Fin]],1)))</f>
        <v>0.27083333333575865</v>
      </c>
    </row>
    <row r="18" spans="1:7">
      <c r="A18" s="15">
        <v>42972.458333333336</v>
      </c>
      <c r="B18" s="13">
        <v>0.29166666666666702</v>
      </c>
      <c r="C18" s="25">
        <f>WORKDAY(Tableau1[[#This Row],[Début]],INT((Tableau1[[#This Row],[Temps]]+MIN(deb_pause,MOD(Tableau1[[#This Row],[Début]],1))-deb_jour+MAX(0,MOD(Tableau1[[#This Row],[Début]],1)-fin_pause))/tot_jour),JF)+IF(((INT((Tableau1[[#This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Row],[Début]],1)-fin_pause)))&lt;(fin_jour-fin_pause),fin_jour-((INT((Tableau1[[#This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Row],[Début]],1)-fin_pause))),fin_jour-((INT((Tableau1[[#This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Row],[Début]],1)-fin_pause)))-(fin_pause-deb_pause))</f>
        <v>42975.333333333328</v>
      </c>
      <c r="E18" s="15">
        <v>42972.458333333336</v>
      </c>
      <c r="F18" s="15">
        <v>42975.333333333328</v>
      </c>
      <c r="G18" s="26">
        <f>NETWORKDAYS(Tableau14[[#This Row],[Début]],Tableau14[[#This Row],[Fin]],JF)*tot_jour-(MIN(deb_pause,MOD(Tableau14[[#This Row],[Début]],1))-deb_jour+MAX(0,MOD(Tableau14[[#This Row],[Début]],1)-fin_pause)+MAX(0,deb_pause-MOD(Tableau14[[#This Row],[Fin]],1))+fin_jour-MAX(fin_pause,MOD(Tableau14[[#This Row],[Fin]],1)))</f>
        <v>0.29166666666424135</v>
      </c>
    </row>
    <row r="19" spans="1:7">
      <c r="A19" s="15">
        <v>42972.458333333336</v>
      </c>
      <c r="B19" s="13">
        <v>0.3125</v>
      </c>
      <c r="C19" s="25">
        <f>WORKDAY(Tableau1[[#This Row],[Début]],INT((Tableau1[[#This Row],[Temps]]+MIN(deb_pause,MOD(Tableau1[[#This Row],[Début]],1))-deb_jour+MAX(0,MOD(Tableau1[[#This Row],[Début]],1)-fin_pause))/tot_jour),JF)+IF(((INT((Tableau1[[#This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Row],[Début]],1)-fin_pause)))&lt;(fin_jour-fin_pause),fin_jour-((INT((Tableau1[[#This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Row],[Début]],1)-fin_pause))),fin_jour-((INT((Tableau1[[#This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Row],[Début]],1)-fin_pause)))-(fin_pause-deb_pause))</f>
        <v>42975.354166666664</v>
      </c>
      <c r="E19" s="15">
        <v>42972.458333333336</v>
      </c>
      <c r="F19" s="15">
        <v>42975.354166666664</v>
      </c>
      <c r="G19" s="26">
        <f>NETWORKDAYS(Tableau14[[#This Row],[Début]],Tableau14[[#This Row],[Fin]],JF)*tot_jour-(MIN(deb_pause,MOD(Tableau14[[#This Row],[Début]],1))-deb_jour+MAX(0,MOD(Tableau14[[#This Row],[Début]],1)-fin_pause)+MAX(0,deb_pause-MOD(Tableau14[[#This Row],[Fin]],1))+fin_jour-MAX(fin_pause,MOD(Tableau14[[#This Row],[Fin]],1)))</f>
        <v>0.3125</v>
      </c>
    </row>
    <row r="20" spans="1:7">
      <c r="A20" s="15">
        <v>42972.666666666664</v>
      </c>
      <c r="B20" s="13">
        <v>0.75</v>
      </c>
      <c r="C20" s="25">
        <f>WORKDAY(Tableau1[[#This Row],[Début]],INT((Tableau1[[#This Row],[Temps]]+MIN(deb_pause,MOD(Tableau1[[#This Row],[Début]],1))-deb_jour+MAX(0,MOD(Tableau1[[#This Row],[Début]],1)-fin_pause))/tot_jour),JF)+IF(((INT((Tableau1[[#This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Row],[Début]],1)-fin_pause)))&lt;(fin_jour-fin_pause),fin_jour-((INT((Tableau1[[#This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Row],[Début]],1)-fin_pause))),fin_jour-((INT((Tableau1[[#This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Row],[Début]],1)-fin_pause)))-(fin_pause-deb_pause))</f>
        <v>42976.583333333321</v>
      </c>
      <c r="E20" s="15">
        <v>42972.666666666664</v>
      </c>
      <c r="F20" s="15">
        <v>42976.583333333321</v>
      </c>
      <c r="G20" s="26">
        <f>NETWORKDAYS(Tableau14[[#This Row],[Début]],Tableau14[[#This Row],[Fin]],JF)*tot_jour-(MIN(deb_pause,MOD(Tableau14[[#This Row],[Début]],1))-deb_jour+MAX(0,MOD(Tableau14[[#This Row],[Début]],1)-fin_pause)+MAX(0,deb_pause-MOD(Tableau14[[#This Row],[Fin]],1))+fin_jour-MAX(fin_pause,MOD(Tableau14[[#This Row],[Fin]],1)))</f>
        <v>0.75</v>
      </c>
    </row>
    <row r="21" spans="1:7">
      <c r="A21" s="15">
        <v>42972.708333333336</v>
      </c>
      <c r="B21" s="13">
        <v>0.77083333333333337</v>
      </c>
      <c r="C21" s="25">
        <f>WORKDAY(Tableau1[[#This Row],[Début]],INT((Tableau1[[#This Row],[Temps]]+MIN(deb_pause,MOD(Tableau1[[#This Row],[Début]],1))-deb_jour+MAX(0,MOD(Tableau1[[#This Row],[Début]],1)-fin_pause))/tot_jour),JF)+IF(((INT((Tableau1[[#This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Row],[Début]],1)-fin_pause)))&lt;(fin_jour-fin_pause),fin_jour-((INT((Tableau1[[#This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Row],[Début]],1)-fin_pause))),fin_jour-((INT((Tableau1[[#This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Row],[Début]],1)-fin_pause)))-(fin_pause-deb_pause))</f>
        <v>42976.645833333328</v>
      </c>
      <c r="E21" s="15">
        <v>42972.708333333336</v>
      </c>
      <c r="F21" s="15">
        <v>42976.645833333328</v>
      </c>
      <c r="G21" s="26">
        <f>NETWORKDAYS(Tableau14[[#This Row],[Début]],Tableau14[[#This Row],[Fin]],JF)*tot_jour-(MIN(deb_pause,MOD(Tableau14[[#This Row],[Début]],1))-deb_jour+MAX(0,MOD(Tableau14[[#This Row],[Début]],1)-fin_pause)+MAX(0,deb_pause-MOD(Tableau14[[#This Row],[Fin]],1))+fin_jour-MAX(fin_pause,MOD(Tableau14[[#This Row],[Fin]],1)))</f>
        <v>0.77083333333575865</v>
      </c>
    </row>
    <row r="22" spans="1:7">
      <c r="A22" s="15">
        <v>42737.5</v>
      </c>
      <c r="B22" s="14">
        <v>0.25</v>
      </c>
      <c r="C22" s="25">
        <f>WORKDAY(Tableau1[[#This Row],[Début]],INT((Tableau1[[#This Row],[Temps]]+MIN(deb_pause,MOD(Tableau1[[#This Row],[Début]],1))-deb_jour+MAX(0,MOD(Tableau1[[#This Row],[Début]],1)-fin_pause))/tot_jour),JF)+IF(((INT((Tableau1[[#This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Row],[Début]],1)-fin_pause)))&lt;(fin_jour-fin_pause),fin_jour-((INT((Tableau1[[#This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Row],[Début]],1)-fin_pause))),fin_jour-((INT((Tableau1[[#This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Row],[Début]],1)-fin_pause)))-(fin_pause-deb_pause))</f>
        <v>42738.333333333328</v>
      </c>
      <c r="E22" s="15">
        <v>42737.5</v>
      </c>
      <c r="F22" s="15">
        <v>42738.333333333328</v>
      </c>
      <c r="G22" s="26">
        <f>NETWORKDAYS(Tableau14[[#This Row],[Début]],Tableau14[[#This Row],[Fin]],JF)*tot_jour-(MIN(deb_pause,MOD(Tableau14[[#This Row],[Début]],1))-deb_jour+MAX(0,MOD(Tableau14[[#This Row],[Début]],1)-fin_pause)+MAX(0,deb_pause-MOD(Tableau14[[#This Row],[Fin]],1))+fin_jour-MAX(fin_pause,MOD(Tableau14[[#This Row],[Fin]],1)))</f>
        <v>0.25</v>
      </c>
    </row>
    <row r="23" spans="1:7">
      <c r="A23" s="15">
        <v>42740.458333333336</v>
      </c>
      <c r="B23" s="24">
        <v>1.125</v>
      </c>
      <c r="C23" s="25">
        <f>WORKDAY(Tableau1[[#This Row],[Début]],INT((Tableau1[[#This Row],[Temps]]+MIN(deb_pause,MOD(Tableau1[[#This Row],[Début]],1))-deb_jour+MAX(0,MOD(Tableau1[[#This Row],[Début]],1)-fin_pause))/tot_jour),JF)+IF(((INT((Tableau1[[#This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Row],[Début]],1)-fin_pause)))&lt;(fin_jour-fin_pause),fin_jour-((INT((Tableau1[[#This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Row],[Début]],1)-fin_pause))),fin_jour-((INT((Tableau1[[#This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Row],[Début]],1)-fin_pause)))-(fin_pause-deb_pause))</f>
        <v>42745.333333333321</v>
      </c>
      <c r="E23" s="15">
        <v>42740.458333333336</v>
      </c>
      <c r="F23" s="15">
        <v>42745.333333333336</v>
      </c>
      <c r="G23" s="26">
        <f>NETWORKDAYS(Tableau14[[#This Row],[Début]],Tableau14[[#This Row],[Fin]],JF)*tot_jour-(MIN(deb_pause,MOD(Tableau14[[#This Row],[Début]],1))-deb_jour+MAX(0,MOD(Tableau14[[#This Row],[Début]],1)-fin_pause)+MAX(0,deb_pause-MOD(Tableau14[[#This Row],[Fin]],1))+fin_jour-MAX(fin_pause,MOD(Tableau14[[#This Row],[Fin]],1)))</f>
        <v>1.1250000000145519</v>
      </c>
    </row>
    <row r="24" spans="1:7">
      <c r="A24" s="15">
        <v>42970.5</v>
      </c>
      <c r="B24" s="24">
        <v>2.2916666666666665</v>
      </c>
      <c r="C24" s="25">
        <f>WORKDAY(Tableau1[[#This Row],[Début]],INT((Tableau1[[#This Row],[Temps]]+MIN(deb_pause,MOD(Tableau1[[#This Row],[Début]],1))-deb_jour+MAX(0,MOD(Tableau1[[#This Row],[Début]],1)-fin_pause))/tot_jour),JF)+IF(((INT((Tableau1[[#This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Row],[Début]],1)-fin_pause)))&lt;(fin_jour-fin_pause),fin_jour-((INT((Tableau1[[#This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Row],[Début]],1)-fin_pause))),fin_jour-((INT((Tableau1[[#This Row],[Temps]]+MIN(deb_pause,MOD(Tableau1[[#This Row],[Début]],1))-deb_jour+MAX(0,MOD(Tableau1[[#This Row],[Début]],1)-fin_pause))/tot_jour)+1)*tot_jour-(Tableau1[[#This Row],[Temps]]+MIN(deb_pause,MOD(Tableau1[[#This Row],[Début]],1))-deb_jour+MAX(0,MOD(Tableau1[[#This Row],[Début]],1)-fin_pause)))-(fin_pause-deb_pause))</f>
        <v>42978.291666666635</v>
      </c>
      <c r="E24" s="15">
        <v>42970.5</v>
      </c>
      <c r="F24" s="15">
        <v>42978.291666666664</v>
      </c>
      <c r="G24" s="26">
        <f>NETWORKDAYS(Tableau14[[#This Row],[Début]],Tableau14[[#This Row],[Fin]],JF)*tot_jour-(MIN(deb_pause,MOD(Tableau14[[#This Row],[Début]],1))-deb_jour+MAX(0,MOD(Tableau14[[#This Row],[Début]],1)-fin_pause)+MAX(0,deb_pause-MOD(Tableau14[[#This Row],[Fin]],1))+fin_jour-MAX(fin_pause,MOD(Tableau14[[#This Row],[Fin]],1)))</f>
        <v>2.2916666666933452</v>
      </c>
    </row>
  </sheetData>
  <pageMargins left="0.7" right="0.7" top="0.75" bottom="0.75" header="0.3" footer="0.3"/>
  <pageSetup paperSize="9" orientation="portrait" horizontalDpi="0" verticalDpi="0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workbookViewId="0">
      <selection activeCell="K2" sqref="K2"/>
    </sheetView>
  </sheetViews>
  <sheetFormatPr baseColWidth="10" defaultRowHeight="14.5"/>
  <cols>
    <col min="1" max="1" width="19.36328125" bestFit="1" customWidth="1"/>
    <col min="2" max="2" width="11" bestFit="1" customWidth="1"/>
    <col min="7" max="7" width="19.36328125" bestFit="1" customWidth="1"/>
    <col min="11" max="11" width="20.7265625" customWidth="1"/>
  </cols>
  <sheetData>
    <row r="1" spans="1:11" s="10" customFormat="1" ht="72.5">
      <c r="A1" s="20" t="s">
        <v>18</v>
      </c>
      <c r="B1" s="20" t="s">
        <v>19</v>
      </c>
      <c r="C1" s="21" t="s">
        <v>35</v>
      </c>
      <c r="D1" s="21" t="s">
        <v>36</v>
      </c>
      <c r="E1" s="23" t="s">
        <v>37</v>
      </c>
      <c r="F1" s="21" t="s">
        <v>38</v>
      </c>
      <c r="G1" s="21" t="s">
        <v>39</v>
      </c>
      <c r="H1" s="21" t="s">
        <v>40</v>
      </c>
      <c r="I1" s="21" t="s">
        <v>41</v>
      </c>
      <c r="J1" s="23" t="s">
        <v>42</v>
      </c>
      <c r="K1" s="23" t="s">
        <v>20</v>
      </c>
    </row>
    <row r="2" spans="1:11">
      <c r="A2" s="19">
        <v>42972.458333333336</v>
      </c>
      <c r="B2" s="17">
        <v>0.16666666666666666</v>
      </c>
      <c r="C2" s="17">
        <f>MIN(deb_pause,MOD(Tableau5[[#This Row],[Début]],1))-deb_jour</f>
        <v>0.20833333333575865</v>
      </c>
      <c r="D2" s="17">
        <f>MAX(0,MOD(Tableau5[[#This Row],[Début]],1)-fin_pause)</f>
        <v>0</v>
      </c>
      <c r="E2" s="17">
        <f>Tableau5[[#This Row],[Temps]]+Tableau5[[#This Row],[temps passé depuis début matin]]+Tableau5[[#This Row],[temps passé depuis début apm]]</f>
        <v>0.37500000000242528</v>
      </c>
      <c r="F2" s="22">
        <f>INT(Tableau5[[#This Row],[temps total à ce stade pour le calcul des jours]]/tot_jour)</f>
        <v>0</v>
      </c>
      <c r="G2" s="19">
        <f>WORKDAY(Tableau5[[#This Row],[Début]],Tableau5[[#This Row],[nb jours ouvrés]],JF)</f>
        <v>42972</v>
      </c>
      <c r="H2" s="17">
        <f>(Tableau5[[#This Row],[nb jours ouvrés]]+1)*tot_jour-Tableau5[[#This Row],[temps total à ce stade pour le calcul des jours]]</f>
        <v>4.1666666669092023E-2</v>
      </c>
      <c r="I2" s="17">
        <f>fin_jour-Tableau5[[#This Row],[à retirer dernier jour]]</f>
        <v>0.66666666666666663</v>
      </c>
      <c r="J2" s="17">
        <f>IF(Tableau5[[#This Row],[à retirer dernier jour]]&lt;(fin_jour-fin_pause),Tableau5[[#This Row],[heure fin brute]],Tableau5[[#This Row],[heure fin brute]]-(fin_pause-deb_pause))</f>
        <v>0.66666666666666663</v>
      </c>
      <c r="K2" s="19">
        <f>WORKDAY(Tableau5[[#This Row],[Début]],INT((Tableau5[[#This Row],[Temps]]+MIN(deb_pause,MOD(Tableau5[[#This Row],[Début]],1))-deb_jour+MAX(0,MOD(Tableau5[[#This Row],[Début]],1)-fin_pause))/tot_jour),JF)+IF(((INT((Tableau5[[#This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Row],[Début]],1)-fin_pause)))&lt;(fin_jour-fin_pause),fin_jour-((INT((Tableau5[[#This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Row],[Début]],1)-fin_pause))),fin_jour-((INT((Tableau5[[#This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Row],[Début]],1)-fin_pause)))-(fin_pause-deb_pause))</f>
        <v>42972.666666666664</v>
      </c>
    </row>
    <row r="3" spans="1:11">
      <c r="A3" s="19">
        <v>42972.458333333336</v>
      </c>
      <c r="B3" s="17">
        <v>0.1875</v>
      </c>
      <c r="C3" s="17">
        <f>MIN(deb_pause,MOD(Tableau5[[#This Row],[Début]],1))-deb_jour</f>
        <v>0.20833333333575865</v>
      </c>
      <c r="D3" s="17">
        <f>MAX(0,MOD(Tableau5[[#This Row],[Début]],1)-fin_pause)</f>
        <v>0</v>
      </c>
      <c r="E3" s="17">
        <f>Tableau5[[#This Row],[Temps]]+Tableau5[[#This Row],[temps passé depuis début matin]]+Tableau5[[#This Row],[temps passé depuis début apm]]</f>
        <v>0.39583333333575865</v>
      </c>
      <c r="F3" s="22">
        <f>INT(Tableau5[[#This Row],[temps total à ce stade pour le calcul des jours]]/tot_jour)</f>
        <v>0</v>
      </c>
      <c r="G3" s="19">
        <f>WORKDAY(Tableau5[[#This Row],[Début]],Tableau5[[#This Row],[nb jours ouvrés]],JF)</f>
        <v>42972</v>
      </c>
      <c r="H3" s="17">
        <f>(Tableau5[[#This Row],[nb jours ouvrés]]+1)*tot_jour-Tableau5[[#This Row],[temps total à ce stade pour le calcul des jours]]</f>
        <v>2.0833333335758653E-2</v>
      </c>
      <c r="I3" s="17">
        <f>fin_jour-Tableau5[[#This Row],[à retirer dernier jour]]</f>
        <v>0.6875</v>
      </c>
      <c r="J3" s="17">
        <f>IF(Tableau5[[#This Row],[à retirer dernier jour]]&lt;(fin_jour-fin_pause),Tableau5[[#This Row],[heure fin brute]],Tableau5[[#This Row],[heure fin brute]]-(fin_pause-deb_pause))</f>
        <v>0.6875</v>
      </c>
      <c r="K3" s="19">
        <f>WORKDAY(Tableau5[[#This Row],[Début]],INT((Tableau5[[#This Row],[Temps]]+MIN(deb_pause,MOD(Tableau5[[#This Row],[Début]],1))-deb_jour+MAX(0,MOD(Tableau5[[#This Row],[Début]],1)-fin_pause))/tot_jour),JF)+IF(((INT((Tableau5[[#This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Row],[Début]],1)-fin_pause)))&lt;(fin_jour-fin_pause),fin_jour-((INT((Tableau5[[#This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Row],[Début]],1)-fin_pause))),fin_jour-((INT((Tableau5[[#This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Row],[Début]],1)-fin_pause)))-(fin_pause-deb_pause))</f>
        <v>42972.6875</v>
      </c>
    </row>
    <row r="4" spans="1:11">
      <c r="A4" s="19">
        <v>42972.458333333336</v>
      </c>
      <c r="B4" s="17">
        <v>0.20833333333333301</v>
      </c>
      <c r="C4" s="17">
        <f>MIN(deb_pause,MOD(Tableau5[[#This Row],[Début]],1))-deb_jour</f>
        <v>0.20833333333575865</v>
      </c>
      <c r="D4" s="17">
        <f>MAX(0,MOD(Tableau5[[#This Row],[Début]],1)-fin_pause)</f>
        <v>0</v>
      </c>
      <c r="E4" s="17">
        <f>Tableau5[[#This Row],[Temps]]+Tableau5[[#This Row],[temps passé depuis début matin]]+Tableau5[[#This Row],[temps passé depuis début apm]]</f>
        <v>0.41666666666909169</v>
      </c>
      <c r="F4" s="22">
        <f>INT(Tableau5[[#This Row],[temps total à ce stade pour le calcul des jours]]/tot_jour)</f>
        <v>0</v>
      </c>
      <c r="G4" s="19">
        <f>WORKDAY(Tableau5[[#This Row],[Début]],Tableau5[[#This Row],[nb jours ouvrés]],JF)</f>
        <v>42972</v>
      </c>
      <c r="H4" s="17">
        <f>(Tableau5[[#This Row],[nb jours ouvrés]]+1)*tot_jour-Tableau5[[#This Row],[temps total à ce stade pour le calcul des jours]]</f>
        <v>2.425615264201042E-12</v>
      </c>
      <c r="I4" s="17">
        <f>fin_jour-Tableau5[[#This Row],[à retirer dernier jour]]</f>
        <v>0.70833333333333304</v>
      </c>
      <c r="J4" s="17">
        <f>IF(Tableau5[[#This Row],[à retirer dernier jour]]&lt;(fin_jour-fin_pause),Tableau5[[#This Row],[heure fin brute]],Tableau5[[#This Row],[heure fin brute]]-(fin_pause-deb_pause))</f>
        <v>0.70833333333333304</v>
      </c>
      <c r="K4" s="19">
        <f>WORKDAY(Tableau5[[#This Row],[Début]],INT((Tableau5[[#This Row],[Temps]]+MIN(deb_pause,MOD(Tableau5[[#This Row],[Début]],1))-deb_jour+MAX(0,MOD(Tableau5[[#This Row],[Début]],1)-fin_pause))/tot_jour),JF)+IF(((INT((Tableau5[[#This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Row],[Début]],1)-fin_pause)))&lt;(fin_jour-fin_pause),fin_jour-((INT((Tableau5[[#This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Row],[Début]],1)-fin_pause))),fin_jour-((INT((Tableau5[[#This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Row],[Début]],1)-fin_pause)))-(fin_pause-deb_pause))</f>
        <v>42972.708333333336</v>
      </c>
    </row>
    <row r="5" spans="1:11">
      <c r="A5" s="19">
        <v>42972.458333333336</v>
      </c>
      <c r="B5" s="17">
        <v>0.22916666666666699</v>
      </c>
      <c r="C5" s="17">
        <f>MIN(deb_pause,MOD(Tableau5[[#This Row],[Début]],1))-deb_jour</f>
        <v>0.20833333333575865</v>
      </c>
      <c r="D5" s="17">
        <f>MAX(0,MOD(Tableau5[[#This Row],[Début]],1)-fin_pause)</f>
        <v>0</v>
      </c>
      <c r="E5" s="17">
        <f>Tableau5[[#This Row],[Temps]]+Tableau5[[#This Row],[temps passé depuis début matin]]+Tableau5[[#This Row],[temps passé depuis début apm]]</f>
        <v>0.43750000000242562</v>
      </c>
      <c r="F5" s="22">
        <f>INT(Tableau5[[#This Row],[temps total à ce stade pour le calcul des jours]]/tot_jour)</f>
        <v>1</v>
      </c>
      <c r="G5" s="19">
        <f>WORKDAY(Tableau5[[#This Row],[Début]],Tableau5[[#This Row],[nb jours ouvrés]],JF)</f>
        <v>42975</v>
      </c>
      <c r="H5" s="17">
        <f>(Tableau5[[#This Row],[nb jours ouvrés]]+1)*tot_jour-Tableau5[[#This Row],[temps total à ce stade pour le calcul des jours]]</f>
        <v>0.39583333334060899</v>
      </c>
      <c r="I5" s="17">
        <f>fin_jour-Tableau5[[#This Row],[à retirer dernier jour]]</f>
        <v>0.31249999999514966</v>
      </c>
      <c r="J5" s="17">
        <f>IF(Tableau5[[#This Row],[à retirer dernier jour]]&lt;(fin_jour-fin_pause),Tableau5[[#This Row],[heure fin brute]],Tableau5[[#This Row],[heure fin brute]]-(fin_pause-deb_pause))</f>
        <v>0.27083333333090831</v>
      </c>
      <c r="K5" s="19">
        <f>WORKDAY(Tableau5[[#This Row],[Début]],INT((Tableau5[[#This Row],[Temps]]+MIN(deb_pause,MOD(Tableau5[[#This Row],[Début]],1))-deb_jour+MAX(0,MOD(Tableau5[[#This Row],[Début]],1)-fin_pause))/tot_jour),JF)+IF(((INT((Tableau5[[#This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Row],[Début]],1)-fin_pause)))&lt;(fin_jour-fin_pause),fin_jour-((INT((Tableau5[[#This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Row],[Début]],1)-fin_pause))),fin_jour-((INT((Tableau5[[#This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Row],[Début]],1)-fin_pause)))-(fin_pause-deb_pause))</f>
        <v>42975.270833333328</v>
      </c>
    </row>
    <row r="6" spans="1:11">
      <c r="A6" s="19">
        <v>42972.458333333336</v>
      </c>
      <c r="B6" s="17">
        <v>0.25</v>
      </c>
      <c r="C6" s="17">
        <f>MIN(deb_pause,MOD(Tableau5[[#This Row],[Début]],1))-deb_jour</f>
        <v>0.20833333333575865</v>
      </c>
      <c r="D6" s="17">
        <f>MAX(0,MOD(Tableau5[[#This Row],[Début]],1)-fin_pause)</f>
        <v>0</v>
      </c>
      <c r="E6" s="17">
        <f>Tableau5[[#This Row],[Temps]]+Tableau5[[#This Row],[temps passé depuis début matin]]+Tableau5[[#This Row],[temps passé depuis début apm]]</f>
        <v>0.45833333333575865</v>
      </c>
      <c r="F6" s="22">
        <f>INT(Tableau5[[#This Row],[temps total à ce stade pour le calcul des jours]]/tot_jour)</f>
        <v>1</v>
      </c>
      <c r="G6" s="19">
        <f>WORKDAY(Tableau5[[#This Row],[Début]],Tableau5[[#This Row],[nb jours ouvrés]],JF)</f>
        <v>42975</v>
      </c>
      <c r="H6" s="17">
        <f>(Tableau5[[#This Row],[nb jours ouvrés]]+1)*tot_jour-Tableau5[[#This Row],[temps total à ce stade pour le calcul des jours]]</f>
        <v>0.37500000000727596</v>
      </c>
      <c r="I6" s="17">
        <f>fin_jour-Tableau5[[#This Row],[à retirer dernier jour]]</f>
        <v>0.33333333332848269</v>
      </c>
      <c r="J6" s="17">
        <f>IF(Tableau5[[#This Row],[à retirer dernier jour]]&lt;(fin_jour-fin_pause),Tableau5[[#This Row],[heure fin brute]],Tableau5[[#This Row],[heure fin brute]]-(fin_pause-deb_pause))</f>
        <v>0.29166666666424135</v>
      </c>
      <c r="K6" s="19">
        <f>WORKDAY(Tableau5[[#This Row],[Début]],INT((Tableau5[[#This Row],[Temps]]+MIN(deb_pause,MOD(Tableau5[[#This Row],[Début]],1))-deb_jour+MAX(0,MOD(Tableau5[[#This Row],[Début]],1)-fin_pause))/tot_jour),JF)+IF(((INT((Tableau5[[#This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Row],[Début]],1)-fin_pause)))&lt;(fin_jour-fin_pause),fin_jour-((INT((Tableau5[[#This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Row],[Début]],1)-fin_pause))),fin_jour-((INT((Tableau5[[#This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Row],[Début]],1)-fin_pause)))-(fin_pause-deb_pause))</f>
        <v>42975.291666666664</v>
      </c>
    </row>
    <row r="7" spans="1:11">
      <c r="A7" s="19">
        <v>42972.458333333336</v>
      </c>
      <c r="B7" s="17">
        <v>0.27083333333333398</v>
      </c>
      <c r="C7" s="17">
        <f>MIN(deb_pause,MOD(Tableau5[[#This Row],[Début]],1))-deb_jour</f>
        <v>0.20833333333575865</v>
      </c>
      <c r="D7" s="17">
        <f>MAX(0,MOD(Tableau5[[#This Row],[Début]],1)-fin_pause)</f>
        <v>0</v>
      </c>
      <c r="E7" s="17">
        <f>Tableau5[[#This Row],[Temps]]+Tableau5[[#This Row],[temps passé depuis début matin]]+Tableau5[[#This Row],[temps passé depuis début apm]]</f>
        <v>0.47916666666909263</v>
      </c>
      <c r="F7" s="22">
        <f>INT(Tableau5[[#This Row],[temps total à ce stade pour le calcul des jours]]/tot_jour)</f>
        <v>1</v>
      </c>
      <c r="G7" s="19">
        <f>WORKDAY(Tableau5[[#This Row],[Début]],Tableau5[[#This Row],[nb jours ouvrés]],JF)</f>
        <v>42975</v>
      </c>
      <c r="H7" s="17">
        <f>(Tableau5[[#This Row],[nb jours ouvrés]]+1)*tot_jour-Tableau5[[#This Row],[temps total à ce stade pour le calcul des jours]]</f>
        <v>0.35416666667394198</v>
      </c>
      <c r="I7" s="17">
        <f>fin_jour-Tableau5[[#This Row],[à retirer dernier jour]]</f>
        <v>0.35416666666181668</v>
      </c>
      <c r="J7" s="17">
        <f>IF(Tableau5[[#This Row],[à retirer dernier jour]]&lt;(fin_jour-fin_pause),Tableau5[[#This Row],[heure fin brute]],Tableau5[[#This Row],[heure fin brute]]-(fin_pause-deb_pause))</f>
        <v>0.31249999999757533</v>
      </c>
      <c r="K7" s="19">
        <f>WORKDAY(Tableau5[[#This Row],[Début]],INT((Tableau5[[#This Row],[Temps]]+MIN(deb_pause,MOD(Tableau5[[#This Row],[Début]],1))-deb_jour+MAX(0,MOD(Tableau5[[#This Row],[Début]],1)-fin_pause))/tot_jour),JF)+IF(((INT((Tableau5[[#This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Row],[Début]],1)-fin_pause)))&lt;(fin_jour-fin_pause),fin_jour-((INT((Tableau5[[#This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Row],[Début]],1)-fin_pause))),fin_jour-((INT((Tableau5[[#This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Row],[Début]],1)-fin_pause)))-(fin_pause-deb_pause))</f>
        <v>42975.3125</v>
      </c>
    </row>
    <row r="8" spans="1:11">
      <c r="A8" s="19">
        <v>42972.458333333336</v>
      </c>
      <c r="B8" s="17">
        <v>0.29166666666666702</v>
      </c>
      <c r="C8" s="17">
        <f>MIN(deb_pause,MOD(Tableau5[[#This Row],[Début]],1))-deb_jour</f>
        <v>0.20833333333575865</v>
      </c>
      <c r="D8" s="17">
        <f>MAX(0,MOD(Tableau5[[#This Row],[Début]],1)-fin_pause)</f>
        <v>0</v>
      </c>
      <c r="E8" s="17">
        <f>Tableau5[[#This Row],[Temps]]+Tableau5[[#This Row],[temps passé depuis début matin]]+Tableau5[[#This Row],[temps passé depuis début apm]]</f>
        <v>0.50000000000242562</v>
      </c>
      <c r="F8" s="22">
        <f>INT(Tableau5[[#This Row],[temps total à ce stade pour le calcul des jours]]/tot_jour)</f>
        <v>1</v>
      </c>
      <c r="G8" s="19">
        <f>WORKDAY(Tableau5[[#This Row],[Début]],Tableau5[[#This Row],[nb jours ouvrés]],JF)</f>
        <v>42975</v>
      </c>
      <c r="H8" s="17">
        <f>(Tableau5[[#This Row],[nb jours ouvrés]]+1)*tot_jour-Tableau5[[#This Row],[temps total à ce stade pour le calcul des jours]]</f>
        <v>0.33333333334060899</v>
      </c>
      <c r="I8" s="17">
        <f>fin_jour-Tableau5[[#This Row],[à retirer dernier jour]]</f>
        <v>0.37499999999514966</v>
      </c>
      <c r="J8" s="17">
        <f>IF(Tableau5[[#This Row],[à retirer dernier jour]]&lt;(fin_jour-fin_pause),Tableau5[[#This Row],[heure fin brute]],Tableau5[[#This Row],[heure fin brute]]-(fin_pause-deb_pause))</f>
        <v>0.33333333333090831</v>
      </c>
      <c r="K8" s="19">
        <f>WORKDAY(Tableau5[[#This Row],[Début]],INT((Tableau5[[#This Row],[Temps]]+MIN(deb_pause,MOD(Tableau5[[#This Row],[Début]],1))-deb_jour+MAX(0,MOD(Tableau5[[#This Row],[Début]],1)-fin_pause))/tot_jour),JF)+IF(((INT((Tableau5[[#This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Row],[Début]],1)-fin_pause)))&lt;(fin_jour-fin_pause),fin_jour-((INT((Tableau5[[#This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Row],[Début]],1)-fin_pause))),fin_jour-((INT((Tableau5[[#This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Row],[Début]],1)-fin_pause)))-(fin_pause-deb_pause))</f>
        <v>42975.333333333328</v>
      </c>
    </row>
    <row r="9" spans="1:11">
      <c r="A9" s="19">
        <v>42972.458333333336</v>
      </c>
      <c r="B9" s="17">
        <v>0.3125</v>
      </c>
      <c r="C9" s="17">
        <f>MIN(deb_pause,MOD(Tableau5[[#This Row],[Début]],1))-deb_jour</f>
        <v>0.20833333333575865</v>
      </c>
      <c r="D9" s="17">
        <f>MAX(0,MOD(Tableau5[[#This Row],[Début]],1)-fin_pause)</f>
        <v>0</v>
      </c>
      <c r="E9" s="17">
        <f>Tableau5[[#This Row],[Temps]]+Tableau5[[#This Row],[temps passé depuis début matin]]+Tableau5[[#This Row],[temps passé depuis début apm]]</f>
        <v>0.52083333333575865</v>
      </c>
      <c r="F9" s="22">
        <f>INT(Tableau5[[#This Row],[temps total à ce stade pour le calcul des jours]]/tot_jour)</f>
        <v>1</v>
      </c>
      <c r="G9" s="19">
        <f>WORKDAY(Tableau5[[#This Row],[Début]],Tableau5[[#This Row],[nb jours ouvrés]],JF)</f>
        <v>42975</v>
      </c>
      <c r="H9" s="17">
        <f>(Tableau5[[#This Row],[nb jours ouvrés]]+1)*tot_jour-Tableau5[[#This Row],[temps total à ce stade pour le calcul des jours]]</f>
        <v>0.31250000000727596</v>
      </c>
      <c r="I9" s="17">
        <f>fin_jour-Tableau5[[#This Row],[à retirer dernier jour]]</f>
        <v>0.39583333332848269</v>
      </c>
      <c r="J9" s="17">
        <f>IF(Tableau5[[#This Row],[à retirer dernier jour]]&lt;(fin_jour-fin_pause),Tableau5[[#This Row],[heure fin brute]],Tableau5[[#This Row],[heure fin brute]]-(fin_pause-deb_pause))</f>
        <v>0.35416666666424135</v>
      </c>
      <c r="K9" s="19">
        <f>WORKDAY(Tableau5[[#This Row],[Début]],INT((Tableau5[[#This Row],[Temps]]+MIN(deb_pause,MOD(Tableau5[[#This Row],[Début]],1))-deb_jour+MAX(0,MOD(Tableau5[[#This Row],[Début]],1)-fin_pause))/tot_jour),JF)+IF(((INT((Tableau5[[#This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Row],[Début]],1)-fin_pause)))&lt;(fin_jour-fin_pause),fin_jour-((INT((Tableau5[[#This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Row],[Début]],1)-fin_pause))),fin_jour-((INT((Tableau5[[#This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Row],[Début]],1)-fin_pause)))-(fin_pause-deb_pause))</f>
        <v>42975.354166666664</v>
      </c>
    </row>
    <row r="10" spans="1:11">
      <c r="A10" s="19">
        <v>42972.666666666664</v>
      </c>
      <c r="B10" s="17">
        <v>0.75</v>
      </c>
      <c r="C10" s="17">
        <f>MIN(deb_pause,MOD(Tableau5[[#This Row],[Début]],1))-deb_jour</f>
        <v>0.25</v>
      </c>
      <c r="D10" s="17">
        <f>MAX(0,MOD(Tableau5[[#This Row],[Début]],1)-fin_pause)</f>
        <v>0.125</v>
      </c>
      <c r="E10" s="17">
        <f>Tableau5[[#This Row],[Temps]]+Tableau5[[#This Row],[temps passé depuis début matin]]+Tableau5[[#This Row],[temps passé depuis début apm]]</f>
        <v>1.125</v>
      </c>
      <c r="F10" s="22">
        <f>INT(Tableau5[[#This Row],[temps total à ce stade pour le calcul des jours]]/tot_jour)</f>
        <v>2</v>
      </c>
      <c r="G10" s="19">
        <f>WORKDAY(Tableau5[[#This Row],[Début]],Tableau5[[#This Row],[nb jours ouvrés]],JF)</f>
        <v>42976</v>
      </c>
      <c r="H10" s="17">
        <f>(Tableau5[[#This Row],[nb jours ouvrés]]+1)*tot_jour-Tableau5[[#This Row],[temps total à ce stade pour le calcul des jours]]</f>
        <v>0.12500000001455192</v>
      </c>
      <c r="I10" s="17">
        <f>fin_jour-Tableau5[[#This Row],[à retirer dernier jour]]</f>
        <v>0.58333333332120674</v>
      </c>
      <c r="J10" s="17">
        <f>IF(Tableau5[[#This Row],[à retirer dernier jour]]&lt;(fin_jour-fin_pause),Tableau5[[#This Row],[heure fin brute]],Tableau5[[#This Row],[heure fin brute]]-(fin_pause-deb_pause))</f>
        <v>0.58333333332120674</v>
      </c>
      <c r="K10" s="19">
        <f>WORKDAY(Tableau5[[#This Row],[Début]],INT((Tableau5[[#This Row],[Temps]]+MIN(deb_pause,MOD(Tableau5[[#This Row],[Début]],1))-deb_jour+MAX(0,MOD(Tableau5[[#This Row],[Début]],1)-fin_pause))/tot_jour),JF)+IF(((INT((Tableau5[[#This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Row],[Début]],1)-fin_pause)))&lt;(fin_jour-fin_pause),fin_jour-((INT((Tableau5[[#This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Row],[Début]],1)-fin_pause))),fin_jour-((INT((Tableau5[[#This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Row],[Début]],1)-fin_pause)))-(fin_pause-deb_pause))</f>
        <v>42976.583333333321</v>
      </c>
    </row>
    <row r="11" spans="1:11">
      <c r="A11" s="19">
        <v>42972.708333333336</v>
      </c>
      <c r="B11" s="17">
        <v>0.77083333333333337</v>
      </c>
      <c r="C11" s="17">
        <f>MIN(deb_pause,MOD(Tableau5[[#This Row],[Début]],1))-deb_jour</f>
        <v>0.25</v>
      </c>
      <c r="D11" s="17">
        <f>MAX(0,MOD(Tableau5[[#This Row],[Début]],1)-fin_pause)</f>
        <v>0.16666666667151731</v>
      </c>
      <c r="E11" s="17">
        <f>Tableau5[[#This Row],[Temps]]+Tableau5[[#This Row],[temps passé depuis début matin]]+Tableau5[[#This Row],[temps passé depuis début apm]]</f>
        <v>1.1875000000048508</v>
      </c>
      <c r="F11" s="22">
        <f>INT(Tableau5[[#This Row],[temps total à ce stade pour le calcul des jours]]/tot_jour)</f>
        <v>2</v>
      </c>
      <c r="G11" s="19">
        <f>WORKDAY(Tableau5[[#This Row],[Début]],Tableau5[[#This Row],[nb jours ouvrés]],JF)</f>
        <v>42976</v>
      </c>
      <c r="H11" s="17">
        <f>(Tableau5[[#This Row],[nb jours ouvrés]]+1)*tot_jour-Tableau5[[#This Row],[temps total à ce stade pour le calcul des jours]]</f>
        <v>6.2500000009701129E-2</v>
      </c>
      <c r="I11" s="17">
        <f>fin_jour-Tableau5[[#This Row],[à retirer dernier jour]]</f>
        <v>0.64583333332605752</v>
      </c>
      <c r="J11" s="17">
        <f>IF(Tableau5[[#This Row],[à retirer dernier jour]]&lt;(fin_jour-fin_pause),Tableau5[[#This Row],[heure fin brute]],Tableau5[[#This Row],[heure fin brute]]-(fin_pause-deb_pause))</f>
        <v>0.64583333332605752</v>
      </c>
      <c r="K11" s="19">
        <f>WORKDAY(Tableau5[[#This Row],[Début]],INT((Tableau5[[#This Row],[Temps]]+MIN(deb_pause,MOD(Tableau5[[#This Row],[Début]],1))-deb_jour+MAX(0,MOD(Tableau5[[#This Row],[Début]],1)-fin_pause))/tot_jour),JF)+IF(((INT((Tableau5[[#This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Row],[Début]],1)-fin_pause)))&lt;(fin_jour-fin_pause),fin_jour-((INT((Tableau5[[#This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Row],[Début]],1)-fin_pause))),fin_jour-((INT((Tableau5[[#This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Row],[Début]],1)-fin_pause)))-(fin_pause-deb_pause))</f>
        <v>42976.645833333328</v>
      </c>
    </row>
    <row r="12" spans="1:11">
      <c r="A12" s="19">
        <v>42737.5</v>
      </c>
      <c r="B12" s="18">
        <v>0.25</v>
      </c>
      <c r="C12" s="17">
        <f>MIN(deb_pause,MOD(Tableau5[[#This Row],[Début]],1))-deb_jour</f>
        <v>0.25</v>
      </c>
      <c r="D12" s="17">
        <f>MAX(0,MOD(Tableau5[[#This Row],[Début]],1)-fin_pause)</f>
        <v>0</v>
      </c>
      <c r="E12" s="17">
        <f>Tableau5[[#This Row],[Temps]]+Tableau5[[#This Row],[temps passé depuis début matin]]+Tableau5[[#This Row],[temps passé depuis début apm]]</f>
        <v>0.5</v>
      </c>
      <c r="F12" s="22">
        <f>INT(Tableau5[[#This Row],[temps total à ce stade pour le calcul des jours]]/tot_jour)</f>
        <v>1</v>
      </c>
      <c r="G12" s="19">
        <f>WORKDAY(Tableau5[[#This Row],[Début]],Tableau5[[#This Row],[nb jours ouvrés]],JF)</f>
        <v>42738</v>
      </c>
      <c r="H12" s="17">
        <f>(Tableau5[[#This Row],[nb jours ouvrés]]+1)*tot_jour-Tableau5[[#This Row],[temps total à ce stade pour le calcul des jours]]</f>
        <v>0.33333333334303461</v>
      </c>
      <c r="I12" s="17">
        <f>fin_jour-Tableau5[[#This Row],[à retirer dernier jour]]</f>
        <v>0.37499999999272404</v>
      </c>
      <c r="J12" s="17">
        <f>IF(Tableau5[[#This Row],[à retirer dernier jour]]&lt;(fin_jour-fin_pause),Tableau5[[#This Row],[heure fin brute]],Tableau5[[#This Row],[heure fin brute]]-(fin_pause-deb_pause))</f>
        <v>0.33333333332848269</v>
      </c>
      <c r="K12" s="19">
        <f>WORKDAY(Tableau5[[#This Row],[Début]],INT((Tableau5[[#This Row],[Temps]]+MIN(deb_pause,MOD(Tableau5[[#This Row],[Début]],1))-deb_jour+MAX(0,MOD(Tableau5[[#This Row],[Début]],1)-fin_pause))/tot_jour),JF)+IF(((INT((Tableau5[[#This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Row],[Début]],1)-fin_pause)))&lt;(fin_jour-fin_pause),fin_jour-((INT((Tableau5[[#This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Row],[Début]],1)-fin_pause))),fin_jour-((INT((Tableau5[[#This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Row],[Début]],1)-fin_pause)))-(fin_pause-deb_pause))</f>
        <v>42738.333333333328</v>
      </c>
    </row>
    <row r="13" spans="1:11" s="16" customFormat="1">
      <c r="A13" s="19">
        <v>42740.458333333336</v>
      </c>
      <c r="B13" s="18">
        <v>1.125</v>
      </c>
      <c r="C13" s="17">
        <f>MIN(deb_pause,MOD(Tableau5[[#This Row],[Début]],1))-deb_jour</f>
        <v>0.20833333333575865</v>
      </c>
      <c r="D13" s="17">
        <f>MAX(0,MOD(Tableau5[[#This Row],[Début]],1)-fin_pause)</f>
        <v>0</v>
      </c>
      <c r="E13" s="17">
        <f>Tableau5[[#This Row],[Temps]]+Tableau5[[#This Row],[temps passé depuis début matin]]+Tableau5[[#This Row],[temps passé depuis début apm]]</f>
        <v>1.3333333333357587</v>
      </c>
      <c r="F13" s="22">
        <f>INT(Tableau5[[#This Row],[temps total à ce stade pour le calcul des jours]]/tot_jour)</f>
        <v>3</v>
      </c>
      <c r="G13" s="19">
        <f>WORKDAY(Tableau5[[#This Row],[Début]],Tableau5[[#This Row],[nb jours ouvrés]],JF)</f>
        <v>42745</v>
      </c>
      <c r="H13" s="17">
        <f>(Tableau5[[#This Row],[nb jours ouvrés]]+1)*tot_jour-Tableau5[[#This Row],[temps total à ce stade pour le calcul des jours]]</f>
        <v>0.33333333335031057</v>
      </c>
      <c r="I13" s="17">
        <f>fin_jour-Tableau5[[#This Row],[à retirer dernier jour]]</f>
        <v>0.37499999998544808</v>
      </c>
      <c r="J13" s="17">
        <f>IF(Tableau5[[#This Row],[à retirer dernier jour]]&lt;(fin_jour-fin_pause),Tableau5[[#This Row],[heure fin brute]],Tableau5[[#This Row],[heure fin brute]]-(fin_pause-deb_pause))</f>
        <v>0.33333333332120674</v>
      </c>
      <c r="K13" s="19">
        <f>WORKDAY(Tableau5[[#This Row],[Début]],INT((Tableau5[[#This Row],[Temps]]+MIN(deb_pause,MOD(Tableau5[[#This Row],[Début]],1))-deb_jour+MAX(0,MOD(Tableau5[[#This Row],[Début]],1)-fin_pause))/tot_jour),JF)+IF(((INT((Tableau5[[#This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Row],[Début]],1)-fin_pause)))&lt;(fin_jour-fin_pause),fin_jour-((INT((Tableau5[[#This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Row],[Début]],1)-fin_pause))),fin_jour-((INT((Tableau5[[#This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Row],[Début]],1)-fin_pause)))-(fin_pause-deb_pause))</f>
        <v>42745.333333333321</v>
      </c>
    </row>
    <row r="14" spans="1:11" s="16" customFormat="1">
      <c r="A14" s="19">
        <v>42970.5</v>
      </c>
      <c r="B14" s="18">
        <v>2.2916666666666665</v>
      </c>
      <c r="C14" s="17">
        <f>MIN(deb_pause,MOD(Tableau5[[#This Row],[Début]],1))-deb_jour</f>
        <v>0.25</v>
      </c>
      <c r="D14" s="17">
        <f>MAX(0,MOD(Tableau5[[#This Row],[Début]],1)-fin_pause)</f>
        <v>0</v>
      </c>
      <c r="E14" s="17">
        <f>Tableau5[[#This Row],[Temps]]+Tableau5[[#This Row],[temps passé depuis début matin]]+Tableau5[[#This Row],[temps passé depuis début apm]]</f>
        <v>2.5416666666666665</v>
      </c>
      <c r="F14" s="22">
        <f>INT(Tableau5[[#This Row],[temps total à ce stade pour le calcul des jours]]/tot_jour)</f>
        <v>6</v>
      </c>
      <c r="G14" s="19">
        <f>WORKDAY(Tableau5[[#This Row],[Début]],Tableau5[[#This Row],[nb jours ouvrés]],JF)</f>
        <v>42978</v>
      </c>
      <c r="H14" s="17">
        <f>(Tableau5[[#This Row],[nb jours ouvrés]]+1)*tot_jour-Tableau5[[#This Row],[temps total à ce stade pour le calcul des jours]]</f>
        <v>0.37500000003395462</v>
      </c>
      <c r="I14" s="17">
        <f>fin_jour-Tableau5[[#This Row],[à retirer dernier jour]]</f>
        <v>0.33333333330180404</v>
      </c>
      <c r="J14" s="17">
        <f>IF(Tableau5[[#This Row],[à retirer dernier jour]]&lt;(fin_jour-fin_pause),Tableau5[[#This Row],[heure fin brute]],Tableau5[[#This Row],[heure fin brute]]-(fin_pause-deb_pause))</f>
        <v>0.29166666663756269</v>
      </c>
      <c r="K14" s="19">
        <f>WORKDAY(Tableau5[[#This Row],[Début]],INT((Tableau5[[#This Row],[Temps]]+MIN(deb_pause,MOD(Tableau5[[#This Row],[Début]],1))-deb_jour+MAX(0,MOD(Tableau5[[#This Row],[Début]],1)-fin_pause))/tot_jour),JF)+IF(((INT((Tableau5[[#This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Row],[Début]],1)-fin_pause)))&lt;(fin_jour-fin_pause),fin_jour-((INT((Tableau5[[#This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Row],[Début]],1)-fin_pause))),fin_jour-((INT((Tableau5[[#This Row],[Temps]]+MIN(deb_pause,MOD(Tableau5[[#This Row],[Début]],1))-deb_jour+MAX(0,MOD(Tableau5[[#This Row],[Début]],1)-fin_pause))/tot_jour)+1)*tot_jour-(Tableau5[[#This Row],[Temps]]+MIN(deb_pause,MOD(Tableau5[[#This Row],[Début]],1))-deb_jour+MAX(0,MOD(Tableau5[[#This Row],[Début]],1)-fin_pause)))-(fin_pause-deb_pause))</f>
        <v>42978.291666666635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workbookViewId="0">
      <selection activeCell="C4" sqref="C4"/>
    </sheetView>
  </sheetViews>
  <sheetFormatPr baseColWidth="10" defaultRowHeight="14.5"/>
  <cols>
    <col min="1" max="2" width="19.36328125" bestFit="1" customWidth="1"/>
    <col min="3" max="3" width="8.6328125" bestFit="1" customWidth="1"/>
    <col min="4" max="9" width="11" bestFit="1" customWidth="1"/>
  </cols>
  <sheetData>
    <row r="1" spans="1:9">
      <c r="E1" t="s">
        <v>34</v>
      </c>
    </row>
    <row r="2" spans="1:9" ht="29">
      <c r="D2" s="10" t="s">
        <v>33</v>
      </c>
      <c r="E2" s="10" t="s">
        <v>30</v>
      </c>
      <c r="F2" s="10" t="s">
        <v>31</v>
      </c>
      <c r="G2" s="10" t="s">
        <v>28</v>
      </c>
      <c r="H2" s="10" t="s">
        <v>29</v>
      </c>
      <c r="I2" s="10"/>
    </row>
    <row r="3" spans="1:9">
      <c r="A3" s="10" t="s">
        <v>18</v>
      </c>
      <c r="B3" s="10" t="s">
        <v>20</v>
      </c>
      <c r="C3" s="10" t="s">
        <v>19</v>
      </c>
      <c r="D3" s="10" t="s">
        <v>23</v>
      </c>
      <c r="E3" s="10" t="s">
        <v>24</v>
      </c>
      <c r="F3" s="10" t="s">
        <v>25</v>
      </c>
      <c r="G3" s="10" t="s">
        <v>26</v>
      </c>
      <c r="H3" s="10" t="s">
        <v>27</v>
      </c>
      <c r="I3" s="10" t="s">
        <v>32</v>
      </c>
    </row>
    <row r="4" spans="1:9">
      <c r="A4" s="15">
        <v>42972.458333333336</v>
      </c>
      <c r="B4" s="15">
        <v>42972.666666666664</v>
      </c>
      <c r="C4" s="11">
        <f>NETWORKDAYS(Tableau145[[#This Row],[Début]],Tableau145[[#This Row],[Fin]],JF)*tot_jour-(MIN(deb_pause,MOD(Tableau145[[#This Row],[Début]],1))-deb_jour+MAX(0,MOD(Tableau145[[#This Row],[Début]],1)-fin_pause)+MAX(0,deb_pause-MOD(Tableau145[[#This Row],[Fin]],1))+fin_jour-MAX(fin_pause,MOD(Tableau145[[#This Row],[Fin]],1)))</f>
        <v>0.16666666666424135</v>
      </c>
      <c r="D4" s="11">
        <f>NETWORKDAYS(Tableau145[[#This Row],[Début]],Tableau145[[#This Row],[Fin]],JF)*tot_jour</f>
        <v>0.41666666667151731</v>
      </c>
      <c r="E4" s="11">
        <f>MIN(deb_pause,MOD(Tableau145[[#This Row],[Début]],1))-deb_jour</f>
        <v>0.20833333333575865</v>
      </c>
      <c r="F4" s="11">
        <f>MAX(0,MOD(Tableau145[[#This Row],[Début]],1)-fin_pause)</f>
        <v>0</v>
      </c>
      <c r="G4" s="11">
        <f>MAX(0,deb_pause-MOD(Tableau145[[#This Row],[Fin]],1))</f>
        <v>0</v>
      </c>
      <c r="H4" s="11">
        <f>fin_jour-MAX(fin_pause,MOD(Tableau145[[#This Row],[Fin]],1))</f>
        <v>4.1666666671517305E-2</v>
      </c>
      <c r="I4" s="11">
        <f>Tableau145[[#This Row],[Colonne1]]-SUM(Tableau145[[#This Row],[Colonne2]:[Colonne5]])</f>
        <v>0.16666666666424135</v>
      </c>
    </row>
    <row r="5" spans="1:9">
      <c r="A5" s="15">
        <v>42972.458333333336</v>
      </c>
      <c r="B5" s="15">
        <v>42972.6875</v>
      </c>
      <c r="C5" s="11">
        <f>NETWORKDAYS(Tableau145[[#This Row],[Début]],Tableau145[[#This Row],[Fin]],JF)*tot_jour-(MIN(deb_pause,MOD(Tableau145[[#This Row],[Début]],1))-deb_jour+MAX(0,MOD(Tableau145[[#This Row],[Début]],1)-fin_pause)+MAX(0,deb_pause-MOD(Tableau145[[#This Row],[Fin]],1))+fin_jour-MAX(fin_pause,MOD(Tableau145[[#This Row],[Fin]],1)))</f>
        <v>0.1875</v>
      </c>
      <c r="D5" s="11">
        <f>NETWORKDAYS(Tableau145[[#This Row],[Début]],Tableau145[[#This Row],[Fin]],JF)*tot_jour</f>
        <v>0.41666666667151731</v>
      </c>
      <c r="E5" s="11">
        <f>MIN(deb_pause,MOD(Tableau145[[#This Row],[Début]],1))-deb_jour</f>
        <v>0.20833333333575865</v>
      </c>
      <c r="F5" s="11">
        <f>MAX(0,MOD(Tableau145[[#This Row],[Début]],1)-fin_pause)</f>
        <v>0</v>
      </c>
      <c r="G5" s="11">
        <f>MAX(0,deb_pause-MOD(Tableau145[[#This Row],[Fin]],1))</f>
        <v>0</v>
      </c>
      <c r="H5" s="11">
        <f>fin_jour-MAX(fin_pause,MOD(Tableau145[[#This Row],[Fin]],1))</f>
        <v>2.0833333335758653E-2</v>
      </c>
      <c r="I5" s="11">
        <f>Tableau145[[#This Row],[Colonne1]]-SUM(Tableau145[[#This Row],[Colonne2]:[Colonne5]])</f>
        <v>0.1875</v>
      </c>
    </row>
    <row r="6" spans="1:9">
      <c r="A6" s="15">
        <v>42972.458333333336</v>
      </c>
      <c r="B6" s="15">
        <v>42972.708333333336</v>
      </c>
      <c r="C6" s="11">
        <f>NETWORKDAYS(Tableau145[[#This Row],[Début]],Tableau145[[#This Row],[Fin]],JF)*tot_jour-(MIN(deb_pause,MOD(Tableau145[[#This Row],[Début]],1))-deb_jour+MAX(0,MOD(Tableau145[[#This Row],[Début]],1)-fin_pause)+MAX(0,deb_pause-MOD(Tableau145[[#This Row],[Fin]],1))+fin_jour-MAX(fin_pause,MOD(Tableau145[[#This Row],[Fin]],1)))</f>
        <v>0.20833333333575865</v>
      </c>
      <c r="D6" s="11">
        <f>NETWORKDAYS(Tableau145[[#This Row],[Début]],Tableau145[[#This Row],[Fin]],JF)*tot_jour</f>
        <v>0.41666666667151731</v>
      </c>
      <c r="E6" s="11">
        <f>MIN(deb_pause,MOD(Tableau145[[#This Row],[Début]],1))-deb_jour</f>
        <v>0.20833333333575865</v>
      </c>
      <c r="F6" s="11">
        <f>MAX(0,MOD(Tableau145[[#This Row],[Début]],1)-fin_pause)</f>
        <v>0</v>
      </c>
      <c r="G6" s="11">
        <f>MAX(0,deb_pause-MOD(Tableau145[[#This Row],[Fin]],1))</f>
        <v>0</v>
      </c>
      <c r="H6" s="11">
        <f>fin_jour-MAX(fin_pause,MOD(Tableau145[[#This Row],[Fin]],1))</f>
        <v>0</v>
      </c>
      <c r="I6" s="11">
        <f>Tableau145[[#This Row],[Colonne1]]-SUM(Tableau145[[#This Row],[Colonne2]:[Colonne5]])</f>
        <v>0.20833333333575865</v>
      </c>
    </row>
    <row r="7" spans="1:9">
      <c r="A7" s="15">
        <v>42972.458333333336</v>
      </c>
      <c r="B7" s="15">
        <v>42975.270833333328</v>
      </c>
      <c r="C7" s="11">
        <f>NETWORKDAYS(Tableau145[[#This Row],[Début]],Tableau145[[#This Row],[Fin]],JF)*tot_jour-(MIN(deb_pause,MOD(Tableau145[[#This Row],[Début]],1))-deb_jour+MAX(0,MOD(Tableau145[[#This Row],[Début]],1)-fin_pause)+MAX(0,deb_pause-MOD(Tableau145[[#This Row],[Fin]],1))+fin_jour-MAX(fin_pause,MOD(Tableau145[[#This Row],[Fin]],1)))</f>
        <v>0.22916666666424135</v>
      </c>
      <c r="D7" s="11">
        <f>NETWORKDAYS(Tableau145[[#This Row],[Début]],Tableau145[[#This Row],[Fin]],JF)*tot_jour</f>
        <v>0.83333333334303461</v>
      </c>
      <c r="E7" s="11">
        <f>MIN(deb_pause,MOD(Tableau145[[#This Row],[Début]],1))-deb_jour</f>
        <v>0.20833333333575865</v>
      </c>
      <c r="F7" s="11">
        <f>MAX(0,MOD(Tableau145[[#This Row],[Début]],1)-fin_pause)</f>
        <v>0</v>
      </c>
      <c r="G7" s="11">
        <f>MAX(0,deb_pause-MOD(Tableau145[[#This Row],[Fin]],1))</f>
        <v>0.22916666667151731</v>
      </c>
      <c r="H7" s="11">
        <f>fin_jour-MAX(fin_pause,MOD(Tableau145[[#This Row],[Fin]],1))</f>
        <v>0.16666666667151731</v>
      </c>
      <c r="I7" s="11">
        <f>Tableau145[[#This Row],[Colonne1]]-SUM(Tableau145[[#This Row],[Colonne2]:[Colonne5]])</f>
        <v>0.22916666666424135</v>
      </c>
    </row>
    <row r="8" spans="1:9">
      <c r="A8" s="15">
        <v>42972.458333333336</v>
      </c>
      <c r="B8" s="15">
        <v>42975.291666666664</v>
      </c>
      <c r="C8" s="11">
        <f>NETWORKDAYS(Tableau145[[#This Row],[Début]],Tableau145[[#This Row],[Fin]],JF)*tot_jour-(MIN(deb_pause,MOD(Tableau145[[#This Row],[Début]],1))-deb_jour+MAX(0,MOD(Tableau145[[#This Row],[Début]],1)-fin_pause)+MAX(0,deb_pause-MOD(Tableau145[[#This Row],[Fin]],1))+fin_jour-MAX(fin_pause,MOD(Tableau145[[#This Row],[Fin]],1)))</f>
        <v>0.25</v>
      </c>
      <c r="D8" s="11">
        <f>NETWORKDAYS(Tableau145[[#This Row],[Début]],Tableau145[[#This Row],[Fin]],JF)*tot_jour</f>
        <v>0.83333333334303461</v>
      </c>
      <c r="E8" s="11">
        <f>MIN(deb_pause,MOD(Tableau145[[#This Row],[Début]],1))-deb_jour</f>
        <v>0.20833333333575865</v>
      </c>
      <c r="F8" s="11">
        <f>MAX(0,MOD(Tableau145[[#This Row],[Début]],1)-fin_pause)</f>
        <v>0</v>
      </c>
      <c r="G8" s="11">
        <f>MAX(0,deb_pause-MOD(Tableau145[[#This Row],[Fin]],1))</f>
        <v>0.20833333333575865</v>
      </c>
      <c r="H8" s="11">
        <f>fin_jour-MAX(fin_pause,MOD(Tableau145[[#This Row],[Fin]],1))</f>
        <v>0.16666666667151731</v>
      </c>
      <c r="I8" s="11">
        <f>Tableau145[[#This Row],[Colonne1]]-SUM(Tableau145[[#This Row],[Colonne2]:[Colonne5]])</f>
        <v>0.25</v>
      </c>
    </row>
    <row r="9" spans="1:9">
      <c r="A9" s="15">
        <v>42972.458333333336</v>
      </c>
      <c r="B9" s="15">
        <v>42975.3125</v>
      </c>
      <c r="C9" s="11">
        <f>NETWORKDAYS(Tableau145[[#This Row],[Début]],Tableau145[[#This Row],[Fin]],JF)*tot_jour-(MIN(deb_pause,MOD(Tableau145[[#This Row],[Début]],1))-deb_jour+MAX(0,MOD(Tableau145[[#This Row],[Début]],1)-fin_pause)+MAX(0,deb_pause-MOD(Tableau145[[#This Row],[Fin]],1))+fin_jour-MAX(fin_pause,MOD(Tableau145[[#This Row],[Fin]],1)))</f>
        <v>0.27083333333575865</v>
      </c>
      <c r="D9" s="11">
        <f>NETWORKDAYS(Tableau145[[#This Row],[Début]],Tableau145[[#This Row],[Fin]],JF)*tot_jour</f>
        <v>0.83333333334303461</v>
      </c>
      <c r="E9" s="11">
        <f>MIN(deb_pause,MOD(Tableau145[[#This Row],[Début]],1))-deb_jour</f>
        <v>0.20833333333575865</v>
      </c>
      <c r="F9" s="11">
        <f>MAX(0,MOD(Tableau145[[#This Row],[Début]],1)-fin_pause)</f>
        <v>0</v>
      </c>
      <c r="G9" s="11">
        <f>MAX(0,deb_pause-MOD(Tableau145[[#This Row],[Fin]],1))</f>
        <v>0.1875</v>
      </c>
      <c r="H9" s="11">
        <f>fin_jour-MAX(fin_pause,MOD(Tableau145[[#This Row],[Fin]],1))</f>
        <v>0.16666666667151731</v>
      </c>
      <c r="I9" s="11">
        <f>Tableau145[[#This Row],[Colonne1]]-SUM(Tableau145[[#This Row],[Colonne2]:[Colonne5]])</f>
        <v>0.27083333333575865</v>
      </c>
    </row>
    <row r="10" spans="1:9">
      <c r="A10" s="15">
        <v>42972.458333333336</v>
      </c>
      <c r="B10" s="15">
        <v>42975.333333333328</v>
      </c>
      <c r="C10" s="11">
        <f>NETWORKDAYS(Tableau145[[#This Row],[Début]],Tableau145[[#This Row],[Fin]],JF)*tot_jour-(MIN(deb_pause,MOD(Tableau145[[#This Row],[Début]],1))-deb_jour+MAX(0,MOD(Tableau145[[#This Row],[Début]],1)-fin_pause)+MAX(0,deb_pause-MOD(Tableau145[[#This Row],[Fin]],1))+fin_jour-MAX(fin_pause,MOD(Tableau145[[#This Row],[Fin]],1)))</f>
        <v>0.29166666666424135</v>
      </c>
      <c r="D10" s="11">
        <f>NETWORKDAYS(Tableau145[[#This Row],[Début]],Tableau145[[#This Row],[Fin]],JF)*tot_jour</f>
        <v>0.83333333334303461</v>
      </c>
      <c r="E10" s="11">
        <f>MIN(deb_pause,MOD(Tableau145[[#This Row],[Début]],1))-deb_jour</f>
        <v>0.20833333333575865</v>
      </c>
      <c r="F10" s="11">
        <f>MAX(0,MOD(Tableau145[[#This Row],[Début]],1)-fin_pause)</f>
        <v>0</v>
      </c>
      <c r="G10" s="11">
        <f>MAX(0,deb_pause-MOD(Tableau145[[#This Row],[Fin]],1))</f>
        <v>0.16666666667151731</v>
      </c>
      <c r="H10" s="11">
        <f>fin_jour-MAX(fin_pause,MOD(Tableau145[[#This Row],[Fin]],1))</f>
        <v>0.16666666667151731</v>
      </c>
      <c r="I10" s="11">
        <f>Tableau145[[#This Row],[Colonne1]]-SUM(Tableau145[[#This Row],[Colonne2]:[Colonne5]])</f>
        <v>0.29166666666424135</v>
      </c>
    </row>
    <row r="11" spans="1:9">
      <c r="A11" s="15">
        <v>42972.458333333336</v>
      </c>
      <c r="B11" s="15">
        <v>42975.354166666664</v>
      </c>
      <c r="C11" s="11">
        <f>NETWORKDAYS(Tableau145[[#This Row],[Début]],Tableau145[[#This Row],[Fin]],JF)*tot_jour-(MIN(deb_pause,MOD(Tableau145[[#This Row],[Début]],1))-deb_jour+MAX(0,MOD(Tableau145[[#This Row],[Début]],1)-fin_pause)+MAX(0,deb_pause-MOD(Tableau145[[#This Row],[Fin]],1))+fin_jour-MAX(fin_pause,MOD(Tableau145[[#This Row],[Fin]],1)))</f>
        <v>0.3125</v>
      </c>
      <c r="D11" s="11">
        <f>NETWORKDAYS(Tableau145[[#This Row],[Début]],Tableau145[[#This Row],[Fin]],JF)*tot_jour</f>
        <v>0.83333333334303461</v>
      </c>
      <c r="E11" s="11">
        <f>MIN(deb_pause,MOD(Tableau145[[#This Row],[Début]],1))-deb_jour</f>
        <v>0.20833333333575865</v>
      </c>
      <c r="F11" s="11">
        <f>MAX(0,MOD(Tableau145[[#This Row],[Début]],1)-fin_pause)</f>
        <v>0</v>
      </c>
      <c r="G11" s="11">
        <f>MAX(0,deb_pause-MOD(Tableau145[[#This Row],[Fin]],1))</f>
        <v>0.14583333333575865</v>
      </c>
      <c r="H11" s="11">
        <f>fin_jour-MAX(fin_pause,MOD(Tableau145[[#This Row],[Fin]],1))</f>
        <v>0.16666666667151731</v>
      </c>
      <c r="I11" s="11">
        <f>Tableau145[[#This Row],[Colonne1]]-SUM(Tableau145[[#This Row],[Colonne2]:[Colonne5]])</f>
        <v>0.3125</v>
      </c>
    </row>
    <row r="12" spans="1:9">
      <c r="A12" s="15">
        <v>42972.666666666664</v>
      </c>
      <c r="B12" s="15">
        <v>42976.583333333321</v>
      </c>
      <c r="C12" s="11">
        <f>NETWORKDAYS(Tableau145[[#This Row],[Début]],Tableau145[[#This Row],[Fin]],JF)*tot_jour-(MIN(deb_pause,MOD(Tableau145[[#This Row],[Début]],1))-deb_jour+MAX(0,MOD(Tableau145[[#This Row],[Début]],1)-fin_pause)+MAX(0,deb_pause-MOD(Tableau145[[#This Row],[Fin]],1))+fin_jour-MAX(fin_pause,MOD(Tableau145[[#This Row],[Fin]],1)))</f>
        <v>0.75</v>
      </c>
      <c r="D12" s="11">
        <f>NETWORKDAYS(Tableau145[[#This Row],[Début]],Tableau145[[#This Row],[Fin]],JF)*tot_jour</f>
        <v>1.2500000000145519</v>
      </c>
      <c r="E12" s="11">
        <f>MIN(deb_pause,MOD(Tableau145[[#This Row],[Début]],1))-deb_jour</f>
        <v>0.25</v>
      </c>
      <c r="F12" s="11">
        <f>MAX(0,MOD(Tableau145[[#This Row],[Début]],1)-fin_pause)</f>
        <v>0.125</v>
      </c>
      <c r="G12" s="11">
        <f>MAX(0,deb_pause-MOD(Tableau145[[#This Row],[Fin]],1))</f>
        <v>0</v>
      </c>
      <c r="H12" s="11">
        <f>fin_jour-MAX(fin_pause,MOD(Tableau145[[#This Row],[Fin]],1))</f>
        <v>0.12500000001455192</v>
      </c>
      <c r="I12" s="11">
        <f>Tableau145[[#This Row],[Colonne1]]-SUM(Tableau145[[#This Row],[Colonne2]:[Colonne5]])</f>
        <v>0.75</v>
      </c>
    </row>
    <row r="13" spans="1:9">
      <c r="A13" s="15">
        <v>42972.708333333336</v>
      </c>
      <c r="B13" s="15">
        <v>42976.645833333328</v>
      </c>
      <c r="C13" s="11">
        <f>NETWORKDAYS(Tableau145[[#This Row],[Début]],Tableau145[[#This Row],[Fin]],JF)*tot_jour-(MIN(deb_pause,MOD(Tableau145[[#This Row],[Début]],1))-deb_jour+MAX(0,MOD(Tableau145[[#This Row],[Début]],1)-fin_pause)+MAX(0,deb_pause-MOD(Tableau145[[#This Row],[Fin]],1))+fin_jour-MAX(fin_pause,MOD(Tableau145[[#This Row],[Fin]],1)))</f>
        <v>0.77083333333575865</v>
      </c>
      <c r="D13" s="11">
        <f>NETWORKDAYS(Tableau145[[#This Row],[Début]],Tableau145[[#This Row],[Fin]],JF)*tot_jour</f>
        <v>1.2500000000145519</v>
      </c>
      <c r="E13" s="11">
        <f>MIN(deb_pause,MOD(Tableau145[[#This Row],[Début]],1))-deb_jour</f>
        <v>0.25</v>
      </c>
      <c r="F13" s="11">
        <f>MAX(0,MOD(Tableau145[[#This Row],[Début]],1)-fin_pause)</f>
        <v>0.16666666667151731</v>
      </c>
      <c r="G13" s="11">
        <f>MAX(0,deb_pause-MOD(Tableau145[[#This Row],[Fin]],1))</f>
        <v>0</v>
      </c>
      <c r="H13" s="11">
        <f>fin_jour-MAX(fin_pause,MOD(Tableau145[[#This Row],[Fin]],1))</f>
        <v>6.2500000007275958E-2</v>
      </c>
      <c r="I13" s="11">
        <f>Tableau145[[#This Row],[Colonne1]]-SUM(Tableau145[[#This Row],[Colonne2]:[Colonne5]])</f>
        <v>0.77083333333575865</v>
      </c>
    </row>
    <row r="14" spans="1:9">
      <c r="A14" s="15">
        <v>42737.5</v>
      </c>
      <c r="B14" s="15">
        <v>42738.333333333328</v>
      </c>
      <c r="C14" s="11">
        <f>NETWORKDAYS(Tableau145[[#This Row],[Début]],Tableau145[[#This Row],[Fin]],JF)*tot_jour-(MIN(deb_pause,MOD(Tableau145[[#This Row],[Début]],1))-deb_jour+MAX(0,MOD(Tableau145[[#This Row],[Début]],1)-fin_pause)+MAX(0,deb_pause-MOD(Tableau145[[#This Row],[Fin]],1))+fin_jour-MAX(fin_pause,MOD(Tableau145[[#This Row],[Fin]],1)))</f>
        <v>0.25</v>
      </c>
      <c r="D14" s="11">
        <f>NETWORKDAYS(Tableau145[[#This Row],[Début]],Tableau145[[#This Row],[Fin]],JF)*tot_jour</f>
        <v>0.83333333334303461</v>
      </c>
      <c r="E14" s="11">
        <f>MIN(deb_pause,MOD(Tableau145[[#This Row],[Début]],1))-deb_jour</f>
        <v>0.25</v>
      </c>
      <c r="F14" s="11">
        <f>MAX(0,MOD(Tableau145[[#This Row],[Début]],1)-fin_pause)</f>
        <v>0</v>
      </c>
      <c r="G14" s="11">
        <f>MAX(0,deb_pause-MOD(Tableau145[[#This Row],[Fin]],1))</f>
        <v>0.16666666667151731</v>
      </c>
      <c r="H14" s="11">
        <f>fin_jour-MAX(fin_pause,MOD(Tableau145[[#This Row],[Fin]],1))</f>
        <v>0.16666666667151731</v>
      </c>
      <c r="I14" s="11">
        <f>Tableau145[[#This Row],[Colonne1]]-SUM(Tableau145[[#This Row],[Colonne2]:[Colonne5]])</f>
        <v>0.25</v>
      </c>
    </row>
    <row r="15" spans="1:9">
      <c r="A15" s="15">
        <v>42740.458333333336</v>
      </c>
      <c r="B15" s="15">
        <v>42745.374999999985</v>
      </c>
      <c r="C15" s="11">
        <f>NETWORKDAYS(Tableau145[[#This Row],[Début]],Tableau145[[#This Row],[Fin]],JF)*tot_jour-(MIN(deb_pause,MOD(Tableau145[[#This Row],[Début]],1))-deb_jour+MAX(0,MOD(Tableau145[[#This Row],[Début]],1)-fin_pause)+MAX(0,deb_pause-MOD(Tableau145[[#This Row],[Fin]],1))+fin_jour-MAX(fin_pause,MOD(Tableau145[[#This Row],[Fin]],1)))</f>
        <v>1.1666666666642413</v>
      </c>
      <c r="D15" s="11">
        <f>NETWORKDAYS(Tableau145[[#This Row],[Début]],Tableau145[[#This Row],[Fin]],JF)*tot_jour</f>
        <v>1.6666666666860692</v>
      </c>
      <c r="E15" s="11">
        <f>MIN(deb_pause,MOD(Tableau145[[#This Row],[Début]],1))-deb_jour</f>
        <v>0.20833333333575865</v>
      </c>
      <c r="F15" s="11">
        <f>MAX(0,MOD(Tableau145[[#This Row],[Début]],1)-fin_pause)</f>
        <v>0</v>
      </c>
      <c r="G15" s="11">
        <f>MAX(0,deb_pause-MOD(Tableau145[[#This Row],[Fin]],1))</f>
        <v>0.12500000001455192</v>
      </c>
      <c r="H15" s="11">
        <f>fin_jour-MAX(fin_pause,MOD(Tableau145[[#This Row],[Fin]],1))</f>
        <v>0.16666666667151731</v>
      </c>
      <c r="I15" s="11">
        <f>Tableau145[[#This Row],[Colonne1]]-SUM(Tableau145[[#This Row],[Colonne2]:[Colonne5]])</f>
        <v>1.1666666666642413</v>
      </c>
    </row>
    <row r="16" spans="1:9">
      <c r="A16" s="15">
        <v>42970.5</v>
      </c>
      <c r="B16" s="15">
        <v>42978.333333333299</v>
      </c>
      <c r="C16" s="11">
        <f>NETWORKDAYS(Tableau145[[#This Row],[Début]],Tableau145[[#This Row],[Fin]],JF)*tot_jour-(MIN(deb_pause,MOD(Tableau145[[#This Row],[Début]],1))-deb_jour+MAX(0,MOD(Tableau145[[#This Row],[Début]],1)-fin_pause)+MAX(0,deb_pause-MOD(Tableau145[[#This Row],[Fin]],1))+fin_jour-MAX(fin_pause,MOD(Tableau145[[#This Row],[Fin]],1)))</f>
        <v>2.3333333333284827</v>
      </c>
      <c r="D16" s="11">
        <f>NETWORKDAYS(Tableau145[[#This Row],[Début]],Tableau145[[#This Row],[Fin]],JF)*tot_jour</f>
        <v>2.9166666667006211</v>
      </c>
      <c r="E16" s="11">
        <f>MIN(deb_pause,MOD(Tableau145[[#This Row],[Début]],1))-deb_jour</f>
        <v>0.25</v>
      </c>
      <c r="F16" s="11">
        <f>MAX(0,MOD(Tableau145[[#This Row],[Début]],1)-fin_pause)</f>
        <v>0</v>
      </c>
      <c r="G16" s="11">
        <f>MAX(0,deb_pause-MOD(Tableau145[[#This Row],[Fin]],1))</f>
        <v>0.16666666670062114</v>
      </c>
      <c r="H16" s="11">
        <f>fin_jour-MAX(fin_pause,MOD(Tableau145[[#This Row],[Fin]],1))</f>
        <v>0.16666666667151731</v>
      </c>
      <c r="I16" s="11">
        <f>Tableau145[[#This Row],[Colonne1]]-SUM(Tableau145[[#This Row],[Colonne2]:[Colonne5]])</f>
        <v>2.3333333333284827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6"/>
  <sheetViews>
    <sheetView workbookViewId="0">
      <selection activeCell="E1" sqref="E1:E56"/>
    </sheetView>
  </sheetViews>
  <sheetFormatPr baseColWidth="10" defaultColWidth="11.453125" defaultRowHeight="14.5"/>
  <cols>
    <col min="1" max="2" width="11.54296875" style="8" customWidth="1"/>
    <col min="3" max="5" width="17.81640625" style="8" customWidth="1"/>
    <col min="6" max="16384" width="11.453125" style="8"/>
  </cols>
  <sheetData>
    <row r="1" spans="1:5" s="5" customFormat="1">
      <c r="A1" s="2">
        <v>2017</v>
      </c>
      <c r="B1" s="3" t="s">
        <v>0</v>
      </c>
      <c r="C1" s="4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42841</v>
      </c>
      <c r="D1" s="3" t="s">
        <v>1</v>
      </c>
      <c r="E1" s="3"/>
    </row>
    <row r="2" spans="1:5">
      <c r="A2" s="6"/>
      <c r="B2" s="6"/>
      <c r="C2" s="6"/>
      <c r="D2" s="6" t="s">
        <v>2</v>
      </c>
      <c r="E2" s="7">
        <f>DATE(A1,1,1)</f>
        <v>42736</v>
      </c>
    </row>
    <row r="3" spans="1:5">
      <c r="A3" s="6"/>
      <c r="B3" s="6"/>
      <c r="C3" s="6"/>
      <c r="D3" s="6" t="s">
        <v>3</v>
      </c>
      <c r="E3" s="9"/>
    </row>
    <row r="4" spans="1:5">
      <c r="A4" s="6"/>
      <c r="B4" s="6"/>
      <c r="C4" s="6"/>
      <c r="D4" s="6" t="s">
        <v>4</v>
      </c>
      <c r="E4" s="7">
        <f>C1+1</f>
        <v>42842</v>
      </c>
    </row>
    <row r="5" spans="1:5">
      <c r="A5" s="6"/>
      <c r="B5" s="6"/>
      <c r="C5" s="6"/>
      <c r="D5" s="6" t="s">
        <v>5</v>
      </c>
      <c r="E5" s="7">
        <f>DATE(A1,5,1)</f>
        <v>42856</v>
      </c>
    </row>
    <row r="6" spans="1:5">
      <c r="A6" s="6"/>
      <c r="B6" s="6"/>
      <c r="C6" s="6"/>
      <c r="D6" s="6" t="s">
        <v>6</v>
      </c>
      <c r="E6" s="7">
        <f>DATE(A1,5,8)</f>
        <v>42863</v>
      </c>
    </row>
    <row r="7" spans="1:5">
      <c r="A7" s="6"/>
      <c r="B7" s="6"/>
      <c r="C7" s="6"/>
      <c r="D7" s="6" t="s">
        <v>7</v>
      </c>
      <c r="E7" s="7">
        <f>C1+39</f>
        <v>42880</v>
      </c>
    </row>
    <row r="8" spans="1:5">
      <c r="A8" s="6"/>
      <c r="B8" s="6"/>
      <c r="C8" s="6"/>
      <c r="D8" s="6" t="s">
        <v>8</v>
      </c>
      <c r="E8" s="7">
        <f>C1+50</f>
        <v>42891</v>
      </c>
    </row>
    <row r="9" spans="1:5">
      <c r="A9" s="6"/>
      <c r="B9" s="6"/>
      <c r="C9" s="6"/>
      <c r="D9" s="6" t="s">
        <v>9</v>
      </c>
      <c r="E9" s="7">
        <f>DATE(A1,7,14)</f>
        <v>42930</v>
      </c>
    </row>
    <row r="10" spans="1:5">
      <c r="A10" s="6"/>
      <c r="B10" s="6"/>
      <c r="C10" s="6"/>
      <c r="D10" s="6" t="s">
        <v>10</v>
      </c>
      <c r="E10" s="7">
        <f>DATE(A1,8,15)</f>
        <v>42962</v>
      </c>
    </row>
    <row r="11" spans="1:5">
      <c r="A11" s="6"/>
      <c r="B11" s="6"/>
      <c r="C11" s="6"/>
      <c r="D11" s="6" t="s">
        <v>11</v>
      </c>
      <c r="E11" s="7">
        <f>DATE(A1,11,1)</f>
        <v>43040</v>
      </c>
    </row>
    <row r="12" spans="1:5">
      <c r="A12" s="6"/>
      <c r="B12" s="6"/>
      <c r="C12" s="6"/>
      <c r="D12" s="6" t="s">
        <v>12</v>
      </c>
      <c r="E12" s="7">
        <f>DATE(A1,11,11)</f>
        <v>43050</v>
      </c>
    </row>
    <row r="13" spans="1:5">
      <c r="A13" s="6"/>
      <c r="B13" s="6"/>
      <c r="C13" s="6"/>
      <c r="D13" s="6" t="s">
        <v>13</v>
      </c>
      <c r="E13" s="7">
        <f>DATE(A1,12,25)</f>
        <v>43094</v>
      </c>
    </row>
    <row r="14" spans="1:5">
      <c r="A14" s="6"/>
      <c r="B14" s="6"/>
      <c r="C14" s="6"/>
      <c r="D14" s="6"/>
      <c r="E14" s="7">
        <f>DATE(A1+1,1,1)</f>
        <v>43101</v>
      </c>
    </row>
    <row r="15" spans="1:5">
      <c r="A15" s="2">
        <f>A1+1</f>
        <v>2018</v>
      </c>
      <c r="B15" s="3" t="s">
        <v>0</v>
      </c>
      <c r="C15" s="4">
        <f>DATE(A15,IF((25-MOD((11*MOD(A15-1900,19)+4-INT((7*MOD(A15-1900,19)+1)/19)),29)-MOD(A15-1900+INT((A15-1900)/4)+31-MOD((11*MOD(A15-1900,19)+4-INT((7*MOD(A15-1900,19)+1)/19)),29),7))&gt;0,4,3),IF((25-MOD((11*MOD(A15-1900,19)+4-INT((7*MOD(A15-1900,19)+1)/19)),29)-MOD(A15-1900+INT((A15-1900)/4)+31-MOD((11*MOD(A15-1900,19)+4-INT((7*MOD(A15-1900,19)+1)/19)),29),7))&gt;0,(25-MOD((11*MOD(A15-1900,19)+4-INT((7*MOD(A15-1900,19)+1)/19)),29)-MOD(A15-1900+INT((A15-1900)/4)+31-MOD((11*MOD(A15-1900,19)+4-INT((7*MOD(A15-1900,19)+1)/19)),29),7)),31+(25-MOD((11*MOD(A15-1900,19)+4-INT((7*MOD(A15-1900,19)+1)/19)),29)-MOD(A15-1900+INT((A15-1900)/4)+31-MOD((11*MOD(A15-1900,19)+4-INT((7*MOD(A15-1900,19)+1)/19)),29),7))))</f>
        <v>43191</v>
      </c>
      <c r="D15" s="3" t="s">
        <v>1</v>
      </c>
      <c r="E15" s="3"/>
    </row>
    <row r="16" spans="1:5">
      <c r="A16" s="6"/>
      <c r="B16" s="6"/>
      <c r="C16" s="6"/>
      <c r="D16" s="6" t="s">
        <v>2</v>
      </c>
      <c r="E16" s="7">
        <f>DATE(A15,1,1)</f>
        <v>43101</v>
      </c>
    </row>
    <row r="17" spans="1:5">
      <c r="A17" s="6"/>
      <c r="B17" s="6"/>
      <c r="C17" s="6"/>
      <c r="D17" s="6" t="s">
        <v>3</v>
      </c>
      <c r="E17" s="9"/>
    </row>
    <row r="18" spans="1:5">
      <c r="A18" s="6"/>
      <c r="B18" s="6"/>
      <c r="C18" s="6"/>
      <c r="D18" s="6" t="s">
        <v>4</v>
      </c>
      <c r="E18" s="7">
        <f>C15+1</f>
        <v>43192</v>
      </c>
    </row>
    <row r="19" spans="1:5">
      <c r="A19" s="6"/>
      <c r="B19" s="6"/>
      <c r="C19" s="6"/>
      <c r="D19" s="6" t="s">
        <v>5</v>
      </c>
      <c r="E19" s="7">
        <f>DATE(A15,5,1)</f>
        <v>43221</v>
      </c>
    </row>
    <row r="20" spans="1:5">
      <c r="A20" s="6"/>
      <c r="B20" s="6"/>
      <c r="C20" s="6"/>
      <c r="D20" s="6" t="s">
        <v>6</v>
      </c>
      <c r="E20" s="7">
        <f>DATE(A15,5,8)</f>
        <v>43228</v>
      </c>
    </row>
    <row r="21" spans="1:5">
      <c r="A21" s="6"/>
      <c r="B21" s="6"/>
      <c r="C21" s="6"/>
      <c r="D21" s="6" t="s">
        <v>7</v>
      </c>
      <c r="E21" s="7">
        <f>C15+39</f>
        <v>43230</v>
      </c>
    </row>
    <row r="22" spans="1:5">
      <c r="A22" s="6"/>
      <c r="B22" s="6"/>
      <c r="C22" s="6"/>
      <c r="D22" s="6" t="s">
        <v>8</v>
      </c>
      <c r="E22" s="7">
        <f>C15+50</f>
        <v>43241</v>
      </c>
    </row>
    <row r="23" spans="1:5">
      <c r="A23" s="6"/>
      <c r="B23" s="6"/>
      <c r="C23" s="6"/>
      <c r="D23" s="6" t="s">
        <v>9</v>
      </c>
      <c r="E23" s="7">
        <f>DATE(A15,7,14)</f>
        <v>43295</v>
      </c>
    </row>
    <row r="24" spans="1:5">
      <c r="A24" s="6"/>
      <c r="B24" s="6"/>
      <c r="C24" s="6"/>
      <c r="D24" s="6" t="s">
        <v>10</v>
      </c>
      <c r="E24" s="7">
        <f>DATE(A15,8,15)</f>
        <v>43327</v>
      </c>
    </row>
    <row r="25" spans="1:5">
      <c r="A25" s="6"/>
      <c r="B25" s="6"/>
      <c r="C25" s="6"/>
      <c r="D25" s="6" t="s">
        <v>11</v>
      </c>
      <c r="E25" s="7">
        <f>DATE(A15,11,1)</f>
        <v>43405</v>
      </c>
    </row>
    <row r="26" spans="1:5">
      <c r="A26" s="6"/>
      <c r="B26" s="6"/>
      <c r="C26" s="6"/>
      <c r="D26" s="6" t="s">
        <v>12</v>
      </c>
      <c r="E26" s="7">
        <f>DATE(A15,11,11)</f>
        <v>43415</v>
      </c>
    </row>
    <row r="27" spans="1:5">
      <c r="A27" s="6"/>
      <c r="B27" s="6"/>
      <c r="C27" s="6"/>
      <c r="D27" s="6" t="s">
        <v>13</v>
      </c>
      <c r="E27" s="7">
        <f>DATE(A15,12,25)</f>
        <v>43459</v>
      </c>
    </row>
    <row r="28" spans="1:5">
      <c r="A28" s="6"/>
      <c r="B28" s="6"/>
      <c r="C28" s="6"/>
      <c r="D28" s="6"/>
      <c r="E28" s="7">
        <f>DATE(A15+1,1,1)</f>
        <v>43466</v>
      </c>
    </row>
    <row r="29" spans="1:5">
      <c r="A29" s="2">
        <f>A15+1</f>
        <v>2019</v>
      </c>
      <c r="B29" s="3" t="s">
        <v>0</v>
      </c>
      <c r="C29" s="4">
        <f>DATE(A29,IF((25-MOD((11*MOD(A29-1900,19)+4-INT((7*MOD(A29-1900,19)+1)/19)),29)-MOD(A29-1900+INT((A29-1900)/4)+31-MOD((11*MOD(A29-1900,19)+4-INT((7*MOD(A29-1900,19)+1)/19)),29),7))&gt;0,4,3),IF((25-MOD((11*MOD(A29-1900,19)+4-INT((7*MOD(A29-1900,19)+1)/19)),29)-MOD(A29-1900+INT((A29-1900)/4)+31-MOD((11*MOD(A29-1900,19)+4-INT((7*MOD(A29-1900,19)+1)/19)),29),7))&gt;0,(25-MOD((11*MOD(A29-1900,19)+4-INT((7*MOD(A29-1900,19)+1)/19)),29)-MOD(A29-1900+INT((A29-1900)/4)+31-MOD((11*MOD(A29-1900,19)+4-INT((7*MOD(A29-1900,19)+1)/19)),29),7)),31+(25-MOD((11*MOD(A29-1900,19)+4-INT((7*MOD(A29-1900,19)+1)/19)),29)-MOD(A29-1900+INT((A29-1900)/4)+31-MOD((11*MOD(A29-1900,19)+4-INT((7*MOD(A29-1900,19)+1)/19)),29),7))))</f>
        <v>43576</v>
      </c>
      <c r="D29" s="3" t="s">
        <v>1</v>
      </c>
      <c r="E29" s="3"/>
    </row>
    <row r="30" spans="1:5">
      <c r="A30" s="6"/>
      <c r="B30" s="6"/>
      <c r="C30" s="6"/>
      <c r="D30" s="6" t="s">
        <v>2</v>
      </c>
      <c r="E30" s="7">
        <f>DATE(A29,1,1)</f>
        <v>43466</v>
      </c>
    </row>
    <row r="31" spans="1:5">
      <c r="A31" s="6"/>
      <c r="B31" s="6"/>
      <c r="C31" s="6"/>
      <c r="D31" s="6" t="s">
        <v>3</v>
      </c>
      <c r="E31" s="9"/>
    </row>
    <row r="32" spans="1:5">
      <c r="A32" s="6"/>
      <c r="B32" s="6"/>
      <c r="C32" s="6"/>
      <c r="D32" s="6" t="s">
        <v>4</v>
      </c>
      <c r="E32" s="7">
        <f>C29+1</f>
        <v>43577</v>
      </c>
    </row>
    <row r="33" spans="1:5">
      <c r="A33" s="6"/>
      <c r="B33" s="6"/>
      <c r="C33" s="6"/>
      <c r="D33" s="6" t="s">
        <v>5</v>
      </c>
      <c r="E33" s="7">
        <f>DATE(A29,5,1)</f>
        <v>43586</v>
      </c>
    </row>
    <row r="34" spans="1:5">
      <c r="A34" s="6"/>
      <c r="B34" s="6"/>
      <c r="C34" s="6"/>
      <c r="D34" s="6" t="s">
        <v>6</v>
      </c>
      <c r="E34" s="7">
        <f>DATE(A29,5,8)</f>
        <v>43593</v>
      </c>
    </row>
    <row r="35" spans="1:5">
      <c r="A35" s="6"/>
      <c r="B35" s="6"/>
      <c r="C35" s="6"/>
      <c r="D35" s="6" t="s">
        <v>7</v>
      </c>
      <c r="E35" s="7">
        <f>C29+39</f>
        <v>43615</v>
      </c>
    </row>
    <row r="36" spans="1:5">
      <c r="A36" s="6"/>
      <c r="B36" s="6"/>
      <c r="C36" s="6"/>
      <c r="D36" s="6" t="s">
        <v>8</v>
      </c>
      <c r="E36" s="7">
        <f>C29+50</f>
        <v>43626</v>
      </c>
    </row>
    <row r="37" spans="1:5">
      <c r="A37" s="6"/>
      <c r="B37" s="6"/>
      <c r="C37" s="6"/>
      <c r="D37" s="6" t="s">
        <v>9</v>
      </c>
      <c r="E37" s="7">
        <f>DATE(A29,7,14)</f>
        <v>43660</v>
      </c>
    </row>
    <row r="38" spans="1:5">
      <c r="A38" s="6"/>
      <c r="B38" s="6"/>
      <c r="C38" s="6"/>
      <c r="D38" s="6" t="s">
        <v>10</v>
      </c>
      <c r="E38" s="7">
        <f>DATE(A29,8,15)</f>
        <v>43692</v>
      </c>
    </row>
    <row r="39" spans="1:5">
      <c r="A39" s="6"/>
      <c r="B39" s="6"/>
      <c r="C39" s="6"/>
      <c r="D39" s="6" t="s">
        <v>11</v>
      </c>
      <c r="E39" s="7">
        <f>DATE(A29,11,1)</f>
        <v>43770</v>
      </c>
    </row>
    <row r="40" spans="1:5">
      <c r="A40" s="6"/>
      <c r="B40" s="6"/>
      <c r="C40" s="6"/>
      <c r="D40" s="6" t="s">
        <v>12</v>
      </c>
      <c r="E40" s="7">
        <f>DATE(A29,11,11)</f>
        <v>43780</v>
      </c>
    </row>
    <row r="41" spans="1:5">
      <c r="A41" s="6"/>
      <c r="B41" s="6"/>
      <c r="C41" s="6"/>
      <c r="D41" s="6" t="s">
        <v>13</v>
      </c>
      <c r="E41" s="7">
        <f>DATE(A29,12,25)</f>
        <v>43824</v>
      </c>
    </row>
    <row r="42" spans="1:5">
      <c r="A42" s="6"/>
      <c r="B42" s="6"/>
      <c r="C42" s="6"/>
      <c r="D42" s="6"/>
      <c r="E42" s="7">
        <f>DATE(A29+1,1,1)</f>
        <v>43831</v>
      </c>
    </row>
    <row r="43" spans="1:5">
      <c r="A43" s="2">
        <f>A29+1</f>
        <v>2020</v>
      </c>
      <c r="B43" s="3" t="s">
        <v>0</v>
      </c>
      <c r="C43" s="4">
        <f>DATE(A43,IF((25-MOD((11*MOD(A43-1900,19)+4-INT((7*MOD(A43-1900,19)+1)/19)),29)-MOD(A43-1900+INT((A43-1900)/4)+31-MOD((11*MOD(A43-1900,19)+4-INT((7*MOD(A43-1900,19)+1)/19)),29),7))&gt;0,4,3),IF((25-MOD((11*MOD(A43-1900,19)+4-INT((7*MOD(A43-1900,19)+1)/19)),29)-MOD(A43-1900+INT((A43-1900)/4)+31-MOD((11*MOD(A43-1900,19)+4-INT((7*MOD(A43-1900,19)+1)/19)),29),7))&gt;0,(25-MOD((11*MOD(A43-1900,19)+4-INT((7*MOD(A43-1900,19)+1)/19)),29)-MOD(A43-1900+INT((A43-1900)/4)+31-MOD((11*MOD(A43-1900,19)+4-INT((7*MOD(A43-1900,19)+1)/19)),29),7)),31+(25-MOD((11*MOD(A43-1900,19)+4-INT((7*MOD(A43-1900,19)+1)/19)),29)-MOD(A43-1900+INT((A43-1900)/4)+31-MOD((11*MOD(A43-1900,19)+4-INT((7*MOD(A43-1900,19)+1)/19)),29),7))))</f>
        <v>43933</v>
      </c>
      <c r="D43" s="3" t="s">
        <v>1</v>
      </c>
      <c r="E43" s="3"/>
    </row>
    <row r="44" spans="1:5">
      <c r="A44" s="6"/>
      <c r="B44" s="6"/>
      <c r="C44" s="6"/>
      <c r="D44" s="6" t="s">
        <v>2</v>
      </c>
      <c r="E44" s="7">
        <f>DATE(A43,1,1)</f>
        <v>43831</v>
      </c>
    </row>
    <row r="45" spans="1:5">
      <c r="A45" s="6"/>
      <c r="B45" s="6"/>
      <c r="C45" s="6"/>
      <c r="D45" s="6" t="s">
        <v>3</v>
      </c>
      <c r="E45" s="9"/>
    </row>
    <row r="46" spans="1:5">
      <c r="A46" s="6"/>
      <c r="B46" s="6"/>
      <c r="C46" s="6"/>
      <c r="D46" s="6" t="s">
        <v>4</v>
      </c>
      <c r="E46" s="7">
        <f>C43+1</f>
        <v>43934</v>
      </c>
    </row>
    <row r="47" spans="1:5">
      <c r="A47" s="6"/>
      <c r="B47" s="6"/>
      <c r="C47" s="6"/>
      <c r="D47" s="6" t="s">
        <v>5</v>
      </c>
      <c r="E47" s="7">
        <f>DATE(A43,5,1)</f>
        <v>43952</v>
      </c>
    </row>
    <row r="48" spans="1:5">
      <c r="A48" s="6"/>
      <c r="B48" s="6"/>
      <c r="C48" s="6"/>
      <c r="D48" s="6" t="s">
        <v>6</v>
      </c>
      <c r="E48" s="7">
        <f>DATE(A43,5,8)</f>
        <v>43959</v>
      </c>
    </row>
    <row r="49" spans="1:5">
      <c r="A49" s="6"/>
      <c r="B49" s="6"/>
      <c r="C49" s="6"/>
      <c r="D49" s="6" t="s">
        <v>7</v>
      </c>
      <c r="E49" s="7">
        <f>C43+39</f>
        <v>43972</v>
      </c>
    </row>
    <row r="50" spans="1:5">
      <c r="A50" s="6"/>
      <c r="B50" s="6"/>
      <c r="C50" s="6"/>
      <c r="D50" s="6" t="s">
        <v>8</v>
      </c>
      <c r="E50" s="7">
        <f>C43+50</f>
        <v>43983</v>
      </c>
    </row>
    <row r="51" spans="1:5">
      <c r="A51" s="6"/>
      <c r="B51" s="6"/>
      <c r="C51" s="6"/>
      <c r="D51" s="6" t="s">
        <v>9</v>
      </c>
      <c r="E51" s="7">
        <f>DATE(A43,7,14)</f>
        <v>44026</v>
      </c>
    </row>
    <row r="52" spans="1:5">
      <c r="A52" s="6"/>
      <c r="B52" s="6"/>
      <c r="C52" s="6"/>
      <c r="D52" s="6" t="s">
        <v>10</v>
      </c>
      <c r="E52" s="7">
        <f>DATE(A43,8,15)</f>
        <v>44058</v>
      </c>
    </row>
    <row r="53" spans="1:5">
      <c r="A53" s="6"/>
      <c r="B53" s="6"/>
      <c r="C53" s="6"/>
      <c r="D53" s="6" t="s">
        <v>11</v>
      </c>
      <c r="E53" s="7">
        <f>DATE(A43,11,1)</f>
        <v>44136</v>
      </c>
    </row>
    <row r="54" spans="1:5">
      <c r="A54" s="6"/>
      <c r="B54" s="6"/>
      <c r="C54" s="6"/>
      <c r="D54" s="6" t="s">
        <v>12</v>
      </c>
      <c r="E54" s="7">
        <f>DATE(A43,11,11)</f>
        <v>44146</v>
      </c>
    </row>
    <row r="55" spans="1:5">
      <c r="A55" s="6"/>
      <c r="B55" s="6"/>
      <c r="C55" s="6"/>
      <c r="D55" s="6" t="s">
        <v>13</v>
      </c>
      <c r="E55" s="7">
        <f>DATE(A43,12,25)</f>
        <v>44190</v>
      </c>
    </row>
    <row r="56" spans="1:5">
      <c r="A56" s="6"/>
      <c r="B56" s="6"/>
      <c r="C56" s="6"/>
      <c r="D56" s="6"/>
      <c r="E56" s="7">
        <f>DATE(A43+1,1,1)</f>
        <v>44197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calcul</vt:lpstr>
      <vt:lpstr>mise au point 1</vt:lpstr>
      <vt:lpstr>mise au point 2</vt:lpstr>
      <vt:lpstr>calendrier</vt:lpstr>
      <vt:lpstr>deb_jour</vt:lpstr>
      <vt:lpstr>deb_pause</vt:lpstr>
      <vt:lpstr>fin_jour</vt:lpstr>
      <vt:lpstr>fin_pause</vt:lpstr>
      <vt:lpstr>JF</vt:lpstr>
      <vt:lpstr>ouverture</vt:lpstr>
      <vt:lpstr>tot_jour</vt:lpstr>
      <vt:lpstr>tot_pause</vt:lpstr>
    </vt:vector>
  </TitlesOfParts>
  <Company>SILCA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CORMENIER-PRESTATAIRE Florian (SILCA)</dc:creator>
  <cp:lastModifiedBy>Michel</cp:lastModifiedBy>
  <dcterms:created xsi:type="dcterms:W3CDTF">2017-08-16T08:12:39Z</dcterms:created>
  <dcterms:modified xsi:type="dcterms:W3CDTF">2017-08-24T09:22:16Z</dcterms:modified>
</cp:coreProperties>
</file>