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/>
  <bookViews>
    <workbookView xWindow="0" yWindow="0" windowWidth="19200" windowHeight="8610"/>
  </bookViews>
  <sheets>
    <sheet name="Données" sheetId="3" r:id="rId1"/>
    <sheet name="Synthèse" sheetId="6" r:id="rId2"/>
    <sheet name="JoursFériés" sheetId="5" r:id="rId3"/>
    <sheet name="Paramètres" sheetId="2" r:id="rId4"/>
  </sheets>
  <definedNames>
    <definedName name="DebNuit">Paramètres!$B$2</definedName>
    <definedName name="FinNuit">Paramètres!$B$1</definedName>
    <definedName name="JF">JoursFériés!$B$2:$Q$13</definedName>
    <definedName name="TAUX1">Paramètres!$B$4</definedName>
    <definedName name="TAUX2">Paramètres!$B$5</definedName>
    <definedName name="TAUX3">Paramètres!$B$6</definedName>
    <definedName name="TAUX4">Paramètres!$B$7</definedName>
    <definedName name="véhicule">Paramètres!$B$9:$B$14</definedName>
  </definedNames>
  <calcPr calcId="152511"/>
  <pivotCaches>
    <pivotCache cacheId="3" r:id="rId5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" i="3" l="1"/>
  <c r="I3" i="3"/>
  <c r="I4" i="3"/>
  <c r="I5" i="3"/>
  <c r="I6" i="3"/>
  <c r="I7" i="3"/>
  <c r="I8" i="3"/>
  <c r="I9" i="3"/>
  <c r="I10" i="3"/>
  <c r="I11" i="3"/>
  <c r="I12" i="3"/>
  <c r="I13" i="3"/>
  <c r="I14" i="3"/>
  <c r="H2" i="3" l="1"/>
  <c r="H3" i="3"/>
  <c r="H4" i="3"/>
  <c r="J4" i="3" s="1"/>
  <c r="H5" i="3"/>
  <c r="H6" i="3"/>
  <c r="H7" i="3"/>
  <c r="H8" i="3"/>
  <c r="H9" i="3"/>
  <c r="J9" i="3" s="1"/>
  <c r="H10" i="3"/>
  <c r="H11" i="3"/>
  <c r="J11" i="3" s="1"/>
  <c r="H12" i="3"/>
  <c r="H13" i="3"/>
  <c r="J13" i="3" s="1"/>
  <c r="H14" i="3"/>
  <c r="J14" i="3" s="1"/>
  <c r="J3" i="3"/>
  <c r="J10" i="3"/>
  <c r="J6" i="3"/>
  <c r="J2" i="3"/>
  <c r="J5" i="3"/>
  <c r="J8" i="3"/>
  <c r="J12" i="3"/>
  <c r="J7" i="3" l="1"/>
  <c r="V12" i="3"/>
  <c r="M12" i="3"/>
  <c r="T13" i="3"/>
  <c r="U13" i="3" s="1"/>
  <c r="M14" i="3"/>
  <c r="M8" i="3"/>
  <c r="X8" i="3"/>
  <c r="T9" i="3"/>
  <c r="U9" i="3" s="1"/>
  <c r="R11" i="3" l="1"/>
  <c r="N11" i="3"/>
  <c r="Q8" i="3"/>
  <c r="N8" i="3"/>
  <c r="L8" i="3" s="1"/>
  <c r="Q13" i="3"/>
  <c r="N13" i="3"/>
  <c r="R9" i="3"/>
  <c r="N9" i="3"/>
  <c r="R14" i="3"/>
  <c r="N14" i="3"/>
  <c r="Q10" i="3"/>
  <c r="N10" i="3"/>
  <c r="N12" i="3"/>
  <c r="L12" i="3" s="1"/>
  <c r="M11" i="3"/>
  <c r="Q14" i="3"/>
  <c r="P14" i="3" s="1"/>
  <c r="M13" i="3"/>
  <c r="W12" i="3"/>
  <c r="S12" i="3"/>
  <c r="Q12" i="3"/>
  <c r="R13" i="3"/>
  <c r="T14" i="3"/>
  <c r="U14" i="3" s="1"/>
  <c r="R12" i="3"/>
  <c r="X12" i="3"/>
  <c r="M10" i="3"/>
  <c r="L10" i="3" s="1"/>
  <c r="R10" i="3"/>
  <c r="M9" i="3"/>
  <c r="Q9" i="3"/>
  <c r="P9" i="3" s="1"/>
  <c r="Q11" i="3"/>
  <c r="T11" i="3"/>
  <c r="U11" i="3" s="1"/>
  <c r="R8" i="3"/>
  <c r="S8" i="3"/>
  <c r="V8" i="3"/>
  <c r="W8" i="3"/>
  <c r="T10" i="3"/>
  <c r="U10" i="3" s="1"/>
  <c r="P10" i="3" l="1"/>
  <c r="X14" i="3"/>
  <c r="L11" i="3"/>
  <c r="P11" i="3"/>
  <c r="L14" i="3"/>
  <c r="L13" i="3"/>
  <c r="P8" i="3"/>
  <c r="P13" i="3"/>
  <c r="L9" i="3"/>
  <c r="X13" i="3"/>
  <c r="Y12" i="3"/>
  <c r="P12" i="3"/>
  <c r="X10" i="3"/>
  <c r="X11" i="3"/>
  <c r="X9" i="3"/>
  <c r="Y8" i="3"/>
  <c r="D2" i="5" l="1"/>
  <c r="E2" i="5"/>
  <c r="F2" i="5"/>
  <c r="G2" i="5"/>
  <c r="H2" i="5"/>
  <c r="I2" i="5"/>
  <c r="J2" i="5"/>
  <c r="K2" i="5"/>
  <c r="L2" i="5"/>
  <c r="M2" i="5"/>
  <c r="N2" i="5"/>
  <c r="O2" i="5"/>
  <c r="P2" i="5"/>
  <c r="Q2" i="5"/>
  <c r="D3" i="5"/>
  <c r="D4" i="5" s="1"/>
  <c r="E3" i="5"/>
  <c r="E8" i="5" s="1"/>
  <c r="F3" i="5"/>
  <c r="G3" i="5"/>
  <c r="H3" i="5"/>
  <c r="H4" i="5" s="1"/>
  <c r="I3" i="5"/>
  <c r="I8" i="5" s="1"/>
  <c r="J3" i="5"/>
  <c r="J4" i="5" s="1"/>
  <c r="K3" i="5"/>
  <c r="K8" i="5" s="1"/>
  <c r="L3" i="5"/>
  <c r="L4" i="5" s="1"/>
  <c r="M3" i="5"/>
  <c r="M8" i="5" s="1"/>
  <c r="N3" i="5"/>
  <c r="N7" i="5" s="1"/>
  <c r="O3" i="5"/>
  <c r="O7" i="5" s="1"/>
  <c r="P3" i="5"/>
  <c r="P4" i="5" s="1"/>
  <c r="Q3" i="5"/>
  <c r="Q4" i="5" s="1"/>
  <c r="F4" i="5"/>
  <c r="G4" i="5"/>
  <c r="N4" i="5"/>
  <c r="O4" i="5"/>
  <c r="D5" i="5"/>
  <c r="E5" i="5"/>
  <c r="F5" i="5"/>
  <c r="G5" i="5"/>
  <c r="H5" i="5"/>
  <c r="I5" i="5"/>
  <c r="J5" i="5"/>
  <c r="K5" i="5"/>
  <c r="L5" i="5"/>
  <c r="M5" i="5"/>
  <c r="N5" i="5"/>
  <c r="O5" i="5"/>
  <c r="P5" i="5"/>
  <c r="Q5" i="5"/>
  <c r="D6" i="5"/>
  <c r="E6" i="5"/>
  <c r="F6" i="5"/>
  <c r="G6" i="5"/>
  <c r="H6" i="5"/>
  <c r="I6" i="5"/>
  <c r="J6" i="5"/>
  <c r="K6" i="5"/>
  <c r="L6" i="5"/>
  <c r="M6" i="5"/>
  <c r="N6" i="5"/>
  <c r="O6" i="5"/>
  <c r="P6" i="5"/>
  <c r="Q6" i="5"/>
  <c r="F7" i="5"/>
  <c r="G7" i="5"/>
  <c r="J7" i="5"/>
  <c r="K7" i="5"/>
  <c r="F8" i="5"/>
  <c r="G8" i="5"/>
  <c r="H8" i="5"/>
  <c r="J8" i="5"/>
  <c r="N8" i="5"/>
  <c r="O8" i="5"/>
  <c r="D9" i="5"/>
  <c r="E9" i="5"/>
  <c r="F9" i="5"/>
  <c r="G9" i="5"/>
  <c r="H9" i="5"/>
  <c r="I9" i="5"/>
  <c r="J9" i="5"/>
  <c r="K9" i="5"/>
  <c r="L9" i="5"/>
  <c r="M9" i="5"/>
  <c r="N9" i="5"/>
  <c r="O9" i="5"/>
  <c r="P9" i="5"/>
  <c r="Q9" i="5"/>
  <c r="D10" i="5"/>
  <c r="E10" i="5"/>
  <c r="F10" i="5"/>
  <c r="G10" i="5"/>
  <c r="H10" i="5"/>
  <c r="I10" i="5"/>
  <c r="J10" i="5"/>
  <c r="K10" i="5"/>
  <c r="L10" i="5"/>
  <c r="M10" i="5"/>
  <c r="N10" i="5"/>
  <c r="O10" i="5"/>
  <c r="P10" i="5"/>
  <c r="Q10" i="5"/>
  <c r="D11" i="5"/>
  <c r="E11" i="5"/>
  <c r="F11" i="5"/>
  <c r="G11" i="5"/>
  <c r="H11" i="5"/>
  <c r="I11" i="5"/>
  <c r="J11" i="5"/>
  <c r="K11" i="5"/>
  <c r="L11" i="5"/>
  <c r="M11" i="5"/>
  <c r="N11" i="5"/>
  <c r="O11" i="5"/>
  <c r="P11" i="5"/>
  <c r="Q11" i="5"/>
  <c r="D12" i="5"/>
  <c r="E12" i="5"/>
  <c r="F12" i="5"/>
  <c r="G12" i="5"/>
  <c r="H12" i="5"/>
  <c r="I12" i="5"/>
  <c r="J12" i="5"/>
  <c r="K12" i="5"/>
  <c r="L12" i="5"/>
  <c r="M12" i="5"/>
  <c r="N12" i="5"/>
  <c r="O12" i="5"/>
  <c r="P12" i="5"/>
  <c r="Q12" i="5"/>
  <c r="D13" i="5"/>
  <c r="E13" i="5"/>
  <c r="F13" i="5"/>
  <c r="G13" i="5"/>
  <c r="H13" i="5"/>
  <c r="I13" i="5"/>
  <c r="J13" i="5"/>
  <c r="K13" i="5"/>
  <c r="L13" i="5"/>
  <c r="M13" i="5"/>
  <c r="N13" i="5"/>
  <c r="O13" i="5"/>
  <c r="P13" i="5"/>
  <c r="Q13" i="5"/>
  <c r="C2" i="5"/>
  <c r="C3" i="5"/>
  <c r="C7" i="5" s="1"/>
  <c r="C5" i="5"/>
  <c r="C6" i="5"/>
  <c r="C9" i="5"/>
  <c r="C10" i="5"/>
  <c r="C11" i="5"/>
  <c r="C12" i="5"/>
  <c r="C13" i="5"/>
  <c r="B13" i="5"/>
  <c r="K4" i="5" l="1"/>
  <c r="L8" i="5"/>
  <c r="P8" i="5"/>
  <c r="D8" i="5"/>
  <c r="Q7" i="5"/>
  <c r="P7" i="5"/>
  <c r="L7" i="5"/>
  <c r="H7" i="5"/>
  <c r="D7" i="5"/>
  <c r="M4" i="5"/>
  <c r="I4" i="5"/>
  <c r="E4" i="5"/>
  <c r="M7" i="5"/>
  <c r="I7" i="5"/>
  <c r="E7" i="5"/>
  <c r="Q8" i="5"/>
  <c r="C8" i="5"/>
  <c r="C4" i="5"/>
  <c r="B2" i="5"/>
  <c r="B10" i="5"/>
  <c r="B3" i="5"/>
  <c r="B11" i="5"/>
  <c r="B6" i="5"/>
  <c r="B12" i="5"/>
  <c r="B5" i="5"/>
  <c r="B9" i="5"/>
  <c r="B8" i="5" l="1"/>
  <c r="B4" i="5"/>
  <c r="O10" i="3" s="1"/>
  <c r="B7" i="5"/>
  <c r="K14" i="3" l="1"/>
  <c r="O11" i="3"/>
  <c r="O12" i="3"/>
  <c r="K9" i="3"/>
  <c r="K10" i="3"/>
  <c r="V10" i="3" s="1"/>
  <c r="K13" i="3"/>
  <c r="O8" i="3"/>
  <c r="O14" i="3"/>
  <c r="K8" i="3"/>
  <c r="K11" i="3"/>
  <c r="O9" i="3"/>
  <c r="O13" i="3"/>
  <c r="K12" i="3"/>
  <c r="K2" i="3"/>
  <c r="K3" i="3"/>
  <c r="K4" i="3"/>
  <c r="K5" i="3"/>
  <c r="K6" i="3"/>
  <c r="K7" i="3"/>
  <c r="W10" i="3" l="1"/>
  <c r="Y10" i="3" s="1"/>
  <c r="O5" i="3"/>
  <c r="N5" i="3"/>
  <c r="O7" i="3"/>
  <c r="N7" i="3"/>
  <c r="O3" i="3"/>
  <c r="N3" i="3"/>
  <c r="W9" i="3"/>
  <c r="V9" i="3"/>
  <c r="O4" i="3"/>
  <c r="N4" i="3"/>
  <c r="O6" i="3"/>
  <c r="N6" i="3"/>
  <c r="O2" i="3"/>
  <c r="N2" i="3"/>
  <c r="V13" i="3"/>
  <c r="W13" i="3"/>
  <c r="V14" i="3"/>
  <c r="W14" i="3"/>
  <c r="W11" i="3"/>
  <c r="V11" i="3"/>
  <c r="M2" i="3"/>
  <c r="M5" i="3"/>
  <c r="T3" i="3"/>
  <c r="U3" i="3" s="1"/>
  <c r="T4" i="3"/>
  <c r="U4" i="3" s="1"/>
  <c r="T6" i="3"/>
  <c r="U6" i="3" s="1"/>
  <c r="T7" i="3"/>
  <c r="U7" i="3" s="1"/>
  <c r="M3" i="3"/>
  <c r="Q4" i="3"/>
  <c r="Q5" i="3"/>
  <c r="M7" i="3"/>
  <c r="Y11" i="3" l="1"/>
  <c r="Y13" i="3"/>
  <c r="Y9" i="3"/>
  <c r="L2" i="3"/>
  <c r="L3" i="3"/>
  <c r="L7" i="3"/>
  <c r="Y14" i="3"/>
  <c r="L5" i="3"/>
  <c r="S13" i="3"/>
  <c r="S14" i="3"/>
  <c r="S9" i="3"/>
  <c r="S11" i="3"/>
  <c r="S10" i="3"/>
  <c r="X5" i="3"/>
  <c r="S5" i="3"/>
  <c r="S2" i="3"/>
  <c r="S6" i="3"/>
  <c r="S3" i="3"/>
  <c r="S7" i="3"/>
  <c r="S4" i="3"/>
  <c r="V2" i="3"/>
  <c r="X2" i="3"/>
  <c r="W5" i="3"/>
  <c r="V5" i="3"/>
  <c r="R4" i="3"/>
  <c r="P4" i="3" s="1"/>
  <c r="Q3" i="3"/>
  <c r="Q7" i="3"/>
  <c r="M4" i="3"/>
  <c r="L4" i="3" s="1"/>
  <c r="R6" i="3"/>
  <c r="M6" i="3"/>
  <c r="L6" i="3" s="1"/>
  <c r="R5" i="3"/>
  <c r="P5" i="3" s="1"/>
  <c r="Q6" i="3"/>
  <c r="R7" i="3"/>
  <c r="R3" i="3"/>
  <c r="W2" i="3"/>
  <c r="Y5" i="3" l="1"/>
  <c r="Y2" i="3"/>
  <c r="X4" i="3"/>
  <c r="X3" i="3"/>
  <c r="X6" i="3"/>
  <c r="P3" i="3"/>
  <c r="X7" i="3"/>
  <c r="P7" i="3"/>
  <c r="V7" i="3" s="1"/>
  <c r="P6" i="3"/>
  <c r="V6" i="3" s="1"/>
  <c r="V4" i="3"/>
  <c r="R2" i="3"/>
  <c r="Q2" i="3"/>
  <c r="V3" i="3" l="1"/>
  <c r="W3" i="3"/>
  <c r="W4" i="3"/>
  <c r="Y4" i="3" s="1"/>
  <c r="W7" i="3"/>
  <c r="Y7" i="3" s="1"/>
  <c r="W6" i="3"/>
  <c r="Y6" i="3" s="1"/>
  <c r="P2" i="3"/>
  <c r="T12" i="3" l="1"/>
  <c r="U12" i="3" s="1"/>
  <c r="T8" i="3"/>
  <c r="U8" i="3" s="1"/>
  <c r="Y3" i="3"/>
  <c r="T2" i="3"/>
  <c r="U2" i="3" s="1"/>
  <c r="T5" i="3"/>
  <c r="U5" i="3" s="1"/>
</calcChain>
</file>

<file path=xl/comments1.xml><?xml version="1.0" encoding="utf-8"?>
<comments xmlns="http://schemas.openxmlformats.org/spreadsheetml/2006/main">
  <authors>
    <author>Auteur</author>
  </authors>
  <commentList>
    <comment ref="H1" authorId="0" shape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1 = jour suivant (pour les calculs)</t>
        </r>
      </text>
    </comment>
    <comment ref="I1" authorId="0" shape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1 = jour suivant (pour les calculs)</t>
        </r>
      </text>
    </comment>
  </commentList>
</comments>
</file>

<file path=xl/sharedStrings.xml><?xml version="1.0" encoding="utf-8"?>
<sst xmlns="http://schemas.openxmlformats.org/spreadsheetml/2006/main" count="75" uniqueCount="65">
  <si>
    <t>Date</t>
  </si>
  <si>
    <t>Motif</t>
  </si>
  <si>
    <t>Véhicule</t>
  </si>
  <si>
    <t>VSAV</t>
  </si>
  <si>
    <t>FPTL</t>
  </si>
  <si>
    <t>CCF</t>
  </si>
  <si>
    <t>VLOD</t>
  </si>
  <si>
    <t>Lundi de Pâques</t>
  </si>
  <si>
    <t>Assomption</t>
  </si>
  <si>
    <t>Armistice</t>
  </si>
  <si>
    <t>Noël</t>
  </si>
  <si>
    <t>Jours fériés</t>
  </si>
  <si>
    <t>Début Dim ou Férié</t>
  </si>
  <si>
    <t>Fin Dim ou Férié</t>
  </si>
  <si>
    <t>Hfin corrigée</t>
  </si>
  <si>
    <t>Durée sans interv.</t>
  </si>
  <si>
    <t>Durée interv. dim ou férié</t>
  </si>
  <si>
    <t>Durée interv. nuit</t>
  </si>
  <si>
    <t>Durée interv. jour</t>
  </si>
  <si>
    <t>Hdébut interv.</t>
  </si>
  <si>
    <t>Hfin Interv.</t>
  </si>
  <si>
    <t>JOUR1</t>
  </si>
  <si>
    <t>NUIT1.1</t>
  </si>
  <si>
    <t>NUIT1.2</t>
  </si>
  <si>
    <t>JOUR2</t>
  </si>
  <si>
    <t>NUIT2.1</t>
  </si>
  <si>
    <t>NUIT2.2</t>
  </si>
  <si>
    <t>Hdébut corrigé</t>
  </si>
  <si>
    <t>Véhicules</t>
  </si>
  <si>
    <t>Fin Nuit</t>
  </si>
  <si>
    <t>Début Nuit</t>
  </si>
  <si>
    <t>Taux sans interv.</t>
  </si>
  <si>
    <t>Taux interv. jour</t>
  </si>
  <si>
    <t>Taux interv. dim ou férié</t>
  </si>
  <si>
    <t>Taux interv. nuit</t>
  </si>
  <si>
    <t>Interv. hors poste</t>
  </si>
  <si>
    <t>Total général</t>
  </si>
  <si>
    <t>Montant Garde</t>
  </si>
  <si>
    <t>Montant Interv.</t>
  </si>
  <si>
    <t>Somme de Montant Interv.</t>
  </si>
  <si>
    <t>Valeurs</t>
  </si>
  <si>
    <t>Somme de Montant Garde</t>
  </si>
  <si>
    <t>Années</t>
  </si>
  <si>
    <t>Mois</t>
  </si>
  <si>
    <t>2018</t>
  </si>
  <si>
    <t>mai</t>
  </si>
  <si>
    <t>26-mai</t>
  </si>
  <si>
    <t>juin</t>
  </si>
  <si>
    <t>20-juin</t>
  </si>
  <si>
    <t>Premier de l'AN</t>
  </si>
  <si>
    <t>Pâques</t>
  </si>
  <si>
    <t>Fête du travail</t>
  </si>
  <si>
    <t>Victoire de 1945</t>
  </si>
  <si>
    <t>Ascension</t>
  </si>
  <si>
    <t>Pentecôte</t>
  </si>
  <si>
    <t>Fête nationale</t>
  </si>
  <si>
    <t>Toussaint</t>
  </si>
  <si>
    <t>janv</t>
  </si>
  <si>
    <t>01-janv</t>
  </si>
  <si>
    <t>juil</t>
  </si>
  <si>
    <t>14-juil</t>
  </si>
  <si>
    <t>Somme de Total</t>
  </si>
  <si>
    <t>Hdébut garde</t>
  </si>
  <si>
    <t>Hfin garde</t>
  </si>
  <si>
    <t>Garde / Interv.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</si>
</sst>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8">
    <numFmt numFmtId="44" formatCode="_-* #,##0.00\ &quot;€&quot;_-;\-* #,##0.00\ &quot;€&quot;_-;_-* &quot;-&quot;??\ &quot;€&quot;_-;_-@_-"/>
    <numFmt numFmtId="164" formatCode="ddd\ dd\-mm"/>
    <numFmt numFmtId="165" formatCode="[$-40C]General"/>
    <numFmt numFmtId="166" formatCode="[hh]:mm"/>
    <numFmt numFmtId="167" formatCode="ddd\ dd\-mmm\-yyyy"/>
    <numFmt numFmtId="168" formatCode="d\ hh:mm"/>
    <numFmt numFmtId="169" formatCode="#,##0.00\ &quot;€&quot;"/>
    <numFmt numFmtId="171" formatCode="d\ * hh:mm"/>
  </numFmts>
  <fonts count="2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  <charset val="1"/>
    </font>
    <font>
      <sz val="10"/>
      <name val="Courier New"/>
      <family val="3"/>
    </font>
    <font>
      <sz val="10"/>
      <color rgb="FF000000"/>
      <name val="Arial"/>
      <family val="2"/>
    </font>
    <font>
      <sz val="11"/>
      <color indexed="8"/>
      <name val="Calibri"/>
      <family val="2"/>
    </font>
    <font>
      <sz val="10"/>
      <name val="Arial"/>
      <family val="2"/>
      <charset val="204"/>
    </font>
    <font>
      <i/>
      <sz val="11"/>
      <color theme="0" tint="-0.499984740745262"/>
      <name val="Calibri"/>
      <family val="2"/>
      <scheme val="minor"/>
    </font>
    <font>
      <i/>
      <sz val="11"/>
      <color theme="0" tint="-0.34998626667073579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i/>
      <sz val="11"/>
      <name val="Calibri"/>
      <family val="2"/>
      <scheme val="minor"/>
    </font>
    <font>
      <i/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0"/>
      <name val="Calibri"/>
      <family val="2"/>
      <scheme val="minor"/>
    </font>
    <font>
      <i/>
      <sz val="11"/>
      <color theme="0" tint="-0.499984740745262"/>
      <name val="Calibri"/>
      <scheme val="minor"/>
    </font>
    <font>
      <i/>
      <sz val="11"/>
      <color theme="0" tint="-0.34998626667073579"/>
      <name val="Calibri"/>
      <scheme val="minor"/>
    </font>
    <font>
      <i/>
      <sz val="11"/>
      <name val="Calibri"/>
      <scheme val="minor"/>
    </font>
    <font>
      <sz val="11"/>
      <color theme="8" tint="-0.249977111117893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0" tint="-0.499984740745262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3">
    <xf numFmtId="0" fontId="0" fillId="0" borderId="0"/>
    <xf numFmtId="44" fontId="1" fillId="0" borderId="0" applyFont="0" applyFill="0" applyBorder="0" applyAlignment="0" applyProtection="0"/>
    <xf numFmtId="0" fontId="4" fillId="0" borderId="0">
      <alignment horizontal="left" vertical="center"/>
    </xf>
    <xf numFmtId="1" fontId="4" fillId="0" borderId="0" applyBorder="0" applyProtection="0">
      <alignment horizontal="center" vertical="center"/>
    </xf>
    <xf numFmtId="0" fontId="5" fillId="0" borderId="0"/>
    <xf numFmtId="0" fontId="1" fillId="0" borderId="0"/>
    <xf numFmtId="165" fontId="4" fillId="0" borderId="0"/>
    <xf numFmtId="165" fontId="6" fillId="0" borderId="0"/>
    <xf numFmtId="165" fontId="6" fillId="0" borderId="0"/>
    <xf numFmtId="0" fontId="7" fillId="0" borderId="0"/>
    <xf numFmtId="0" fontId="8" fillId="0" borderId="0"/>
    <xf numFmtId="0" fontId="2" fillId="0" borderId="0"/>
    <xf numFmtId="0" fontId="4" fillId="0" borderId="0">
      <alignment horizontal="left" vertical="center"/>
    </xf>
  </cellStyleXfs>
  <cellXfs count="57">
    <xf numFmtId="0" fontId="0" fillId="0" borderId="0" xfId="0"/>
    <xf numFmtId="164" fontId="5" fillId="0" borderId="0" xfId="4" applyNumberFormat="1"/>
    <xf numFmtId="166" fontId="0" fillId="0" borderId="0" xfId="0" applyNumberFormat="1"/>
    <xf numFmtId="167" fontId="0" fillId="0" borderId="0" xfId="0" applyNumberFormat="1"/>
    <xf numFmtId="166" fontId="9" fillId="0" borderId="0" xfId="0" applyNumberFormat="1" applyFont="1"/>
    <xf numFmtId="44" fontId="9" fillId="0" borderId="0" xfId="1" applyFont="1"/>
    <xf numFmtId="168" fontId="9" fillId="0" borderId="0" xfId="0" applyNumberFormat="1" applyFont="1"/>
    <xf numFmtId="166" fontId="14" fillId="0" borderId="0" xfId="0" applyNumberFormat="1" applyFont="1" applyAlignment="1">
      <alignment vertical="center" wrapText="1"/>
    </xf>
    <xf numFmtId="44" fontId="14" fillId="0" borderId="0" xfId="1" applyFont="1" applyAlignment="1">
      <alignment vertical="center" wrapText="1"/>
    </xf>
    <xf numFmtId="0" fontId="9" fillId="0" borderId="0" xfId="0" applyFont="1" applyAlignment="1"/>
    <xf numFmtId="166" fontId="10" fillId="0" borderId="0" xfId="0" applyNumberFormat="1" applyFont="1" applyBorder="1" applyAlignment="1"/>
    <xf numFmtId="166" fontId="13" fillId="0" borderId="0" xfId="0" applyNumberFormat="1" applyFont="1" applyAlignment="1"/>
    <xf numFmtId="44" fontId="13" fillId="0" borderId="0" xfId="1" applyFont="1" applyAlignment="1"/>
    <xf numFmtId="0" fontId="0" fillId="0" borderId="0" xfId="0" applyAlignment="1"/>
    <xf numFmtId="0" fontId="15" fillId="0" borderId="0" xfId="0" applyFont="1" applyAlignment="1"/>
    <xf numFmtId="0" fontId="0" fillId="0" borderId="0" xfId="0" applyAlignment="1">
      <alignment vertical="center"/>
    </xf>
    <xf numFmtId="0" fontId="0" fillId="0" borderId="1" xfId="0" applyBorder="1" applyAlignment="1">
      <alignment vertical="center"/>
    </xf>
    <xf numFmtId="0" fontId="0" fillId="0" borderId="2" xfId="0" applyBorder="1" applyAlignment="1">
      <alignment vertical="center"/>
    </xf>
    <xf numFmtId="0" fontId="0" fillId="0" borderId="4" xfId="0" applyBorder="1" applyAlignment="1">
      <alignment vertical="center"/>
    </xf>
    <xf numFmtId="0" fontId="0" fillId="0" borderId="3" xfId="0" applyBorder="1" applyAlignment="1">
      <alignment vertical="center"/>
    </xf>
    <xf numFmtId="0" fontId="0" fillId="0" borderId="1" xfId="0" applyFill="1" applyBorder="1" applyAlignment="1">
      <alignment horizontal="center" vertical="center"/>
    </xf>
    <xf numFmtId="20" fontId="0" fillId="0" borderId="1" xfId="0" applyNumberFormat="1" applyBorder="1" applyAlignment="1">
      <alignment horizontal="center" vertical="center"/>
    </xf>
    <xf numFmtId="0" fontId="0" fillId="0" borderId="0" xfId="0" applyAlignment="1">
      <alignment horizontal="center" vertical="center"/>
    </xf>
    <xf numFmtId="44" fontId="0" fillId="0" borderId="1" xfId="1" applyFont="1" applyBorder="1" applyAlignment="1">
      <alignment horizontal="center" vertical="center"/>
    </xf>
    <xf numFmtId="0" fontId="0" fillId="0" borderId="0" xfId="0" pivotButton="1"/>
    <xf numFmtId="44" fontId="15" fillId="0" borderId="0" xfId="1" applyFont="1" applyAlignment="1"/>
    <xf numFmtId="2" fontId="0" fillId="0" borderId="0" xfId="0" applyNumberFormat="1"/>
    <xf numFmtId="169" fontId="0" fillId="0" borderId="0" xfId="0" applyNumberFormat="1"/>
    <xf numFmtId="0" fontId="3" fillId="0" borderId="0" xfId="4" applyFont="1" applyFill="1"/>
    <xf numFmtId="0" fontId="16" fillId="0" borderId="0" xfId="0" applyFont="1" applyFill="1" applyBorder="1" applyAlignment="1">
      <alignment horizontal="center"/>
    </xf>
    <xf numFmtId="0" fontId="0" fillId="0" borderId="0" xfId="0" applyFill="1"/>
    <xf numFmtId="167" fontId="0" fillId="0" borderId="0" xfId="0" applyNumberFormat="1" applyAlignment="1">
      <alignment horizontal="center" vertical="center"/>
    </xf>
    <xf numFmtId="0" fontId="17" fillId="0" borderId="0" xfId="0" applyFont="1" applyAlignment="1"/>
    <xf numFmtId="0" fontId="17" fillId="0" borderId="0" xfId="0" applyNumberFormat="1" applyFont="1" applyAlignment="1"/>
    <xf numFmtId="166" fontId="18" fillId="0" borderId="0" xfId="0" applyNumberFormat="1" applyFont="1" applyAlignment="1"/>
    <xf numFmtId="166" fontId="19" fillId="0" borderId="0" xfId="0" applyNumberFormat="1" applyFont="1" applyAlignment="1"/>
    <xf numFmtId="44" fontId="19" fillId="0" borderId="0" xfId="1" applyNumberFormat="1" applyFont="1" applyAlignment="1"/>
    <xf numFmtId="166" fontId="19" fillId="0" borderId="0" xfId="1" applyNumberFormat="1" applyFont="1" applyAlignment="1"/>
    <xf numFmtId="166" fontId="19" fillId="0" borderId="0" xfId="0" quotePrefix="1" applyNumberFormat="1" applyFont="1" applyAlignment="1"/>
    <xf numFmtId="166" fontId="20" fillId="0" borderId="0" xfId="0" applyNumberFormat="1" applyFont="1"/>
    <xf numFmtId="44" fontId="0" fillId="0" borderId="0" xfId="0" applyNumberFormat="1"/>
    <xf numFmtId="167" fontId="0" fillId="0" borderId="0" xfId="0" applyNumberFormat="1" applyFill="1"/>
    <xf numFmtId="0" fontId="0" fillId="0" borderId="0" xfId="0" applyFill="1" applyAlignment="1">
      <alignment horizontal="center" vertical="center"/>
    </xf>
    <xf numFmtId="166" fontId="20" fillId="0" borderId="0" xfId="0" applyNumberFormat="1" applyFont="1" applyFill="1"/>
    <xf numFmtId="0" fontId="9" fillId="0" borderId="0" xfId="0" applyFont="1" applyFill="1" applyAlignment="1"/>
    <xf numFmtId="166" fontId="10" fillId="0" borderId="0" xfId="0" applyNumberFormat="1" applyFont="1" applyFill="1" applyBorder="1" applyAlignment="1"/>
    <xf numFmtId="166" fontId="13" fillId="0" borderId="0" xfId="0" applyNumberFormat="1" applyFont="1" applyFill="1" applyAlignment="1"/>
    <xf numFmtId="44" fontId="13" fillId="0" borderId="0" xfId="1" applyFont="1" applyFill="1" applyAlignment="1"/>
    <xf numFmtId="171" fontId="14" fillId="0" borderId="0" xfId="0" applyNumberFormat="1" applyFont="1" applyAlignment="1">
      <alignment vertical="center" wrapText="1"/>
    </xf>
    <xf numFmtId="171" fontId="9" fillId="0" borderId="0" xfId="0" applyNumberFormat="1" applyFont="1"/>
    <xf numFmtId="171" fontId="9" fillId="0" borderId="0" xfId="0" applyNumberFormat="1" applyFont="1" applyFill="1"/>
    <xf numFmtId="171" fontId="22" fillId="0" borderId="0" xfId="0" applyNumberFormat="1" applyFont="1"/>
    <xf numFmtId="167" fontId="21" fillId="0" borderId="0" xfId="0" applyNumberFormat="1" applyFont="1" applyAlignment="1">
      <alignment vertical="center" wrapText="1"/>
    </xf>
    <xf numFmtId="0" fontId="21" fillId="0" borderId="0" xfId="0" applyFont="1" applyAlignment="1">
      <alignment vertical="center" wrapText="1"/>
    </xf>
    <xf numFmtId="166" fontId="21" fillId="0" borderId="0" xfId="0" applyNumberFormat="1" applyFont="1" applyAlignment="1">
      <alignment vertical="center" wrapText="1"/>
    </xf>
    <xf numFmtId="0" fontId="14" fillId="0" borderId="0" xfId="0" applyFont="1" applyAlignment="1">
      <alignment vertical="center" wrapText="1"/>
    </xf>
    <xf numFmtId="166" fontId="14" fillId="0" borderId="0" xfId="0" applyNumberFormat="1" applyFont="1" applyBorder="1" applyAlignment="1">
      <alignment vertical="center" wrapText="1"/>
    </xf>
  </cellXfs>
  <cellStyles count="13">
    <cellStyle name="Excel Built-in Normal" xfId="6"/>
    <cellStyle name="Monétaire" xfId="1" builtinId="4"/>
    <cellStyle name="Normal" xfId="0" builtinId="0"/>
    <cellStyle name="Normal 2" xfId="7"/>
    <cellStyle name="Normal 2 2" xfId="8"/>
    <cellStyle name="Normal 2 3" xfId="4"/>
    <cellStyle name="Normal 3" xfId="9"/>
    <cellStyle name="Normal 4" xfId="10"/>
    <cellStyle name="Normal 5" xfId="11"/>
    <cellStyle name="Normal 6" xfId="5"/>
    <cellStyle name="Normal 7" xfId="12"/>
    <cellStyle name="Normal 8" xfId="2"/>
    <cellStyle name="Texte explicatif 2" xfId="3"/>
  </cellStyles>
  <dxfs count="26"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alignment horizontal="general" vertical="center" textRotation="0" wrapText="1" indent="0" justifyLastLine="0" shrinkToFit="0" readingOrder="0"/>
    </dxf>
    <dxf>
      <font>
        <i/>
        <strike val="0"/>
        <outline val="0"/>
        <shadow val="0"/>
        <u val="none"/>
        <vertAlign val="baseline"/>
        <sz val="11"/>
        <color theme="0" tint="-0.499984740745262"/>
        <name val="Calibri"/>
        <scheme val="minor"/>
      </font>
      <numFmt numFmtId="171" formatCode="d\ * hh:mm"/>
    </dxf>
    <dxf>
      <font>
        <i/>
        <strike val="0"/>
        <outline val="0"/>
        <shadow val="0"/>
        <u val="none"/>
        <vertAlign val="baseline"/>
        <sz val="11"/>
        <color theme="0" tint="-0.499984740745262"/>
        <name val="Calibri"/>
        <scheme val="minor"/>
      </font>
      <numFmt numFmtId="0" formatCode="General"/>
      <alignment horizontal="general" textRotation="0" indent="0" justifyLastLine="0" shrinkToFit="0" readingOrder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0" tint="-0.499984740745262"/>
        <name val="Calibri"/>
        <scheme val="minor"/>
      </font>
      <numFmt numFmtId="171" formatCode="d\ * hh:mm"/>
    </dxf>
    <dxf>
      <numFmt numFmtId="166" formatCode="[hh]:mm"/>
    </dxf>
    <dxf>
      <font>
        <i/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34" formatCode="_-* #,##0.00\ &quot;€&quot;_-;\-* #,##0.00\ &quot;€&quot;_-;_-* &quot;-&quot;??\ &quot;€&quot;_-;_-@_-"/>
      <alignment horizontal="general" textRotation="0" indent="0" justifyLastLine="0" shrinkToFit="0" readingOrder="0"/>
    </dxf>
    <dxf>
      <font>
        <i/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h]:mm"/>
      <alignment horizontal="general" textRotation="0" indent="0" justifyLastLine="0" shrinkToFit="0" readingOrder="0"/>
    </dxf>
    <dxf>
      <font>
        <i/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h]:mm"/>
      <alignment horizontal="general" textRotation="0" indent="0" justifyLastLine="0" shrinkToFit="0" readingOrder="0"/>
    </dxf>
    <dxf>
      <font>
        <i/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h]:mm"/>
      <alignment horizontal="general" textRotation="0" indent="0" justifyLastLine="0" shrinkToFit="0" readingOrder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4" formatCode="_-* #,##0.00\ &quot;€&quot;_-;\-* #,##0.00\ &quot;€&quot;_-;_-* &quot;-&quot;??\ &quot;€&quot;_-;_-@_-"/>
      <alignment horizontal="general" vertical="bottom" textRotation="0" wrapText="0" indent="0" justifyLastLine="0" shrinkToFit="0" readingOrder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h]:mm"/>
      <alignment horizontal="general" textRotation="0" indent="0" justifyLastLine="0" shrinkToFit="0" readingOrder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0" tint="-0.34998626667073579"/>
        <name val="Calibri"/>
        <scheme val="minor"/>
      </font>
      <numFmt numFmtId="166" formatCode="[hh]:mm"/>
      <alignment horizontal="general" vertical="bottom" textRotation="0" wrapText="0" indent="0" justifyLastLine="0" shrinkToFit="0" readingOrder="0"/>
    </dxf>
    <dxf>
      <font>
        <i/>
        <strike val="0"/>
        <outline val="0"/>
        <shadow val="0"/>
        <u val="none"/>
        <vertAlign val="baseline"/>
        <sz val="11"/>
        <color theme="0" tint="-0.34998626667073579"/>
        <name val="Calibri"/>
        <scheme val="minor"/>
      </font>
      <numFmt numFmtId="166" formatCode="[hh]:mm"/>
      <alignment horizontal="general" vertical="bottom" textRotation="0" wrapText="0" indent="0" justifyLastLine="0" shrinkToFit="0" readingOrder="0"/>
    </dxf>
    <dxf>
      <font>
        <i/>
        <strike val="0"/>
        <outline val="0"/>
        <shadow val="0"/>
        <u val="none"/>
        <vertAlign val="baseline"/>
        <sz val="11"/>
        <color theme="0" tint="-0.34998626667073579"/>
        <name val="Calibri"/>
        <scheme val="minor"/>
      </font>
      <numFmt numFmtId="166" formatCode="[hh]:mm"/>
      <alignment horizontal="general" vertical="bottom" textRotation="0" wrapText="0" indent="0" justifyLastLine="0" shrinkToFit="0" readingOrder="0"/>
    </dxf>
    <dxf>
      <font>
        <i/>
        <strike val="0"/>
        <outline val="0"/>
        <shadow val="0"/>
        <u val="none"/>
        <vertAlign val="baseline"/>
        <sz val="11"/>
        <color theme="0" tint="-0.34998626667073579"/>
        <name val="Calibri"/>
        <scheme val="minor"/>
      </font>
      <numFmt numFmtId="166" formatCode="[hh]:mm"/>
      <alignment horizontal="general" vertical="bottom" textRotation="0" wrapText="0" indent="0" justifyLastLine="0" shrinkToFit="0" readingOrder="0"/>
    </dxf>
    <dxf>
      <font>
        <i/>
        <strike val="0"/>
        <outline val="0"/>
        <shadow val="0"/>
        <u val="none"/>
        <vertAlign val="baseline"/>
        <sz val="11"/>
        <color theme="0" tint="-0.499984740745262"/>
        <name val="Calibri"/>
        <scheme val="minor"/>
      </font>
      <numFmt numFmtId="0" formatCode="General"/>
      <alignment horizontal="general" vertical="bottom" textRotation="0" wrapText="0" indent="0" justifyLastLine="0" shrinkToFit="0" readingOrder="0"/>
    </dxf>
    <dxf>
      <font>
        <i/>
        <strike val="0"/>
        <outline val="0"/>
        <shadow val="0"/>
        <u val="none"/>
        <vertAlign val="baseline"/>
        <sz val="11"/>
        <color theme="0" tint="-0.34998626667073579"/>
        <name val="Calibri"/>
        <scheme val="minor"/>
      </font>
      <numFmt numFmtId="166" formatCode="[hh]:mm"/>
      <alignment horizontal="general" vertical="bottom" textRotation="0" wrapText="0" indent="0" justifyLastLine="0" shrinkToFit="0" readingOrder="0"/>
    </dxf>
    <dxf>
      <font>
        <i/>
        <strike val="0"/>
        <outline val="0"/>
        <shadow val="0"/>
        <u val="none"/>
        <vertAlign val="baseline"/>
        <sz val="11"/>
        <color theme="0" tint="-0.34998626667073579"/>
        <name val="Calibri"/>
        <scheme val="minor"/>
      </font>
      <numFmt numFmtId="166" formatCode="[hh]:mm"/>
      <alignment horizontal="general" vertical="bottom" textRotation="0" wrapText="0" indent="0" justifyLastLine="0" shrinkToFit="0" readingOrder="0"/>
    </dxf>
    <dxf>
      <font>
        <i/>
        <strike val="0"/>
        <outline val="0"/>
        <shadow val="0"/>
        <u val="none"/>
        <vertAlign val="baseline"/>
        <sz val="11"/>
        <color theme="0" tint="-0.34998626667073579"/>
        <name val="Calibri"/>
        <scheme val="minor"/>
      </font>
      <numFmt numFmtId="166" formatCode="[hh]:mm"/>
      <alignment horizontal="general" vertical="bottom" textRotation="0" wrapText="0" indent="0" justifyLastLine="0" shrinkToFit="0" readingOrder="0"/>
    </dxf>
    <dxf>
      <font>
        <i/>
        <strike val="0"/>
        <outline val="0"/>
        <shadow val="0"/>
        <u val="none"/>
        <vertAlign val="baseline"/>
        <sz val="11"/>
        <color theme="0" tint="-0.499984740745262"/>
        <name val="Calibri"/>
        <scheme val="minor"/>
      </font>
      <numFmt numFmtId="0" formatCode="General"/>
      <alignment horizontal="general" textRotation="0" indent="0" justifyLastLine="0" shrinkToFit="0" readingOrder="0"/>
    </dxf>
    <dxf>
      <numFmt numFmtId="166" formatCode="[hh]:mm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8" tint="-0.249977111117893"/>
        <name val="Calibri"/>
        <scheme val="minor"/>
      </font>
      <numFmt numFmtId="166" formatCode="[hh]:mm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8" tint="-0.249977111117893"/>
        <name val="Calibri"/>
        <scheme val="minor"/>
      </font>
      <numFmt numFmtId="166" formatCode="[hh]:mm"/>
    </dxf>
    <dxf>
      <numFmt numFmtId="167" formatCode="ddd\ dd\-mmm\-yyyy"/>
    </dxf>
    <dxf>
      <numFmt numFmtId="167" formatCode="ddd\ dd\-mmm\-yyyy"/>
      <alignment horizontal="center" vertical="center" textRotation="0" wrapText="0" indent="0" justifyLastLine="0" shrinkToFit="0" readingOrder="0"/>
    </dxf>
    <dxf>
      <numFmt numFmtId="167" formatCode="ddd\ dd\-mmm\-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0</xdr:colOff>
      <xdr:row>15</xdr:row>
      <xdr:rowOff>83820</xdr:rowOff>
    </xdr:from>
    <xdr:to>
      <xdr:col>9</xdr:col>
      <xdr:colOff>609600</xdr:colOff>
      <xdr:row>30</xdr:row>
      <xdr:rowOff>76200</xdr:rowOff>
    </xdr:to>
    <xdr:sp macro="" textlink="">
      <xdr:nvSpPr>
        <xdr:cNvPr id="8" name="ZoneTexte 7">
          <a:extLst>
            <a:ext uri="{FF2B5EF4-FFF2-40B4-BE49-F238E27FC236}">
              <a16:creationId xmlns:a16="http://schemas.microsoft.com/office/drawing/2014/main" xmlns="" id="{1358628F-6170-47D9-AB72-05CA440BB8A9}"/>
            </a:ext>
          </a:extLst>
        </xdr:cNvPr>
        <xdr:cNvSpPr txBox="1"/>
      </xdr:nvSpPr>
      <xdr:spPr>
        <a:xfrm>
          <a:off x="2849880" y="3558540"/>
          <a:ext cx="2095500" cy="273558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RE" sz="1100"/>
            <a:t>situation :</a:t>
          </a:r>
          <a:br>
            <a:rPr lang="fr-RE" sz="1100"/>
          </a:br>
          <a:r>
            <a:rPr lang="fr-RE" sz="1100"/>
            <a:t>Au</a:t>
          </a:r>
          <a:r>
            <a:rPr lang="fr-RE" sz="1100" baseline="0"/>
            <a:t> </a:t>
          </a:r>
          <a:r>
            <a:rPr lang="fr-RE" sz="1100"/>
            <a:t>retour </a:t>
          </a:r>
          <a:r>
            <a:rPr lang="fr-RE" sz="1100" baseline="0"/>
            <a:t>en caserne suite à une intervention, 5 minute après notre arrivé une nouvelle intervention est déclanchée </a:t>
          </a:r>
          <a:br>
            <a:rPr lang="fr-RE" sz="1100" baseline="0"/>
          </a:br>
          <a:r>
            <a:rPr lang="fr-RE" sz="1100" baseline="0"/>
            <a:t>- Peut on arrondir l'heure de départ cette fois ci en fonction de l'intervention précedente ?</a:t>
          </a:r>
          <a:br>
            <a:rPr lang="fr-RE" sz="1100" baseline="0"/>
          </a:br>
          <a:r>
            <a:rPr lang="fr-RE" sz="1100" baseline="0"/>
            <a:t>- Ou bien autant arrondir sans formules lors de l'inscription dans la cellules "Hdébut interv." </a:t>
          </a:r>
          <a:br>
            <a:rPr lang="fr-RE" sz="1100" baseline="0"/>
          </a:br>
          <a:r>
            <a:rPr lang="fr-RE" sz="1100" baseline="0"/>
            <a:t/>
          </a:r>
          <a:br>
            <a:rPr lang="fr-RE" sz="1100" baseline="0"/>
          </a:br>
          <a:r>
            <a:rPr lang="fr-RE" sz="1100" baseline="0"/>
            <a:t>(Je dois tout de même vérifier à la compta comment cette situation est régularisé)</a:t>
          </a:r>
          <a:br>
            <a:rPr lang="fr-RE" sz="1100" baseline="0"/>
          </a:br>
          <a:r>
            <a:rPr lang="fr-RE" sz="1100" baseline="0"/>
            <a:t>  </a:t>
          </a:r>
          <a:br>
            <a:rPr lang="fr-RE" sz="1100" baseline="0"/>
          </a:br>
          <a:endParaRPr lang="fr-RE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2" Type="http://schemas.microsoft.com/office/2006/relationships/xlExternalLinkPath/xlPathMissing" Target="tableau%20de%20garde%20suivi%20v2.xlsx" TargetMode="External"/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3250.141189467591" createdVersion="5" refreshedVersion="5" minRefreshableVersion="3" recordCount="13">
  <cacheSource type="worksheet">
    <worksheetSource name="data" r:id="rId2"/>
  </cacheSource>
  <cacheFields count="28">
    <cacheField name="Date" numFmtId="167">
      <sharedItems containsSemiMixedTypes="0" containsNonDate="0" containsDate="1" containsString="0" minDate="2018-01-01T00:00:00" maxDate="2018-07-15T00:00:00" count="4">
        <d v="2018-05-26T00:00:00"/>
        <d v="2018-06-20T00:00:00"/>
        <d v="2018-01-01T00:00:00"/>
        <d v="2018-07-14T00:00:00"/>
      </sharedItems>
      <fieldGroup par="26" base="0">
        <rangePr groupBy="days" startDate="2018-01-01T00:00:00" endDate="2018-07-15T00:00:00"/>
        <groupItems count="368">
          <s v="&lt;01/01/2018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15/07/2018"/>
        </groupItems>
      </fieldGroup>
    </cacheField>
    <cacheField name="Véhicule" numFmtId="0">
      <sharedItems containsBlank="1"/>
    </cacheField>
    <cacheField name="Motif" numFmtId="0">
      <sharedItems containsNonDate="0" containsString="0" containsBlank="1"/>
    </cacheField>
    <cacheField name="Hdébut garde" numFmtId="166">
      <sharedItems containsNonDate="0" containsDate="1" containsString="0" containsBlank="1" minDate="1899-12-30T08:00:00" maxDate="1899-12-30T08:00:00"/>
    </cacheField>
    <cacheField name="Hfin garde" numFmtId="166">
      <sharedItems containsNonDate="0" containsDate="1" containsString="0" containsBlank="1" minDate="1899-12-30T08:00:00" maxDate="1899-12-30T08:00:00"/>
    </cacheField>
    <cacheField name="Hdébut interv." numFmtId="166">
      <sharedItems containsNonDate="0" containsDate="1" containsString="0" containsBlank="1" minDate="1899-12-30T03:30:00" maxDate="1899-12-30T21:00:00"/>
    </cacheField>
    <cacheField name="Hfin Interv." numFmtId="166">
      <sharedItems containsNonDate="0" containsDate="1" containsString="0" containsBlank="1" minDate="1899-12-30T01:04:00" maxDate="1899-12-30T23:58:00"/>
    </cacheField>
    <cacheField name="Hdébut corrigé" numFmtId="171">
      <sharedItems containsSemiMixedTypes="0" containsNonDate="0" containsDate="1" containsString="0" minDate="1899-12-30T08:00:00" maxDate="1899-12-31T03:30:00"/>
    </cacheField>
    <cacheField name="Hfin corrigée" numFmtId="171">
      <sharedItems containsSemiMixedTypes="0" containsNonDate="0" containsDate="1" containsString="0" minDate="1899-12-30T13:45:00" maxDate="1899-12-31T08:00:00"/>
    </cacheField>
    <cacheField name="Garde / Interv." numFmtId="0">
      <sharedItems/>
    </cacheField>
    <cacheField name="Début Dim ou Férié" numFmtId="0">
      <sharedItems/>
    </cacheField>
    <cacheField name="JOUR1" numFmtId="166">
      <sharedItems containsSemiMixedTypes="0" containsNonDate="0" containsDate="1" containsString="0" minDate="1899-12-30T00:00:00" maxDate="1899-12-30T14:00:00"/>
    </cacheField>
    <cacheField name="NUIT1.1" numFmtId="166">
      <sharedItems containsSemiMixedTypes="0" containsNonDate="0" containsDate="1" containsString="0" minDate="1899-12-30T00:00:00" maxDate="1899-12-31T00:00:00"/>
    </cacheField>
    <cacheField name="NUIT1.2" numFmtId="166">
      <sharedItems containsSemiMixedTypes="0" containsNonDate="0" containsDate="1" containsString="0" minDate="1899-12-30T00:00:00" maxDate="1899-12-30T02:00:00"/>
    </cacheField>
    <cacheField name="Fin Dim ou Férié" numFmtId="0">
      <sharedItems/>
    </cacheField>
    <cacheField name="JOUR2" numFmtId="166">
      <sharedItems containsSemiMixedTypes="0" containsNonDate="0" containsDate="1" containsString="0" minDate="1899-12-30T00:00:00" maxDate="1899-12-30T01:00:00"/>
    </cacheField>
    <cacheField name="NUIT2.1" numFmtId="166">
      <sharedItems containsSemiMixedTypes="0" containsNonDate="0" containsDate="1" containsString="0" minDate="1899-12-30T00:00:00" maxDate="1899-12-30T07:00:00"/>
    </cacheField>
    <cacheField name="NUIT2.2" numFmtId="166">
      <sharedItems containsSemiMixedTypes="0" containsNonDate="0" containsDate="1" containsString="0" minDate="1899-12-30T00:00:00" maxDate="1899-12-31T00:00:00"/>
    </cacheField>
    <cacheField name="Interv. hors poste" numFmtId="166">
      <sharedItems containsSemiMixedTypes="0" containsNonDate="0" containsDate="1" containsString="0" minDate="1899-12-30T00:00:00" maxDate="1899-12-31T00:00:00"/>
    </cacheField>
    <cacheField name="Durée sans interv." numFmtId="166">
      <sharedItems containsSemiMixedTypes="0" containsNonDate="0" containsDate="1" containsString="0" minDate="1899-12-30T00:00:00" maxDate="1899-12-30T16:35:00"/>
    </cacheField>
    <cacheField name="Montant Garde" numFmtId="44">
      <sharedItems containsSemiMixedTypes="0" containsString="0" containsNumber="1" minValue="0" maxValue="49.750000000000007"/>
    </cacheField>
    <cacheField name="Durée interv. jour" numFmtId="166">
      <sharedItems containsSemiMixedTypes="0" containsNonDate="0" containsDate="1" containsString="0" minDate="1899-12-30T00:00:00" maxDate="1899-12-31T00:00:00"/>
    </cacheField>
    <cacheField name="Durée interv. dim ou férié" numFmtId="166">
      <sharedItems containsSemiMixedTypes="0" containsNonDate="0" containsDate="1" containsString="0" minDate="1899-12-30T00:00:00" maxDate="1899-12-31T00:00:00"/>
    </cacheField>
    <cacheField name="Durée interv. nuit" numFmtId="166">
      <sharedItems containsSemiMixedTypes="0" containsNonDate="0" containsDate="1" containsString="0" minDate="1899-12-30T00:00:00" maxDate="1899-12-31T00:00:00"/>
    </cacheField>
    <cacheField name="Montant Interv." numFmtId="44">
      <sharedItems containsSemiMixedTypes="0" containsString="0" containsNumber="1" minValue="0" maxValue="58.666666666666622"/>
    </cacheField>
    <cacheField name="Mois" numFmtId="0" databaseField="0">
      <fieldGroup base="0">
        <rangePr groupBy="months" startDate="2018-01-01T00:00:00" endDate="2018-07-15T00:00:00"/>
        <groupItems count="14">
          <s v="&lt;01/01/2018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5/07/2018"/>
        </groupItems>
      </fieldGroup>
    </cacheField>
    <cacheField name="Années" numFmtId="0" databaseField="0">
      <fieldGroup base="0">
        <rangePr groupBy="years" startDate="2018-01-01T00:00:00" endDate="2018-07-15T00:00:00"/>
        <groupItems count="3">
          <s v="&lt;01/01/2018"/>
          <s v="2018"/>
          <s v="&gt;15/07/2018"/>
        </groupItems>
      </fieldGroup>
    </cacheField>
    <cacheField name="Total" numFmtId="0" formula="'Montant Garde'+'Montant Interv.'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3">
  <r>
    <x v="0"/>
    <m/>
    <m/>
    <d v="1899-12-30T08:00:00"/>
    <d v="1899-12-30T08:00:00"/>
    <m/>
    <m/>
    <d v="1899-12-30T08:00:00"/>
    <d v="1899-12-31T08:00:00"/>
    <s v="Garde"/>
    <s v="non"/>
    <d v="1899-12-30T14:00:00"/>
    <d v="1899-12-30T00:00:00"/>
    <d v="1899-12-30T02:00:00"/>
    <s v="oui"/>
    <d v="1899-12-30T01:00:00"/>
    <d v="1899-12-30T07:00:00"/>
    <d v="1899-12-30T00:00:00"/>
    <d v="1899-12-30T00:00:00"/>
    <d v="1899-12-30T16:35:00"/>
    <n v="49.750000000000007"/>
    <d v="1899-12-30T00:00:00"/>
    <d v="1899-12-30T00:00:00"/>
    <d v="1899-12-30T00:00:00"/>
    <n v="0"/>
  </r>
  <r>
    <x v="0"/>
    <s v="VSAV"/>
    <m/>
    <m/>
    <m/>
    <d v="1899-12-30T21:00:00"/>
    <d v="1899-12-30T01:04:00"/>
    <d v="1899-12-30T21:00:00"/>
    <d v="1899-12-31T01:15:00"/>
    <s v="Intervention"/>
    <s v="non"/>
    <d v="1899-12-30T01:00:00"/>
    <d v="1899-12-30T00:00:00"/>
    <d v="1899-12-30T02:00:00"/>
    <s v="oui"/>
    <d v="1899-12-30T00:00:00"/>
    <d v="1899-12-30T01:15:00"/>
    <d v="1899-12-30T00:00:00"/>
    <d v="1899-12-30T00:00:00"/>
    <d v="1899-12-30T00:00:00"/>
    <n v="0"/>
    <d v="1899-12-30T01:00:00"/>
    <d v="1899-12-30T00:00:00"/>
    <d v="1899-12-30T03:15:00"/>
    <n v="23.499999999999989"/>
  </r>
  <r>
    <x v="0"/>
    <s v="CCF"/>
    <m/>
    <m/>
    <m/>
    <d v="1899-12-30T12:20:00"/>
    <d v="1899-12-30T15:26:00"/>
    <d v="1899-12-30T12:20:00"/>
    <d v="1899-12-30T15:30:00"/>
    <s v="Intervention"/>
    <s v="non"/>
    <d v="1899-12-30T03:10:00"/>
    <d v="1899-12-30T00:00:00"/>
    <d v="1899-12-30T00:00:00"/>
    <s v="non"/>
    <d v="1899-12-30T00:00:00"/>
    <d v="1899-12-30T00:00:00"/>
    <d v="1899-12-30T00:00:00"/>
    <d v="1899-12-30T00:00:00"/>
    <d v="1899-12-30T00:00:00"/>
    <n v="0"/>
    <d v="1899-12-30T03:10:00"/>
    <d v="1899-12-30T00:00:00"/>
    <d v="1899-12-30T00:00:00"/>
    <n v="12.666666666666664"/>
  </r>
  <r>
    <x v="1"/>
    <m/>
    <m/>
    <d v="1899-12-30T08:00:00"/>
    <d v="1899-12-30T08:00:00"/>
    <m/>
    <m/>
    <d v="1899-12-30T08:00:00"/>
    <d v="1899-12-31T08:00:00"/>
    <s v="Garde"/>
    <s v="non"/>
    <d v="1899-12-30T14:00:00"/>
    <d v="1899-12-30T00:00:00"/>
    <d v="1899-12-30T02:00:00"/>
    <s v="non"/>
    <d v="1899-12-30T01:00:00"/>
    <d v="1899-12-30T07:00:00"/>
    <d v="1899-12-30T00:00:00"/>
    <d v="1899-12-30T00:00:00"/>
    <d v="1899-12-30T02:50:00"/>
    <n v="8.5000000000000338"/>
    <d v="1899-12-30T00:00:00"/>
    <d v="1899-12-30T00:00:00"/>
    <d v="1899-12-30T00:00:00"/>
    <n v="0"/>
  </r>
  <r>
    <x v="1"/>
    <s v="FPTL"/>
    <m/>
    <m/>
    <m/>
    <d v="1899-12-30T10:20:00"/>
    <d v="1899-12-30T23:48:00"/>
    <d v="1899-12-30T10:20:00"/>
    <d v="1899-12-31T00:00:00"/>
    <s v="Intervention"/>
    <s v="non"/>
    <d v="1899-12-30T11:40:00"/>
    <d v="1899-12-30T00:00:00"/>
    <d v="1899-12-30T02:00:00"/>
    <s v="non"/>
    <d v="1899-12-30T00:00:00"/>
    <d v="1899-12-30T00:00:00"/>
    <d v="1899-12-30T00:00:00"/>
    <d v="1899-12-30T00:00:00"/>
    <d v="1899-12-30T00:00:00"/>
    <n v="0"/>
    <d v="1899-12-30T11:40:00"/>
    <d v="1899-12-30T00:00:00"/>
    <d v="1899-12-30T02:00:00"/>
    <n v="58.666666666666622"/>
  </r>
  <r>
    <x v="1"/>
    <s v="VLOD"/>
    <m/>
    <m/>
    <m/>
    <d v="1899-12-30T03:30:00"/>
    <d v="1899-12-30T07:30:00"/>
    <d v="1899-12-31T03:30:00"/>
    <d v="1899-12-31T07:30:00"/>
    <s v="Intervention"/>
    <s v="non"/>
    <d v="1899-12-30T00:00:00"/>
    <d v="1899-12-30T00:00:00"/>
    <d v="1899-12-30T00:00:00"/>
    <s v="non"/>
    <d v="1899-12-30T00:30:00"/>
    <d v="1899-12-30T07:00:00"/>
    <d v="1899-12-30T00:00:00"/>
    <d v="1899-12-30T00:00:00"/>
    <d v="1899-12-30T00:00:00"/>
    <n v="0"/>
    <d v="1899-12-30T00:30:00"/>
    <d v="1899-12-30T00:00:00"/>
    <d v="1899-12-30T07:00:00"/>
    <n v="44.000000000000007"/>
  </r>
  <r>
    <x v="2"/>
    <m/>
    <m/>
    <d v="1899-12-30T08:00:00"/>
    <d v="1899-12-30T08:00:00"/>
    <m/>
    <m/>
    <d v="1899-12-30T08:00:00"/>
    <d v="1899-12-31T08:00:00"/>
    <s v="Garde"/>
    <s v="oui"/>
    <d v="1899-12-30T14:00:00"/>
    <d v="1899-12-30T00:00:00"/>
    <d v="1899-12-30T02:00:00"/>
    <s v="non"/>
    <d v="1899-12-30T01:00:00"/>
    <d v="1899-12-30T07:00:00"/>
    <d v="1899-12-30T00:00:00"/>
    <d v="1899-12-30T00:00:00"/>
    <d v="1899-12-30T12:55:00"/>
    <n v="38.75"/>
    <d v="1899-12-30T00:00:00"/>
    <d v="1899-12-30T00:00:00"/>
    <d v="1899-12-30T00:00:00"/>
    <n v="0"/>
  </r>
  <r>
    <x v="2"/>
    <s v="VSAV"/>
    <m/>
    <m/>
    <m/>
    <d v="1899-12-30T08:00:00"/>
    <d v="1899-12-30T13:35:00"/>
    <d v="1899-12-30T08:00:00"/>
    <d v="1899-12-30T13:45:00"/>
    <s v="Intervention"/>
    <s v="oui"/>
    <d v="1899-12-30T05:45:00"/>
    <d v="1899-12-30T00:00:00"/>
    <d v="1899-12-30T00:00:00"/>
    <s v="oui"/>
    <d v="1899-12-30T00:00:00"/>
    <d v="1899-12-30T00:00:00"/>
    <d v="1899-12-30T00:00:00"/>
    <d v="1899-12-30T00:00:00"/>
    <d v="1899-12-30T00:00:00"/>
    <n v="0"/>
    <d v="1899-12-30T00:00:00"/>
    <d v="1899-12-30T05:45:00"/>
    <d v="1899-12-30T00:00:00"/>
    <n v="28.749999999999996"/>
  </r>
  <r>
    <x v="2"/>
    <s v="VSAV"/>
    <m/>
    <m/>
    <m/>
    <d v="1899-12-30T13:40:00"/>
    <d v="1899-12-30T17:02:00"/>
    <d v="1899-12-30T13:40:00"/>
    <d v="1899-12-30T17:15:00"/>
    <s v="Intervention"/>
    <s v="oui"/>
    <d v="1899-12-30T03:35:00"/>
    <d v="1899-12-30T00:00:00"/>
    <d v="1899-12-30T00:00:00"/>
    <s v="oui"/>
    <d v="1899-12-30T00:00:00"/>
    <d v="1899-12-30T00:00:00"/>
    <d v="1899-12-30T00:00:00"/>
    <d v="1899-12-30T00:00:00"/>
    <d v="1899-12-30T00:00:00"/>
    <n v="0"/>
    <d v="1899-12-30T00:00:00"/>
    <d v="1899-12-30T03:35:00"/>
    <d v="1899-12-30T00:00:00"/>
    <n v="17.916666666666671"/>
  </r>
  <r>
    <x v="2"/>
    <s v="VSAV"/>
    <m/>
    <m/>
    <m/>
    <d v="1899-12-30T18:45:00"/>
    <d v="1899-12-30T20:17:00"/>
    <d v="1899-12-30T18:45:00"/>
    <d v="1899-12-30T20:30:00"/>
    <s v="Intervention"/>
    <s v="oui"/>
    <d v="1899-12-30T01:45:00"/>
    <d v="1899-12-30T00:00:00"/>
    <d v="1899-12-30T00:00:00"/>
    <s v="oui"/>
    <d v="1899-12-30T00:00:00"/>
    <d v="1899-12-30T00:00:00"/>
    <d v="1899-12-30T00:00:00"/>
    <d v="1899-12-30T00:00:00"/>
    <d v="1899-12-30T00:00:00"/>
    <n v="0"/>
    <d v="1899-12-30T00:00:00"/>
    <d v="1899-12-30T01:45:00"/>
    <d v="1899-12-30T00:00:00"/>
    <n v="8.7499999999999964"/>
  </r>
  <r>
    <x v="3"/>
    <m/>
    <m/>
    <d v="1899-12-30T08:00:00"/>
    <d v="1899-12-30T08:00:00"/>
    <m/>
    <m/>
    <d v="1899-12-30T08:00:00"/>
    <d v="1899-12-31T08:00:00"/>
    <s v="Garde"/>
    <s v="oui"/>
    <d v="1899-12-30T14:00:00"/>
    <d v="1899-12-30T00:00:00"/>
    <d v="1899-12-30T02:00:00"/>
    <s v="oui"/>
    <d v="1899-12-30T01:00:00"/>
    <d v="1899-12-30T07:00:00"/>
    <d v="1899-12-30T00:00:00"/>
    <d v="1899-12-30T00:00:00"/>
    <d v="1899-12-30T14:50:00"/>
    <n v="44.5"/>
    <d v="1899-12-30T00:00:00"/>
    <d v="1899-12-30T00:00:00"/>
    <d v="1899-12-30T00:00:00"/>
    <n v="0"/>
  </r>
  <r>
    <x v="3"/>
    <s v="CCF"/>
    <m/>
    <m/>
    <m/>
    <d v="1899-12-30T10:05:00"/>
    <d v="1899-12-30T14:12:00"/>
    <d v="1899-12-30T10:05:00"/>
    <d v="1899-12-30T14:15:00"/>
    <s v="Intervention"/>
    <s v="oui"/>
    <d v="1899-12-30T04:10:00"/>
    <d v="1899-12-30T00:00:00"/>
    <d v="1899-12-30T00:00:00"/>
    <s v="oui"/>
    <d v="1899-12-30T00:00:00"/>
    <d v="1899-12-30T00:00:00"/>
    <d v="1899-12-30T00:00:00"/>
    <d v="1899-12-30T00:00:00"/>
    <d v="1899-12-30T00:00:00"/>
    <n v="0"/>
    <d v="1899-12-30T00:00:00"/>
    <d v="1899-12-30T04:10:00"/>
    <d v="1899-12-30T00:00:00"/>
    <n v="20.833333333333336"/>
  </r>
  <r>
    <x v="3"/>
    <s v="CCF"/>
    <m/>
    <m/>
    <m/>
    <d v="1899-12-30T19:00:00"/>
    <d v="1899-12-30T23:58:00"/>
    <d v="1899-12-30T19:00:00"/>
    <d v="1899-12-31T00:00:00"/>
    <s v="Intervention"/>
    <s v="oui"/>
    <d v="1899-12-30T03:00:00"/>
    <d v="1899-12-30T00:00:00"/>
    <d v="1899-12-30T02:00:00"/>
    <s v="oui"/>
    <d v="1899-12-30T00:00:00"/>
    <d v="1899-12-30T00:00:00"/>
    <d v="1899-12-30T00:00:00"/>
    <d v="1899-12-30T00:00:00"/>
    <d v="1899-12-30T00:00:00"/>
    <n v="0"/>
    <d v="1899-12-30T00:00:00"/>
    <d v="1899-12-30T03:00:00"/>
    <d v="1899-12-30T02:00:00"/>
    <n v="27.000000000000007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compact="0" compactData="0" gridDropZones="1" multipleFieldFilters="0">
  <location ref="A3:F9" firstHeaderRow="1" firstDataRow="2" firstDataCol="3"/>
  <pivotFields count="28">
    <pivotField axis="axisRow" compact="0" numFmtId="167" outline="0" showAll="0">
      <items count="369"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0"/>
        <item x="367"/>
        <item t="default"/>
      </items>
    </pivotField>
    <pivotField compact="0" outline="0" showAll="0"/>
    <pivotField compact="0" outline="0" showAl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numFmtId="166" outline="0" showAll="0" defaultSubtotal="0"/>
    <pivotField compact="0" outline="0" showAll="0"/>
    <pivotField compact="0" outline="0" showAll="0" defaultSubtotal="0"/>
    <pivotField compact="0" outline="0" showAll="0"/>
    <pivotField compact="0" numFmtId="166" outline="0" showAll="0" defaultSubtotal="0"/>
    <pivotField compact="0" numFmtId="166" outline="0" showAll="0" defaultSubtotal="0"/>
    <pivotField compact="0" numFmtId="166" outline="0" showAll="0" defaultSubtotal="0"/>
    <pivotField compact="0" outline="0" showAll="0"/>
    <pivotField compact="0" numFmtId="166" outline="0" showAll="0" defaultSubtotal="0"/>
    <pivotField compact="0" numFmtId="166" outline="0" showAll="0" defaultSubtotal="0"/>
    <pivotField compact="0" numFmtId="166" outline="0" showAll="0" defaultSubtotal="0"/>
    <pivotField compact="0" numFmtId="166" outline="0" showAll="0" defaultSubtotal="0"/>
    <pivotField compact="0" outline="0" showAll="0"/>
    <pivotField dataField="1" compact="0" numFmtId="44" outline="0" showAll="0" defaultSubtotal="0"/>
    <pivotField compact="0" outline="0" showAll="0"/>
    <pivotField compact="0" outline="0" showAll="0"/>
    <pivotField compact="0" outline="0" showAll="0"/>
    <pivotField dataField="1" compact="0" numFmtId="44" outline="0" showAll="0" defaultSubtotal="0"/>
    <pivotField axis="axisRow" compact="0" outline="0" showAll="0" defaultSubtota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</items>
    </pivotField>
    <pivotField axis="axisRow" compact="0" outline="0" showAll="0" defaultSubtotal="0">
      <items count="3">
        <item x="1"/>
        <item x="0"/>
        <item x="2"/>
      </items>
    </pivotField>
    <pivotField dataField="1" compact="0" outline="0" dragToRow="0" dragToCol="0" dragToPage="0" showAll="0" defaultSubtotal="0"/>
  </pivotFields>
  <rowFields count="3">
    <field x="26"/>
    <field x="25"/>
    <field x="0"/>
  </rowFields>
  <rowItems count="5">
    <i>
      <x/>
      <x v="1"/>
      <x/>
    </i>
    <i r="1">
      <x v="5"/>
      <x v="146"/>
    </i>
    <i r="1">
      <x v="6"/>
      <x v="171"/>
    </i>
    <i r="1">
      <x v="7"/>
      <x v="195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Somme de Montant Garde" fld="20" baseField="0" baseItem="1" numFmtId="169"/>
    <dataField name="Somme de Montant Interv." fld="24" baseField="0" baseItem="1" numFmtId="2"/>
    <dataField name="Somme de Total" fld="27" baseField="0" baseItem="0" numFmtId="44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id="1" name="data" displayName="data" ref="A1:Y14" totalsRowShown="0" headerRowDxfId="0">
  <autoFilter ref="A1:Y14"/>
  <tableColumns count="25">
    <tableColumn id="1" name="Date" dataDxfId="25"/>
    <tableColumn id="5" name="Véhicule" dataDxfId="24"/>
    <tableColumn id="6" name="Motif" dataDxfId="23"/>
    <tableColumn id="25" name="Hdébut garde" dataDxfId="22"/>
    <tableColumn id="26" name="Hfin garde" dataDxfId="21"/>
    <tableColumn id="3" name="Hdébut interv." dataDxfId="20"/>
    <tableColumn id="4" name="Hfin Interv." dataDxfId="4"/>
    <tableColumn id="23" name="Hdébut corrigé" dataDxfId="3">
      <calculatedColumnFormula>IF(data[[#This Row],[Hdébut garde]]&lt;&gt;"",
data[[#This Row],[Hdébut garde]],
data[[#This Row],[Hdébut interv.]]+IF(data[[#This Row],[Hdébut interv.]]&lt;SUMPRODUCT((data[Date]=data[[#This Row],[Date]])*data[Hdébut garde]),1,0)
)</calculatedColumnFormula>
    </tableColumn>
    <tableColumn id="12" name="Hfin corrigée" dataDxfId="1">
      <calculatedColumnFormula>IF(data[[#This Row],[Hfin garde]]&lt;&gt;"",
data[[#This Row],[Hfin garde]]+IF(data[[#This Row],[Hfin garde]]&lt;=data[[#This Row],[Hdébut garde]],1,0),
IF(data[[#This Row],[Hfin Interv.]]="",0,ROUNDUP(data[[#This Row],[Hfin Interv.]]*24*4,0)/4/24+IF(data[[#This Row],[Hfin Interv.]]&gt;data[[#This Row],[Hdébut interv.]],0,1))+IF(data[[#This Row],[Hdébut interv.]]&lt;SUMPRODUCT((data[Date]=data[[#This Row],[Date]])*data[Hdébut garde]),1,0)
)</calculatedColumnFormula>
    </tableColumn>
    <tableColumn id="7" name="Garde / Interv." dataDxfId="2">
      <calculatedColumnFormula>IF(data[[#This Row],[Hdébut garde]]&lt;&gt;"","Garde",IF(data[[#This Row],[Hdébut corrigé]]&lt;&gt;"","Intervention",""))</calculatedColumnFormula>
    </tableColumn>
    <tableColumn id="8" name="Début Dim ou Férié" dataDxfId="19">
      <calculatedColumnFormula>IF(OR(WEEKDAY(data[[#This Row],[Date]],2)=7,COUNTIF(JF,data[[#This Row],[Date]])=1),"oui","non")</calculatedColumnFormula>
    </tableColumn>
    <tableColumn id="10" name="JOUR1" dataDxfId="18">
      <calculatedColumnFormula>MAX(0,(MIN(1,data[[#This Row],[Hfin corrigée]])-data[[#This Row],[Hdébut corrigé]])-data[[#This Row],[NUIT1.1]]-data[[#This Row],[NUIT1.2]])</calculatedColumnFormula>
    </tableColumn>
    <tableColumn id="11" name="NUIT1.1" dataDxfId="17">
      <calculatedColumnFormula>IF(data[[#This Row],[Hfin Interv.]]="",0,(
MIN(FinNuit,MIN(1,data[[#This Row],[Hfin corrigée]]))-MIN(FinNuit,data[[#This Row],[Hdébut corrigé]])
))</calculatedColumnFormula>
    </tableColumn>
    <tableColumn id="18" name="NUIT1.2" dataDxfId="16">
      <calculatedColumnFormula>MAX(0,(MAX(0,(MIN(1,data[[#This Row],[Hfin corrigée]])-DebNuit))-MAX(0,(data[[#This Row],[Hdébut corrigé]]-DebNuit))))</calculatedColumnFormula>
    </tableColumn>
    <tableColumn id="9" name="Fin Dim ou Férié" dataDxfId="15">
      <calculatedColumnFormula>IF(OR(WEEKDAY(data[[#This Row],[Date]]+data[[#This Row],[Hfin corrigée]],2)=7,COUNTIF(JF,INT(data[[#This Row],[Date]]+data[[#This Row],[Hfin corrigée]]))=1),"oui","non")</calculatedColumnFormula>
    </tableColumn>
    <tableColumn id="19" name="JOUR2" dataDxfId="14">
      <calculatedColumnFormula>MAX(0,data[[#This Row],[Hfin corrigée]]-1)-data[[#This Row],[NUIT2.1]]-data[[#This Row],[NUIT2.2]]</calculatedColumnFormula>
    </tableColumn>
    <tableColumn id="20" name="NUIT2.1" dataDxfId="13">
      <calculatedColumnFormula>(MAX(0,MIN(data[[#This Row],[Hfin corrigée]],1+FinNuit)-1))</calculatedColumnFormula>
    </tableColumn>
    <tableColumn id="21" name="NUIT2.2" dataDxfId="12">
      <calculatedColumnFormula>(MAX(0,(data[[#This Row],[Hfin corrigée]]-DebNuit-1)))</calculatedColumnFormula>
    </tableColumn>
    <tableColumn id="22" name="Interv. hors poste" dataDxfId="11">
      <calculatedColumnFormula>IF(data[[#This Row],[Garde / Interv.]]="Intervention",MAX(0,data[[#This Row],[Hfin corrigée]]-SUMPRODUCT((data[Date]=data[[#This Row],[Date]])*(data[Garde / Interv.]="Garde")*data[Hfin corrigée])),0)</calculatedColumnFormula>
    </tableColumn>
    <tableColumn id="16" name="Durée sans interv." dataDxfId="10">
      <calculatedColumnFormula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calculatedColumnFormula>
    </tableColumn>
    <tableColumn id="24" name="Montant Garde" dataDxfId="9" dataCellStyle="Monétaire">
      <calculatedColumnFormula>TAUX1*data[[#This Row],[Durée sans interv.]]*24</calculatedColumnFormula>
    </tableColumn>
    <tableColumn id="13" name="Durée interv. jour" dataDxfId="8">
      <calculatedColumnFormula>MAX(0,IF(data[[#This Row],[Garde / Interv.]]="Intervention",(data[[#This Row],[Fin Dim ou Férié]]="non")*data[[#This Row],[JOUR2]]+(data[[#This Row],[Début Dim ou Férié]]="non")*data[[#This Row],[JOUR1]],0))</calculatedColumnFormula>
    </tableColumn>
    <tableColumn id="14" name="Durée interv. dim ou férié" dataDxfId="7">
      <calculatedColumnFormula>IF(data[[#This Row],[Garde / Interv.]]="Intervention",(data[[#This Row],[Fin Dim ou Férié]]="oui")*data[[#This Row],[JOUR2]]+(data[[#This Row],[Début Dim ou Férié]]="oui")*data[[#This Row],[JOUR1]],0)</calculatedColumnFormula>
    </tableColumn>
    <tableColumn id="15" name="Durée interv. nuit" dataDxfId="6">
      <calculatedColumnFormula>MAX(0,IF(data[[#This Row],[Garde / Interv.]]="Intervention",data[[#This Row],[NUIT1.1]]+data[[#This Row],[NUIT1.2]]+data[[#This Row],[NUIT2.1]]+data[[#This Row],[NUIT2.2]],0))</calculatedColumnFormula>
    </tableColumn>
    <tableColumn id="17" name="Montant Interv." dataDxfId="5" dataCellStyle="Monétaire">
      <calculatedColumnFormula>TAUX2*data[[#This Row],[Durée interv. jour]]*24+TAUX3*data[[#This Row],[Durée interv. dim ou férié]]*24+TAUX4*data[[#This Row],[Durée interv. nuit]]*24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AE14"/>
  <sheetViews>
    <sheetView showZeros="0" tabSelected="1" zoomScaleNormal="100" workbookViewId="0"/>
  </sheetViews>
  <sheetFormatPr baseColWidth="10" defaultRowHeight="14.5" x14ac:dyDescent="0.35"/>
  <cols>
    <col min="1" max="1" width="16.81640625" style="3" customWidth="1"/>
    <col min="2" max="2" width="9.90625" customWidth="1"/>
    <col min="3" max="3" width="23.90625" customWidth="1"/>
    <col min="4" max="7" width="9.08984375" style="2" customWidth="1"/>
    <col min="8" max="9" width="10.90625" style="51"/>
    <col min="10" max="11" width="10.81640625" style="6" hidden="1" customWidth="1"/>
    <col min="12" max="13" width="0" hidden="1" customWidth="1"/>
    <col min="14" max="14" width="13.6328125" style="13" hidden="1" customWidth="1"/>
    <col min="15" max="15" width="7.1796875" style="9" hidden="1" customWidth="1"/>
    <col min="16" max="16" width="9.81640625" style="9" hidden="1" customWidth="1"/>
    <col min="17" max="18" width="8.54296875" style="13" hidden="1" customWidth="1"/>
    <col min="19" max="19" width="7.1796875" style="13" hidden="1" customWidth="1"/>
    <col min="20" max="20" width="9.81640625" style="9" customWidth="1"/>
    <col min="21" max="23" width="8.54296875" style="13" customWidth="1"/>
    <col min="24" max="24" width="8.54296875" style="14" customWidth="1"/>
    <col min="25" max="25" width="8.54296875" style="25" customWidth="1"/>
    <col min="26" max="26" width="10.90625" style="14"/>
    <col min="27" max="27" width="9.81640625" style="11" customWidth="1"/>
    <col min="28" max="28" width="10" style="11" customWidth="1"/>
    <col min="29" max="29" width="10.90625" style="11"/>
    <col min="30" max="30" width="10" style="4" customWidth="1"/>
    <col min="31" max="31" width="10.90625" style="5"/>
  </cols>
  <sheetData>
    <row r="1" spans="1:31" s="53" customFormat="1" ht="58" x14ac:dyDescent="0.35">
      <c r="A1" s="52" t="s">
        <v>0</v>
      </c>
      <c r="B1" s="53" t="s">
        <v>2</v>
      </c>
      <c r="C1" s="53" t="s">
        <v>1</v>
      </c>
      <c r="D1" s="54" t="s">
        <v>62</v>
      </c>
      <c r="E1" s="54" t="s">
        <v>63</v>
      </c>
      <c r="F1" s="54" t="s">
        <v>19</v>
      </c>
      <c r="G1" s="54" t="s">
        <v>20</v>
      </c>
      <c r="H1" s="48" t="s">
        <v>27</v>
      </c>
      <c r="I1" s="48" t="s">
        <v>14</v>
      </c>
      <c r="J1" s="55" t="s">
        <v>64</v>
      </c>
      <c r="K1" s="55" t="s">
        <v>12</v>
      </c>
      <c r="L1" s="56" t="s">
        <v>21</v>
      </c>
      <c r="M1" s="56" t="s">
        <v>22</v>
      </c>
      <c r="N1" s="56" t="s">
        <v>23</v>
      </c>
      <c r="O1" s="55" t="s">
        <v>13</v>
      </c>
      <c r="P1" s="56" t="s">
        <v>24</v>
      </c>
      <c r="Q1" s="56" t="s">
        <v>25</v>
      </c>
      <c r="R1" s="56" t="s">
        <v>26</v>
      </c>
      <c r="S1" s="56" t="s">
        <v>35</v>
      </c>
      <c r="T1" s="7" t="s">
        <v>15</v>
      </c>
      <c r="U1" s="8" t="s">
        <v>37</v>
      </c>
      <c r="V1" s="7" t="s">
        <v>18</v>
      </c>
      <c r="W1" s="7" t="s">
        <v>16</v>
      </c>
      <c r="X1" s="7" t="s">
        <v>17</v>
      </c>
      <c r="Y1" s="8" t="s">
        <v>38</v>
      </c>
    </row>
    <row r="2" spans="1:31" x14ac:dyDescent="0.35">
      <c r="A2" s="3">
        <v>43246</v>
      </c>
      <c r="B2" s="22"/>
      <c r="D2" s="39">
        <v>0.5</v>
      </c>
      <c r="E2" s="39">
        <v>0.33333333333333331</v>
      </c>
      <c r="F2" s="39"/>
      <c r="G2" s="39"/>
      <c r="H2" s="49">
        <f>IF(data[[#This Row],[Hdébut garde]]&lt;&gt;"",
data[[#This Row],[Hdébut garde]],
data[[#This Row],[Hdébut interv.]]+IF(data[[#This Row],[Hdébut interv.]]&lt;SUMPRODUCT((data[Date]=data[[#This Row],[Date]])*data[Hdébut garde]),1,0)
)</f>
        <v>0.5</v>
      </c>
      <c r="I2" s="49">
        <f>IF(data[[#This Row],[Hfin garde]]&lt;&gt;"",
data[[#This Row],[Hfin garde]]+IF(data[[#This Row],[Hfin garde]]&lt;=data[[#This Row],[Hdébut garde]],1,0),
IF(data[[#This Row],[Hfin Interv.]]="",0,ROUNDUP(data[[#This Row],[Hfin Interv.]]*24*4,0)/4/24+IF(data[[#This Row],[Hfin Interv.]]&gt;data[[#This Row],[Hdébut interv.]],0,1))+IF(data[[#This Row],[Hdébut interv.]]&lt;SUMPRODUCT((data[Date]=data[[#This Row],[Date]])*data[Hdébut garde]),1,0)
)</f>
        <v>1.3333333333333333</v>
      </c>
      <c r="J2" s="9" t="str">
        <f>IF(data[[#This Row],[Hdébut garde]]&lt;&gt;"","Garde",IF(data[[#This Row],[Hdébut corrigé]]&lt;&gt;"","Intervention",""))</f>
        <v>Garde</v>
      </c>
      <c r="K2" s="9" t="str">
        <f>IF(OR(WEEKDAY(data[[#This Row],[Date]],2)=7,COUNTIF(JF,data[[#This Row],[Date]])=1),"oui","non")</f>
        <v>non</v>
      </c>
      <c r="L2" s="10">
        <f>MAX(0,(MIN(1,data[[#This Row],[Hfin corrigée]])-data[[#This Row],[Hdébut corrigé]])-data[[#This Row],[NUIT1.1]]-data[[#This Row],[NUIT1.2]])</f>
        <v>0.41666666666666663</v>
      </c>
      <c r="M2" s="10">
        <f>IF(data[[#This Row],[Hfin Interv.]]="",0,(
MIN(FinNuit,MIN(1,data[[#This Row],[Hfin corrigée]]))-MIN(FinNuit,data[[#This Row],[Hdébut corrigé]])
))</f>
        <v>0</v>
      </c>
      <c r="N2" s="10">
        <f>MAX(0,(MAX(0,(MIN(1,data[[#This Row],[Hfin corrigée]])-DebNuit))-MAX(0,(data[[#This Row],[Hdébut corrigé]]-DebNuit))))</f>
        <v>8.333333333333337E-2</v>
      </c>
      <c r="O2" s="9" t="str">
        <f>IF(OR(WEEKDAY(data[[#This Row],[Date]]+data[[#This Row],[Hfin corrigée]],2)=7,COUNTIF(JF,INT(data[[#This Row],[Date]]+data[[#This Row],[Hfin corrigée]]))=1),"oui","non")</f>
        <v>oui</v>
      </c>
      <c r="P2" s="10">
        <f>MAX(0,data[[#This Row],[Hfin corrigée]]-1)-data[[#This Row],[NUIT2.1]]-data[[#This Row],[NUIT2.2]]</f>
        <v>4.1666666666666519E-2</v>
      </c>
      <c r="Q2" s="10">
        <f>(MAX(0,MIN(data[[#This Row],[Hfin corrigée]],1+FinNuit)-1))</f>
        <v>0.29166666666666674</v>
      </c>
      <c r="R2" s="10">
        <f>(MAX(0,(data[[#This Row],[Hfin corrigée]]-DebNuit-1)))</f>
        <v>0</v>
      </c>
      <c r="S2" s="10">
        <f>IF(data[[#This Row],[Garde / Interv.]]="Intervention",MAX(0,data[[#This Row],[Hfin corrigée]]-SUMPRODUCT((data[Date]=data[[#This Row],[Date]])*(data[Garde / Interv.]="Garde")*data[Hfin corrigée])),0)</f>
        <v>0</v>
      </c>
      <c r="T2" s="11">
        <f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f>
        <v>0.52430555555555558</v>
      </c>
      <c r="U2" s="12">
        <f>TAUX1*data[[#This Row],[Durée sans interv.]]*24</f>
        <v>37.75</v>
      </c>
      <c r="V2" s="11">
        <f>MAX(0,IF(data[[#This Row],[Garde / Interv.]]="Intervention",(data[[#This Row],[Fin Dim ou Férié]]="non")*data[[#This Row],[JOUR2]]+(data[[#This Row],[Début Dim ou Férié]]="non")*data[[#This Row],[JOUR1]],0))</f>
        <v>0</v>
      </c>
      <c r="W2" s="11">
        <f>IF(data[[#This Row],[Garde / Interv.]]="Intervention",(data[[#This Row],[Fin Dim ou Férié]]="oui")*data[[#This Row],[JOUR2]]+(data[[#This Row],[Début Dim ou Férié]]="oui")*data[[#This Row],[JOUR1]],0)</f>
        <v>0</v>
      </c>
      <c r="X2" s="11">
        <f>MAX(0,IF(data[[#This Row],[Garde / Interv.]]="Intervention",data[[#This Row],[NUIT1.1]]+data[[#This Row],[NUIT1.2]]+data[[#This Row],[NUIT2.1]]+data[[#This Row],[NUIT2.2]],0))</f>
        <v>0</v>
      </c>
      <c r="Y2" s="12">
        <f>TAUX2*data[[#This Row],[Durée interv. jour]]*24+TAUX3*data[[#This Row],[Durée interv. dim ou férié]]*24+TAUX4*data[[#This Row],[Durée interv. nuit]]*24</f>
        <v>0</v>
      </c>
      <c r="Z2"/>
      <c r="AA2"/>
      <c r="AB2"/>
      <c r="AC2"/>
      <c r="AD2"/>
      <c r="AE2"/>
    </row>
    <row r="3" spans="1:31" x14ac:dyDescent="0.35">
      <c r="A3" s="3">
        <v>43246</v>
      </c>
      <c r="B3" s="22" t="s">
        <v>3</v>
      </c>
      <c r="C3" s="22"/>
      <c r="D3" s="39"/>
      <c r="E3" s="39"/>
      <c r="F3" s="39">
        <v>0.875</v>
      </c>
      <c r="G3" s="39">
        <v>4.4444444444444446E-2</v>
      </c>
      <c r="H3" s="49">
        <f>IF(data[[#This Row],[Hdébut garde]]&lt;&gt;"",
data[[#This Row],[Hdébut garde]],
data[[#This Row],[Hdébut interv.]]+IF(data[[#This Row],[Hdébut interv.]]&lt;SUMPRODUCT((data[Date]=data[[#This Row],[Date]])*data[Hdébut garde]),1,0)
)</f>
        <v>0.875</v>
      </c>
      <c r="I3" s="49">
        <f>IF(data[[#This Row],[Hfin garde]]&lt;&gt;"",
data[[#This Row],[Hfin garde]]+IF(data[[#This Row],[Hfin garde]]&lt;=data[[#This Row],[Hdébut garde]],1,0),
IF(data[[#This Row],[Hfin Interv.]]="",0,ROUNDUP(data[[#This Row],[Hfin Interv.]]*24*4,0)/4/24+IF(data[[#This Row],[Hfin Interv.]]&gt;data[[#This Row],[Hdébut interv.]],0,1))+IF(data[[#This Row],[Hdébut interv.]]&lt;SUMPRODUCT((data[Date]=data[[#This Row],[Date]])*data[Hdébut garde]),1,0)
)</f>
        <v>1.0520833333333333</v>
      </c>
      <c r="J3" s="9" t="str">
        <f>IF(data[[#This Row],[Hdébut garde]]&lt;&gt;"","Garde",IF(data[[#This Row],[Hdébut corrigé]]&lt;&gt;"","Intervention",""))</f>
        <v>Intervention</v>
      </c>
      <c r="K3" s="9" t="str">
        <f>IF(OR(WEEKDAY(data[[#This Row],[Date]],2)=7,COUNTIF(JF,data[[#This Row],[Date]])=1),"oui","non")</f>
        <v>non</v>
      </c>
      <c r="L3" s="10">
        <f>MAX(0,(MIN(1,data[[#This Row],[Hfin corrigée]])-data[[#This Row],[Hdébut corrigé]])-data[[#This Row],[NUIT1.1]]-data[[#This Row],[NUIT1.2]])</f>
        <v>4.166666666666663E-2</v>
      </c>
      <c r="M3" s="10">
        <f>IF(data[[#This Row],[Hfin Interv.]]="",0,(
MIN(FinNuit,MIN(1,data[[#This Row],[Hfin corrigée]]))-MIN(FinNuit,data[[#This Row],[Hdébut corrigé]])
))</f>
        <v>0</v>
      </c>
      <c r="N3" s="10">
        <f>MAX(0,(MAX(0,(MIN(1,data[[#This Row],[Hfin corrigée]])-DebNuit))-MAX(0,(data[[#This Row],[Hdébut corrigé]]-DebNuit))))</f>
        <v>8.333333333333337E-2</v>
      </c>
      <c r="O3" s="9" t="str">
        <f>IF(OR(WEEKDAY(data[[#This Row],[Date]]+data[[#This Row],[Hfin corrigée]],2)=7,COUNTIF(JF,INT(data[[#This Row],[Date]]+data[[#This Row],[Hfin corrigée]]))=1),"oui","non")</f>
        <v>oui</v>
      </c>
      <c r="P3" s="10">
        <f>MAX(0,data[[#This Row],[Hfin corrigée]]-1)-data[[#This Row],[NUIT2.1]]-data[[#This Row],[NUIT2.2]]</f>
        <v>0</v>
      </c>
      <c r="Q3" s="10">
        <f>(MAX(0,MIN(data[[#This Row],[Hfin corrigée]],1+FinNuit)-1))</f>
        <v>5.2083333333333259E-2</v>
      </c>
      <c r="R3" s="10">
        <f>(MAX(0,(data[[#This Row],[Hfin corrigée]]-DebNuit-1)))</f>
        <v>0</v>
      </c>
      <c r="S3" s="10">
        <f>IF(data[[#This Row],[Garde / Interv.]]="Intervention",MAX(0,data[[#This Row],[Hfin corrigée]]-SUMPRODUCT((data[Date]=data[[#This Row],[Date]])*(data[Garde / Interv.]="Garde")*data[Hfin corrigée])),0)</f>
        <v>0</v>
      </c>
      <c r="T3" s="11">
        <f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f>
        <v>0</v>
      </c>
      <c r="U3" s="12">
        <f>TAUX1*data[[#This Row],[Durée sans interv.]]*24</f>
        <v>0</v>
      </c>
      <c r="V3" s="11">
        <f>MAX(0,IF(data[[#This Row],[Garde / Interv.]]="Intervention",(data[[#This Row],[Fin Dim ou Férié]]="non")*data[[#This Row],[JOUR2]]+(data[[#This Row],[Début Dim ou Férié]]="non")*data[[#This Row],[JOUR1]],0))</f>
        <v>4.166666666666663E-2</v>
      </c>
      <c r="W3" s="11">
        <f>IF(data[[#This Row],[Garde / Interv.]]="Intervention",(data[[#This Row],[Fin Dim ou Férié]]="oui")*data[[#This Row],[JOUR2]]+(data[[#This Row],[Début Dim ou Férié]]="oui")*data[[#This Row],[JOUR1]],0)</f>
        <v>0</v>
      </c>
      <c r="X3" s="11">
        <f>MAX(0,IF(data[[#This Row],[Garde / Interv.]]="Intervention",data[[#This Row],[NUIT1.1]]+data[[#This Row],[NUIT1.2]]+data[[#This Row],[NUIT2.1]]+data[[#This Row],[NUIT2.2]],0))</f>
        <v>0.13541666666666663</v>
      </c>
      <c r="Y3" s="12">
        <f>TAUX2*data[[#This Row],[Durée interv. jour]]*24+TAUX3*data[[#This Row],[Durée interv. dim ou férié]]*24+TAUX4*data[[#This Row],[Durée interv. nuit]]*24</f>
        <v>23.499999999999989</v>
      </c>
      <c r="Z3"/>
      <c r="AA3"/>
      <c r="AB3"/>
      <c r="AC3"/>
      <c r="AD3"/>
      <c r="AE3"/>
    </row>
    <row r="4" spans="1:31" x14ac:dyDescent="0.35">
      <c r="A4" s="3">
        <v>43246</v>
      </c>
      <c r="B4" s="22" t="s">
        <v>5</v>
      </c>
      <c r="C4" s="22"/>
      <c r="D4" s="39"/>
      <c r="E4" s="39"/>
      <c r="F4" s="39">
        <v>0.51388888888888895</v>
      </c>
      <c r="G4" s="39">
        <v>0.6430555555555556</v>
      </c>
      <c r="H4" s="49">
        <f>IF(data[[#This Row],[Hdébut garde]]&lt;&gt;"",
data[[#This Row],[Hdébut garde]],
data[[#This Row],[Hdébut interv.]]+IF(data[[#This Row],[Hdébut interv.]]&lt;SUMPRODUCT((data[Date]=data[[#This Row],[Date]])*data[Hdébut garde]),1,0)
)</f>
        <v>0.51388888888888895</v>
      </c>
      <c r="I4" s="49">
        <f>IF(data[[#This Row],[Hfin garde]]&lt;&gt;"",
data[[#This Row],[Hfin garde]]+IF(data[[#This Row],[Hfin garde]]&lt;=data[[#This Row],[Hdébut garde]],1,0),
IF(data[[#This Row],[Hfin Interv.]]="",0,ROUNDUP(data[[#This Row],[Hfin Interv.]]*24*4,0)/4/24+IF(data[[#This Row],[Hfin Interv.]]&gt;data[[#This Row],[Hdébut interv.]],0,1))+IF(data[[#This Row],[Hdébut interv.]]&lt;SUMPRODUCT((data[Date]=data[[#This Row],[Date]])*data[Hdébut garde]),1,0)
)</f>
        <v>0.64583333333333337</v>
      </c>
      <c r="J4" s="9" t="str">
        <f>IF(data[[#This Row],[Hdébut garde]]&lt;&gt;"","Garde",IF(data[[#This Row],[Hdébut corrigé]]&lt;&gt;"","Intervention",""))</f>
        <v>Intervention</v>
      </c>
      <c r="K4" s="9" t="str">
        <f>IF(OR(WEEKDAY(data[[#This Row],[Date]],2)=7,COUNTIF(JF,data[[#This Row],[Date]])=1),"oui","non")</f>
        <v>non</v>
      </c>
      <c r="L4" s="10">
        <f>MAX(0,(MIN(1,data[[#This Row],[Hfin corrigée]])-data[[#This Row],[Hdébut corrigé]])-data[[#This Row],[NUIT1.1]]-data[[#This Row],[NUIT1.2]])</f>
        <v>0.13194444444444442</v>
      </c>
      <c r="M4" s="10">
        <f>IF(data[[#This Row],[Hfin Interv.]]="",0,(
MIN(FinNuit,MIN(1,data[[#This Row],[Hfin corrigée]]))-MIN(FinNuit,data[[#This Row],[Hdébut corrigé]])
))</f>
        <v>0</v>
      </c>
      <c r="N4" s="10">
        <f>MAX(0,(MAX(0,(MIN(1,data[[#This Row],[Hfin corrigée]])-DebNuit))-MAX(0,(data[[#This Row],[Hdébut corrigé]]-DebNuit))))</f>
        <v>0</v>
      </c>
      <c r="O4" s="9" t="str">
        <f>IF(OR(WEEKDAY(data[[#This Row],[Date]]+data[[#This Row],[Hfin corrigée]],2)=7,COUNTIF(JF,INT(data[[#This Row],[Date]]+data[[#This Row],[Hfin corrigée]]))=1),"oui","non")</f>
        <v>non</v>
      </c>
      <c r="P4" s="10">
        <f>MAX(0,data[[#This Row],[Hfin corrigée]]-1)-data[[#This Row],[NUIT2.1]]-data[[#This Row],[NUIT2.2]]</f>
        <v>0</v>
      </c>
      <c r="Q4" s="10">
        <f>(MAX(0,MIN(data[[#This Row],[Hfin corrigée]],1+FinNuit)-1))</f>
        <v>0</v>
      </c>
      <c r="R4" s="10">
        <f>(MAX(0,(data[[#This Row],[Hfin corrigée]]-DebNuit-1)))</f>
        <v>0</v>
      </c>
      <c r="S4" s="10">
        <f>IF(data[[#This Row],[Garde / Interv.]]="Intervention",MAX(0,data[[#This Row],[Hfin corrigée]]-SUMPRODUCT((data[Date]=data[[#This Row],[Date]])*(data[Garde / Interv.]="Garde")*data[Hfin corrigée])),0)</f>
        <v>0</v>
      </c>
      <c r="T4" s="11">
        <f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f>
        <v>0</v>
      </c>
      <c r="U4" s="12">
        <f>TAUX1*data[[#This Row],[Durée sans interv.]]*24</f>
        <v>0</v>
      </c>
      <c r="V4" s="11">
        <f>MAX(0,IF(data[[#This Row],[Garde / Interv.]]="Intervention",(data[[#This Row],[Fin Dim ou Férié]]="non")*data[[#This Row],[JOUR2]]+(data[[#This Row],[Début Dim ou Férié]]="non")*data[[#This Row],[JOUR1]],0))</f>
        <v>0.13194444444444442</v>
      </c>
      <c r="W4" s="11">
        <f>IF(data[[#This Row],[Garde / Interv.]]="Intervention",(data[[#This Row],[Fin Dim ou Férié]]="oui")*data[[#This Row],[JOUR2]]+(data[[#This Row],[Début Dim ou Férié]]="oui")*data[[#This Row],[JOUR1]],0)</f>
        <v>0</v>
      </c>
      <c r="X4" s="11">
        <f>MAX(0,IF(data[[#This Row],[Garde / Interv.]]="Intervention",data[[#This Row],[NUIT1.1]]+data[[#This Row],[NUIT1.2]]+data[[#This Row],[NUIT2.1]]+data[[#This Row],[NUIT2.2]],0))</f>
        <v>0</v>
      </c>
      <c r="Y4" s="12">
        <f>TAUX2*data[[#This Row],[Durée interv. jour]]*24+TAUX3*data[[#This Row],[Durée interv. dim ou férié]]*24+TAUX4*data[[#This Row],[Durée interv. nuit]]*24</f>
        <v>12.666666666666664</v>
      </c>
      <c r="Z4"/>
      <c r="AA4"/>
      <c r="AB4"/>
      <c r="AC4"/>
      <c r="AD4"/>
      <c r="AE4"/>
    </row>
    <row r="5" spans="1:31" x14ac:dyDescent="0.35">
      <c r="A5" s="3">
        <v>43271</v>
      </c>
      <c r="B5" s="22"/>
      <c r="C5" s="22"/>
      <c r="D5" s="39">
        <v>0.33333333333333331</v>
      </c>
      <c r="E5" s="39">
        <v>0.33333333333333331</v>
      </c>
      <c r="F5" s="39"/>
      <c r="G5" s="39"/>
      <c r="H5" s="49">
        <f>IF(data[[#This Row],[Hdébut garde]]&lt;&gt;"",
data[[#This Row],[Hdébut garde]],
data[[#This Row],[Hdébut interv.]]+IF(data[[#This Row],[Hdébut interv.]]&lt;SUMPRODUCT((data[Date]=data[[#This Row],[Date]])*data[Hdébut garde]),1,0)
)</f>
        <v>0.33333333333333331</v>
      </c>
      <c r="I5" s="49">
        <f>IF(data[[#This Row],[Hfin garde]]&lt;&gt;"",
data[[#This Row],[Hfin garde]]+IF(data[[#This Row],[Hfin garde]]&lt;=data[[#This Row],[Hdébut garde]],1,0),
IF(data[[#This Row],[Hfin Interv.]]="",0,ROUNDUP(data[[#This Row],[Hfin Interv.]]*24*4,0)/4/24+IF(data[[#This Row],[Hfin Interv.]]&gt;data[[#This Row],[Hdébut interv.]],0,1))+IF(data[[#This Row],[Hdébut interv.]]&lt;SUMPRODUCT((data[Date]=data[[#This Row],[Date]])*data[Hdébut garde]),1,0)
)</f>
        <v>1.3333333333333333</v>
      </c>
      <c r="J5" s="9" t="str">
        <f>IF(data[[#This Row],[Hdébut garde]]&lt;&gt;"","Garde",IF(data[[#This Row],[Hdébut corrigé]]&lt;&gt;"","Intervention",""))</f>
        <v>Garde</v>
      </c>
      <c r="K5" s="9" t="str">
        <f>IF(OR(WEEKDAY(data[[#This Row],[Date]],2)=7,COUNTIF(JF,data[[#This Row],[Date]])=1),"oui","non")</f>
        <v>non</v>
      </c>
      <c r="L5" s="10">
        <f>MAX(0,(MIN(1,data[[#This Row],[Hfin corrigée]])-data[[#This Row],[Hdébut corrigé]])-data[[#This Row],[NUIT1.1]]-data[[#This Row],[NUIT1.2]])</f>
        <v>0.58333333333333337</v>
      </c>
      <c r="M5" s="10">
        <f>IF(data[[#This Row],[Hfin Interv.]]="",0,(
MIN(FinNuit,MIN(1,data[[#This Row],[Hfin corrigée]]))-MIN(FinNuit,data[[#This Row],[Hdébut corrigé]])
))</f>
        <v>0</v>
      </c>
      <c r="N5" s="10">
        <f>MAX(0,(MAX(0,(MIN(1,data[[#This Row],[Hfin corrigée]])-DebNuit))-MAX(0,(data[[#This Row],[Hdébut corrigé]]-DebNuit))))</f>
        <v>8.333333333333337E-2</v>
      </c>
      <c r="O5" s="9" t="str">
        <f>IF(OR(WEEKDAY(data[[#This Row],[Date]]+data[[#This Row],[Hfin corrigée]],2)=7,COUNTIF(JF,INT(data[[#This Row],[Date]]+data[[#This Row],[Hfin corrigée]]))=1),"oui","non")</f>
        <v>non</v>
      </c>
      <c r="P5" s="10">
        <f>MAX(0,data[[#This Row],[Hfin corrigée]]-1)-data[[#This Row],[NUIT2.1]]-data[[#This Row],[NUIT2.2]]</f>
        <v>4.1666666666666519E-2</v>
      </c>
      <c r="Q5" s="10">
        <f>(MAX(0,MIN(data[[#This Row],[Hfin corrigée]],1+FinNuit)-1))</f>
        <v>0.29166666666666674</v>
      </c>
      <c r="R5" s="10">
        <f>(MAX(0,(data[[#This Row],[Hfin corrigée]]-DebNuit-1)))</f>
        <v>0</v>
      </c>
      <c r="S5" s="10">
        <f>IF(data[[#This Row],[Garde / Interv.]]="Intervention",MAX(0,data[[#This Row],[Hfin corrigée]]-SUMPRODUCT((data[Date]=data[[#This Row],[Date]])*(data[Garde / Interv.]="Garde")*data[Hfin corrigée])),0)</f>
        <v>0</v>
      </c>
      <c r="T5" s="11">
        <f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f>
        <v>0.11805555555555602</v>
      </c>
      <c r="U5" s="12">
        <f>TAUX1*data[[#This Row],[Durée sans interv.]]*24</f>
        <v>8.5000000000000338</v>
      </c>
      <c r="V5" s="11">
        <f>MAX(0,IF(data[[#This Row],[Garde / Interv.]]="Intervention",(data[[#This Row],[Fin Dim ou Férié]]="non")*data[[#This Row],[JOUR2]]+(data[[#This Row],[Début Dim ou Férié]]="non")*data[[#This Row],[JOUR1]],0))</f>
        <v>0</v>
      </c>
      <c r="W5" s="11">
        <f>IF(data[[#This Row],[Garde / Interv.]]="Intervention",(data[[#This Row],[Fin Dim ou Férié]]="oui")*data[[#This Row],[JOUR2]]+(data[[#This Row],[Début Dim ou Férié]]="oui")*data[[#This Row],[JOUR1]],0)</f>
        <v>0</v>
      </c>
      <c r="X5" s="11">
        <f>MAX(0,IF(data[[#This Row],[Garde / Interv.]]="Intervention",data[[#This Row],[NUIT1.1]]+data[[#This Row],[NUIT1.2]]+data[[#This Row],[NUIT2.1]]+data[[#This Row],[NUIT2.2]],0))</f>
        <v>0</v>
      </c>
      <c r="Y5" s="12">
        <f>TAUX2*data[[#This Row],[Durée interv. jour]]*24+TAUX3*data[[#This Row],[Durée interv. dim ou férié]]*24+TAUX4*data[[#This Row],[Durée interv. nuit]]*24</f>
        <v>0</v>
      </c>
      <c r="Z5"/>
      <c r="AA5"/>
      <c r="AB5"/>
      <c r="AC5"/>
      <c r="AD5"/>
      <c r="AE5"/>
    </row>
    <row r="6" spans="1:31" x14ac:dyDescent="0.35">
      <c r="A6" s="3">
        <v>43271</v>
      </c>
      <c r="B6" s="22" t="s">
        <v>4</v>
      </c>
      <c r="C6" s="22"/>
      <c r="D6" s="39"/>
      <c r="E6" s="39"/>
      <c r="F6" s="39">
        <v>0.43055555555555602</v>
      </c>
      <c r="G6" s="39">
        <v>0.9916666666666667</v>
      </c>
      <c r="H6" s="49">
        <f>IF(data[[#This Row],[Hdébut garde]]&lt;&gt;"",
data[[#This Row],[Hdébut garde]],
data[[#This Row],[Hdébut interv.]]+IF(data[[#This Row],[Hdébut interv.]]&lt;SUMPRODUCT((data[Date]=data[[#This Row],[Date]])*data[Hdébut garde]),1,0)
)</f>
        <v>0.43055555555555602</v>
      </c>
      <c r="I6" s="49">
        <f>IF(data[[#This Row],[Hfin garde]]&lt;&gt;"",
data[[#This Row],[Hfin garde]]+IF(data[[#This Row],[Hfin garde]]&lt;=data[[#This Row],[Hdébut garde]],1,0),
IF(data[[#This Row],[Hfin Interv.]]="",0,ROUNDUP(data[[#This Row],[Hfin Interv.]]*24*4,0)/4/24+IF(data[[#This Row],[Hfin Interv.]]&gt;data[[#This Row],[Hdébut interv.]],0,1))+IF(data[[#This Row],[Hdébut interv.]]&lt;SUMPRODUCT((data[Date]=data[[#This Row],[Date]])*data[Hdébut garde]),1,0)
)</f>
        <v>1</v>
      </c>
      <c r="J6" s="9" t="str">
        <f>IF(data[[#This Row],[Hdébut garde]]&lt;&gt;"","Garde",IF(data[[#This Row],[Hdébut corrigé]]&lt;&gt;"","Intervention",""))</f>
        <v>Intervention</v>
      </c>
      <c r="K6" s="9" t="str">
        <f>IF(OR(WEEKDAY(data[[#This Row],[Date]],2)=7,COUNTIF(JF,data[[#This Row],[Date]])=1),"oui","non")</f>
        <v>non</v>
      </c>
      <c r="L6" s="10">
        <f>MAX(0,(MIN(1,data[[#This Row],[Hfin corrigée]])-data[[#This Row],[Hdébut corrigé]])-data[[#This Row],[NUIT1.1]]-data[[#This Row],[NUIT1.2]])</f>
        <v>0.48611111111111061</v>
      </c>
      <c r="M6" s="10">
        <f>IF(data[[#This Row],[Hfin Interv.]]="",0,(
MIN(FinNuit,MIN(1,data[[#This Row],[Hfin corrigée]]))-MIN(FinNuit,data[[#This Row],[Hdébut corrigé]])
))</f>
        <v>0</v>
      </c>
      <c r="N6" s="10">
        <f>MAX(0,(MAX(0,(MIN(1,data[[#This Row],[Hfin corrigée]])-DebNuit))-MAX(0,(data[[#This Row],[Hdébut corrigé]]-DebNuit))))</f>
        <v>8.333333333333337E-2</v>
      </c>
      <c r="O6" s="9" t="str">
        <f>IF(OR(WEEKDAY(data[[#This Row],[Date]]+data[[#This Row],[Hfin corrigée]],2)=7,COUNTIF(JF,INT(data[[#This Row],[Date]]+data[[#This Row],[Hfin corrigée]]))=1),"oui","non")</f>
        <v>non</v>
      </c>
      <c r="P6" s="10">
        <f>MAX(0,data[[#This Row],[Hfin corrigée]]-1)-data[[#This Row],[NUIT2.1]]-data[[#This Row],[NUIT2.2]]</f>
        <v>0</v>
      </c>
      <c r="Q6" s="10">
        <f>(MAX(0,MIN(data[[#This Row],[Hfin corrigée]],1+FinNuit)-1))</f>
        <v>0</v>
      </c>
      <c r="R6" s="10">
        <f>(MAX(0,(data[[#This Row],[Hfin corrigée]]-DebNuit-1)))</f>
        <v>0</v>
      </c>
      <c r="S6" s="10">
        <f>IF(data[[#This Row],[Garde / Interv.]]="Intervention",MAX(0,data[[#This Row],[Hfin corrigée]]-SUMPRODUCT((data[Date]=data[[#This Row],[Date]])*(data[Garde / Interv.]="Garde")*data[Hfin corrigée])),0)</f>
        <v>0</v>
      </c>
      <c r="T6" s="11">
        <f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f>
        <v>0</v>
      </c>
      <c r="U6" s="12">
        <f>TAUX1*data[[#This Row],[Durée sans interv.]]*24</f>
        <v>0</v>
      </c>
      <c r="V6" s="11">
        <f>MAX(0,IF(data[[#This Row],[Garde / Interv.]]="Intervention",(data[[#This Row],[Fin Dim ou Férié]]="non")*data[[#This Row],[JOUR2]]+(data[[#This Row],[Début Dim ou Férié]]="non")*data[[#This Row],[JOUR1]],0))</f>
        <v>0.48611111111111061</v>
      </c>
      <c r="W6" s="11">
        <f>IF(data[[#This Row],[Garde / Interv.]]="Intervention",(data[[#This Row],[Fin Dim ou Férié]]="oui")*data[[#This Row],[JOUR2]]+(data[[#This Row],[Début Dim ou Férié]]="oui")*data[[#This Row],[JOUR1]],0)</f>
        <v>0</v>
      </c>
      <c r="X6" s="11">
        <f>MAX(0,IF(data[[#This Row],[Garde / Interv.]]="Intervention",data[[#This Row],[NUIT1.1]]+data[[#This Row],[NUIT1.2]]+data[[#This Row],[NUIT2.1]]+data[[#This Row],[NUIT2.2]],0))</f>
        <v>8.333333333333337E-2</v>
      </c>
      <c r="Y6" s="12">
        <f>TAUX2*data[[#This Row],[Durée interv. jour]]*24+TAUX3*data[[#This Row],[Durée interv. dim ou férié]]*24+TAUX4*data[[#This Row],[Durée interv. nuit]]*24</f>
        <v>58.666666666666622</v>
      </c>
      <c r="Z6"/>
      <c r="AA6"/>
      <c r="AB6"/>
      <c r="AC6"/>
      <c r="AD6"/>
      <c r="AE6"/>
    </row>
    <row r="7" spans="1:31" s="30" customFormat="1" x14ac:dyDescent="0.35">
      <c r="A7" s="41">
        <v>43271</v>
      </c>
      <c r="B7" s="42" t="s">
        <v>6</v>
      </c>
      <c r="C7" s="42"/>
      <c r="D7" s="43"/>
      <c r="E7" s="43"/>
      <c r="F7" s="43">
        <v>0.14583333333333301</v>
      </c>
      <c r="G7" s="43">
        <v>0.3125</v>
      </c>
      <c r="H7" s="50">
        <f>IF(data[[#This Row],[Hdébut garde]]&lt;&gt;"",
data[[#This Row],[Hdébut garde]],
data[[#This Row],[Hdébut interv.]]+IF(data[[#This Row],[Hdébut interv.]]&lt;SUMPRODUCT((data[Date]=data[[#This Row],[Date]])*data[Hdébut garde]),1,0)
)</f>
        <v>1.145833333333333</v>
      </c>
      <c r="I7" s="50">
        <f>IF(data[[#This Row],[Hfin garde]]&lt;&gt;"",
data[[#This Row],[Hfin garde]]+IF(data[[#This Row],[Hfin garde]]&lt;=data[[#This Row],[Hdébut garde]],1,0),
IF(data[[#This Row],[Hfin Interv.]]="",0,ROUNDUP(data[[#This Row],[Hfin Interv.]]*24*4,0)/4/24+IF(data[[#This Row],[Hfin Interv.]]&gt;data[[#This Row],[Hdébut interv.]],0,1))+IF(data[[#This Row],[Hdébut interv.]]&lt;SUMPRODUCT((data[Date]=data[[#This Row],[Date]])*data[Hdébut garde]),1,0)
)</f>
        <v>1.3125</v>
      </c>
      <c r="J7" s="44" t="str">
        <f>IF(data[[#This Row],[Hdébut garde]]&lt;&gt;"","Garde",IF(data[[#This Row],[Hdébut corrigé]]&lt;&gt;"","Intervention",""))</f>
        <v>Intervention</v>
      </c>
      <c r="K7" s="44" t="str">
        <f>IF(OR(WEEKDAY(data[[#This Row],[Date]],2)=7,COUNTIF(JF,data[[#This Row],[Date]])=1),"oui","non")</f>
        <v>non</v>
      </c>
      <c r="L7" s="45">
        <f>MAX(0,(MIN(1,data[[#This Row],[Hfin corrigée]])-data[[#This Row],[Hdébut corrigé]])-data[[#This Row],[NUIT1.1]]-data[[#This Row],[NUIT1.2]])</f>
        <v>0</v>
      </c>
      <c r="M7" s="45">
        <f>IF(data[[#This Row],[Hfin Interv.]]="",0,(
MIN(FinNuit,MIN(1,data[[#This Row],[Hfin corrigée]]))-MIN(FinNuit,data[[#This Row],[Hdébut corrigé]])
))</f>
        <v>0</v>
      </c>
      <c r="N7" s="45">
        <f>MAX(0,(MAX(0,(MIN(1,data[[#This Row],[Hfin corrigée]])-DebNuit))-MAX(0,(data[[#This Row],[Hdébut corrigé]]-DebNuit))))</f>
        <v>0</v>
      </c>
      <c r="O7" s="44" t="str">
        <f>IF(OR(WEEKDAY(data[[#This Row],[Date]]+data[[#This Row],[Hfin corrigée]],2)=7,COUNTIF(JF,INT(data[[#This Row],[Date]]+data[[#This Row],[Hfin corrigée]]))=1),"oui","non")</f>
        <v>non</v>
      </c>
      <c r="P7" s="45">
        <f>MAX(0,data[[#This Row],[Hfin corrigée]]-1)-data[[#This Row],[NUIT2.1]]-data[[#This Row],[NUIT2.2]]</f>
        <v>2.0833333333333259E-2</v>
      </c>
      <c r="Q7" s="45">
        <f>(MAX(0,MIN(data[[#This Row],[Hfin corrigée]],1+FinNuit)-1))</f>
        <v>0.29166666666666674</v>
      </c>
      <c r="R7" s="45">
        <f>(MAX(0,(data[[#This Row],[Hfin corrigée]]-DebNuit-1)))</f>
        <v>0</v>
      </c>
      <c r="S7" s="45">
        <f>IF(data[[#This Row],[Garde / Interv.]]="Intervention",MAX(0,data[[#This Row],[Hfin corrigée]]-SUMPRODUCT((data[Date]=data[[#This Row],[Date]])*(data[Garde / Interv.]="Garde")*data[Hfin corrigée])),0)</f>
        <v>0</v>
      </c>
      <c r="T7" s="46">
        <f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f>
        <v>0</v>
      </c>
      <c r="U7" s="47">
        <f>TAUX1*data[[#This Row],[Durée sans interv.]]*24</f>
        <v>0</v>
      </c>
      <c r="V7" s="46">
        <f>MAX(0,IF(data[[#This Row],[Garde / Interv.]]="Intervention",(data[[#This Row],[Fin Dim ou Férié]]="non")*data[[#This Row],[JOUR2]]+(data[[#This Row],[Début Dim ou Férié]]="non")*data[[#This Row],[JOUR1]],0))</f>
        <v>2.0833333333333259E-2</v>
      </c>
      <c r="W7" s="46">
        <f>IF(data[[#This Row],[Garde / Interv.]]="Intervention",(data[[#This Row],[Fin Dim ou Férié]]="oui")*data[[#This Row],[JOUR2]]+(data[[#This Row],[Début Dim ou Férié]]="oui")*data[[#This Row],[JOUR1]],0)</f>
        <v>0</v>
      </c>
      <c r="X7" s="46">
        <f>MAX(0,IF(data[[#This Row],[Garde / Interv.]]="Intervention",data[[#This Row],[NUIT1.1]]+data[[#This Row],[NUIT1.2]]+data[[#This Row],[NUIT2.1]]+data[[#This Row],[NUIT2.2]],0))</f>
        <v>0.29166666666666674</v>
      </c>
      <c r="Y7" s="47">
        <f>TAUX2*data[[#This Row],[Durée interv. jour]]*24+TAUX3*data[[#This Row],[Durée interv. dim ou férié]]*24+TAUX4*data[[#This Row],[Durée interv. nuit]]*24</f>
        <v>44.000000000000007</v>
      </c>
    </row>
    <row r="8" spans="1:31" x14ac:dyDescent="0.35">
      <c r="A8" s="3">
        <v>43101</v>
      </c>
      <c r="B8" s="22"/>
      <c r="C8" s="22"/>
      <c r="D8" s="39">
        <v>0.33333333333333331</v>
      </c>
      <c r="E8" s="39">
        <v>0.33333333333333331</v>
      </c>
      <c r="F8" s="39"/>
      <c r="G8" s="39"/>
      <c r="H8" s="49">
        <f>IF(data[[#This Row],[Hdébut garde]]&lt;&gt;"",
data[[#This Row],[Hdébut garde]],
data[[#This Row],[Hdébut interv.]]+IF(data[[#This Row],[Hdébut interv.]]&lt;SUMPRODUCT((data[Date]=data[[#This Row],[Date]])*data[Hdébut garde]),1,0)
)</f>
        <v>0.33333333333333331</v>
      </c>
      <c r="I8" s="49">
        <f>IF(data[[#This Row],[Hfin garde]]&lt;&gt;"",
data[[#This Row],[Hfin garde]]+IF(data[[#This Row],[Hfin garde]]&lt;=data[[#This Row],[Hdébut garde]],1,0),
IF(data[[#This Row],[Hfin Interv.]]="",0,ROUNDUP(data[[#This Row],[Hfin Interv.]]*24*4,0)/4/24+IF(data[[#This Row],[Hfin Interv.]]&gt;data[[#This Row],[Hdébut interv.]],0,1))+IF(data[[#This Row],[Hdébut interv.]]&lt;SUMPRODUCT((data[Date]=data[[#This Row],[Date]])*data[Hdébut garde]),1,0)
)</f>
        <v>1.3333333333333333</v>
      </c>
      <c r="J8" s="9" t="str">
        <f>IF(data[[#This Row],[Hdébut garde]]&lt;&gt;"","Garde",IF(data[[#This Row],[Hdébut corrigé]]&lt;&gt;"","Intervention",""))</f>
        <v>Garde</v>
      </c>
      <c r="K8" s="9" t="str">
        <f>IF(OR(WEEKDAY(data[[#This Row],[Date]],2)=7,COUNTIF(JF,data[[#This Row],[Date]])=1),"oui","non")</f>
        <v>oui</v>
      </c>
      <c r="L8" s="10">
        <f>MAX(0,(MIN(1,data[[#This Row],[Hfin corrigée]])-data[[#This Row],[Hdébut corrigé]])-data[[#This Row],[NUIT1.1]]-data[[#This Row],[NUIT1.2]])</f>
        <v>0.58333333333333337</v>
      </c>
      <c r="M8" s="10">
        <f>IF(data[[#This Row],[Hfin Interv.]]="",0,(
MIN(FinNuit,MIN(1,data[[#This Row],[Hfin corrigée]]))-MIN(FinNuit,data[[#This Row],[Hdébut corrigé]])
))</f>
        <v>0</v>
      </c>
      <c r="N8" s="10">
        <f>MAX(0,(MAX(0,(MIN(1,data[[#This Row],[Hfin corrigée]])-DebNuit))-MAX(0,(data[[#This Row],[Hdébut corrigé]]-DebNuit))))</f>
        <v>8.333333333333337E-2</v>
      </c>
      <c r="O8" s="9" t="str">
        <f>IF(OR(WEEKDAY(data[[#This Row],[Date]]+data[[#This Row],[Hfin corrigée]],2)=7,COUNTIF(JF,INT(data[[#This Row],[Date]]+data[[#This Row],[Hfin corrigée]]))=1),"oui","non")</f>
        <v>non</v>
      </c>
      <c r="P8" s="10">
        <f>MAX(0,data[[#This Row],[Hfin corrigée]]-1)-data[[#This Row],[NUIT2.1]]-data[[#This Row],[NUIT2.2]]</f>
        <v>4.1666666666666519E-2</v>
      </c>
      <c r="Q8" s="10">
        <f>(MAX(0,MIN(data[[#This Row],[Hfin corrigée]],1+FinNuit)-1))</f>
        <v>0.29166666666666674</v>
      </c>
      <c r="R8" s="10">
        <f>(MAX(0,(data[[#This Row],[Hfin corrigée]]-DebNuit-1)))</f>
        <v>0</v>
      </c>
      <c r="S8" s="10">
        <f>IF(data[[#This Row],[Garde / Interv.]]="Intervention",MAX(0,data[[#This Row],[Hfin corrigée]]-SUMPRODUCT((data[Date]=data[[#This Row],[Date]])*(data[Garde / Interv.]="Garde")*data[Hfin corrigée])),0)</f>
        <v>0</v>
      </c>
      <c r="T8" s="11">
        <f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f>
        <v>0.53819444444444442</v>
      </c>
      <c r="U8" s="12">
        <f>TAUX1*data[[#This Row],[Durée sans interv.]]*24</f>
        <v>38.75</v>
      </c>
      <c r="V8" s="11">
        <f>MAX(0,IF(data[[#This Row],[Garde / Interv.]]="Intervention",(data[[#This Row],[Fin Dim ou Férié]]="non")*data[[#This Row],[JOUR2]]+(data[[#This Row],[Début Dim ou Férié]]="non")*data[[#This Row],[JOUR1]],0))</f>
        <v>0</v>
      </c>
      <c r="W8" s="11">
        <f>IF(data[[#This Row],[Garde / Interv.]]="Intervention",(data[[#This Row],[Fin Dim ou Férié]]="oui")*data[[#This Row],[JOUR2]]+(data[[#This Row],[Début Dim ou Férié]]="oui")*data[[#This Row],[JOUR1]],0)</f>
        <v>0</v>
      </c>
      <c r="X8" s="11">
        <f>MAX(0,IF(data[[#This Row],[Garde / Interv.]]="Intervention",data[[#This Row],[NUIT1.1]]+data[[#This Row],[NUIT1.2]]+data[[#This Row],[NUIT2.1]]+data[[#This Row],[NUIT2.2]],0))</f>
        <v>0</v>
      </c>
      <c r="Y8" s="12">
        <f>TAUX2*data[[#This Row],[Durée interv. jour]]*24+TAUX3*data[[#This Row],[Durée interv. dim ou férié]]*24+TAUX4*data[[#This Row],[Durée interv. nuit]]*24</f>
        <v>0</v>
      </c>
      <c r="Z8"/>
      <c r="AA8"/>
      <c r="AB8"/>
      <c r="AC8"/>
      <c r="AD8"/>
      <c r="AE8"/>
    </row>
    <row r="9" spans="1:31" x14ac:dyDescent="0.35">
      <c r="A9" s="3">
        <v>43101</v>
      </c>
      <c r="B9" s="31" t="s">
        <v>3</v>
      </c>
      <c r="C9" s="3"/>
      <c r="D9" s="39"/>
      <c r="E9" s="39"/>
      <c r="F9" s="39">
        <v>0.33333333333333331</v>
      </c>
      <c r="G9" s="39">
        <v>0.56597222222222221</v>
      </c>
      <c r="H9" s="49">
        <f>IF(data[[#This Row],[Hdébut garde]]&lt;&gt;"",
data[[#This Row],[Hdébut garde]],
data[[#This Row],[Hdébut interv.]]+IF(data[[#This Row],[Hdébut interv.]]&lt;SUMPRODUCT((data[Date]=data[[#This Row],[Date]])*data[Hdébut garde]),1,0)
)</f>
        <v>0.33333333333333331</v>
      </c>
      <c r="I9" s="49">
        <f>IF(data[[#This Row],[Hfin garde]]&lt;&gt;"",
data[[#This Row],[Hfin garde]]+IF(data[[#This Row],[Hfin garde]]&lt;=data[[#This Row],[Hdébut garde]],1,0),
IF(data[[#This Row],[Hfin Interv.]]="",0,ROUNDUP(data[[#This Row],[Hfin Interv.]]*24*4,0)/4/24+IF(data[[#This Row],[Hfin Interv.]]&gt;data[[#This Row],[Hdébut interv.]],0,1))+IF(data[[#This Row],[Hdébut interv.]]&lt;SUMPRODUCT((data[Date]=data[[#This Row],[Date]])*data[Hdébut garde]),1,0)
)</f>
        <v>0.57291666666666663</v>
      </c>
      <c r="J9" s="32" t="str">
        <f>IF(data[[#This Row],[Hdébut garde]]&lt;&gt;"","Garde",IF(data[[#This Row],[Hdébut corrigé]]&lt;&gt;"","Intervention",""))</f>
        <v>Intervention</v>
      </c>
      <c r="K9" s="33" t="str">
        <f>IF(OR(WEEKDAY(data[[#This Row],[Date]],2)=7,COUNTIF(JF,data[[#This Row],[Date]])=1),"oui","non")</f>
        <v>oui</v>
      </c>
      <c r="L9" s="34">
        <f>MAX(0,(MIN(1,data[[#This Row],[Hfin corrigée]])-data[[#This Row],[Hdébut corrigé]])-data[[#This Row],[NUIT1.1]]-data[[#This Row],[NUIT1.2]])</f>
        <v>0.23958333333333331</v>
      </c>
      <c r="M9" s="34">
        <f>IF(data[[#This Row],[Hfin Interv.]]="",0,(
MIN(FinNuit,MIN(1,data[[#This Row],[Hfin corrigée]]))-MIN(FinNuit,data[[#This Row],[Hdébut corrigé]])
))</f>
        <v>0</v>
      </c>
      <c r="N9" s="34">
        <f>MAX(0,(MAX(0,(MIN(1,data[[#This Row],[Hfin corrigée]])-DebNuit))-MAX(0,(data[[#This Row],[Hdébut corrigé]]-DebNuit))))</f>
        <v>0</v>
      </c>
      <c r="O9" s="33" t="str">
        <f>IF(OR(WEEKDAY(data[[#This Row],[Date]]+data[[#This Row],[Hfin corrigée]],2)=7,COUNTIF(JF,INT(data[[#This Row],[Date]]+data[[#This Row],[Hfin corrigée]]))=1),"oui","non")</f>
        <v>oui</v>
      </c>
      <c r="P9" s="34">
        <f>MAX(0,data[[#This Row],[Hfin corrigée]]-1)-data[[#This Row],[NUIT2.1]]-data[[#This Row],[NUIT2.2]]</f>
        <v>0</v>
      </c>
      <c r="Q9" s="34">
        <f>(MAX(0,MIN(data[[#This Row],[Hfin corrigée]],1+FinNuit)-1))</f>
        <v>0</v>
      </c>
      <c r="R9" s="34">
        <f>(MAX(0,(data[[#This Row],[Hfin corrigée]]-DebNuit-1)))</f>
        <v>0</v>
      </c>
      <c r="S9" s="34">
        <f>IF(data[[#This Row],[Garde / Interv.]]="Intervention",MAX(0,data[[#This Row],[Hfin corrigée]]-SUMPRODUCT((data[Date]=data[[#This Row],[Date]])*(data[Garde / Interv.]="Garde")*data[Hfin corrigée])),0)</f>
        <v>0</v>
      </c>
      <c r="T9" s="35">
        <f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f>
        <v>0</v>
      </c>
      <c r="U9" s="36">
        <f>TAUX1*data[[#This Row],[Durée sans interv.]]*24</f>
        <v>0</v>
      </c>
      <c r="V9" s="35">
        <f>MAX(0,IF(data[[#This Row],[Garde / Interv.]]="Intervention",(data[[#This Row],[Fin Dim ou Férié]]="non")*data[[#This Row],[JOUR2]]+(data[[#This Row],[Début Dim ou Férié]]="non")*data[[#This Row],[JOUR1]],0))</f>
        <v>0</v>
      </c>
      <c r="W9" s="37">
        <f>IF(data[[#This Row],[Garde / Interv.]]="Intervention",(data[[#This Row],[Fin Dim ou Férié]]="oui")*data[[#This Row],[JOUR2]]+(data[[#This Row],[Début Dim ou Férié]]="oui")*data[[#This Row],[JOUR1]],0)</f>
        <v>0.23958333333333331</v>
      </c>
      <c r="X9" s="38">
        <f>MAX(0,IF(data[[#This Row],[Garde / Interv.]]="Intervention",data[[#This Row],[NUIT1.1]]+data[[#This Row],[NUIT1.2]]+data[[#This Row],[NUIT2.1]]+data[[#This Row],[NUIT2.2]],0))</f>
        <v>0</v>
      </c>
      <c r="Y9" s="36">
        <f>TAUX2*data[[#This Row],[Durée interv. jour]]*24+TAUX3*data[[#This Row],[Durée interv. dim ou férié]]*24+TAUX4*data[[#This Row],[Durée interv. nuit]]*24</f>
        <v>28.749999999999996</v>
      </c>
      <c r="Z9" s="11"/>
      <c r="AB9" s="4"/>
      <c r="AC9" s="5"/>
      <c r="AD9"/>
      <c r="AE9"/>
    </row>
    <row r="10" spans="1:31" x14ac:dyDescent="0.35">
      <c r="A10" s="3">
        <v>43101</v>
      </c>
      <c r="B10" s="31" t="s">
        <v>3</v>
      </c>
      <c r="C10" s="3"/>
      <c r="D10" s="39"/>
      <c r="E10" s="39"/>
      <c r="F10" s="39">
        <v>0.56944444444444442</v>
      </c>
      <c r="G10" s="39">
        <v>0.70972222222222225</v>
      </c>
      <c r="H10" s="49">
        <f>IF(data[[#This Row],[Hdébut garde]]&lt;&gt;"",
data[[#This Row],[Hdébut garde]],
data[[#This Row],[Hdébut interv.]]+IF(data[[#This Row],[Hdébut interv.]]&lt;SUMPRODUCT((data[Date]=data[[#This Row],[Date]])*data[Hdébut garde]),1,0)
)</f>
        <v>0.56944444444444442</v>
      </c>
      <c r="I10" s="49">
        <f>IF(data[[#This Row],[Hfin garde]]&lt;&gt;"",
data[[#This Row],[Hfin garde]]+IF(data[[#This Row],[Hfin garde]]&lt;=data[[#This Row],[Hdébut garde]],1,0),
IF(data[[#This Row],[Hfin Interv.]]="",0,ROUNDUP(data[[#This Row],[Hfin Interv.]]*24*4,0)/4/24+IF(data[[#This Row],[Hfin Interv.]]&gt;data[[#This Row],[Hdébut interv.]],0,1))+IF(data[[#This Row],[Hdébut interv.]]&lt;SUMPRODUCT((data[Date]=data[[#This Row],[Date]])*data[Hdébut garde]),1,0)
)</f>
        <v>0.71875</v>
      </c>
      <c r="J10" s="32" t="str">
        <f>IF(data[[#This Row],[Hdébut garde]]&lt;&gt;"","Garde",IF(data[[#This Row],[Hdébut corrigé]]&lt;&gt;"","Intervention",""))</f>
        <v>Intervention</v>
      </c>
      <c r="K10" s="33" t="str">
        <f>IF(OR(WEEKDAY(data[[#This Row],[Date]],2)=7,COUNTIF(JF,data[[#This Row],[Date]])=1),"oui","non")</f>
        <v>oui</v>
      </c>
      <c r="L10" s="34">
        <f>MAX(0,(MIN(1,data[[#This Row],[Hfin corrigée]])-data[[#This Row],[Hdébut corrigé]])-data[[#This Row],[NUIT1.1]]-data[[#This Row],[NUIT1.2]])</f>
        <v>0.14930555555555558</v>
      </c>
      <c r="M10" s="34">
        <f>IF(data[[#This Row],[Hfin Interv.]]="",0,(
MIN(FinNuit,MIN(1,data[[#This Row],[Hfin corrigée]]))-MIN(FinNuit,data[[#This Row],[Hdébut corrigé]])
))</f>
        <v>0</v>
      </c>
      <c r="N10" s="34">
        <f>MAX(0,(MAX(0,(MIN(1,data[[#This Row],[Hfin corrigée]])-DebNuit))-MAX(0,(data[[#This Row],[Hdébut corrigé]]-DebNuit))))</f>
        <v>0</v>
      </c>
      <c r="O10" s="33" t="str">
        <f>IF(OR(WEEKDAY(data[[#This Row],[Date]]+data[[#This Row],[Hfin corrigée]],2)=7,COUNTIF(JF,INT(data[[#This Row],[Date]]+data[[#This Row],[Hfin corrigée]]))=1),"oui","non")</f>
        <v>oui</v>
      </c>
      <c r="P10" s="34">
        <f>MAX(0,data[[#This Row],[Hfin corrigée]]-1)-data[[#This Row],[NUIT2.1]]-data[[#This Row],[NUIT2.2]]</f>
        <v>0</v>
      </c>
      <c r="Q10" s="34">
        <f>(MAX(0,MIN(data[[#This Row],[Hfin corrigée]],1+FinNuit)-1))</f>
        <v>0</v>
      </c>
      <c r="R10" s="34">
        <f>(MAX(0,(data[[#This Row],[Hfin corrigée]]-DebNuit-1)))</f>
        <v>0</v>
      </c>
      <c r="S10" s="34">
        <f>IF(data[[#This Row],[Garde / Interv.]]="Intervention",MAX(0,data[[#This Row],[Hfin corrigée]]-SUMPRODUCT((data[Date]=data[[#This Row],[Date]])*(data[Garde / Interv.]="Garde")*data[Hfin corrigée])),0)</f>
        <v>0</v>
      </c>
      <c r="T10" s="35">
        <f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f>
        <v>0</v>
      </c>
      <c r="U10" s="36">
        <f>TAUX1*data[[#This Row],[Durée sans interv.]]*24</f>
        <v>0</v>
      </c>
      <c r="V10" s="35">
        <f>MAX(0,IF(data[[#This Row],[Garde / Interv.]]="Intervention",(data[[#This Row],[Fin Dim ou Férié]]="non")*data[[#This Row],[JOUR2]]+(data[[#This Row],[Début Dim ou Férié]]="non")*data[[#This Row],[JOUR1]],0))</f>
        <v>0</v>
      </c>
      <c r="W10" s="37">
        <f>IF(data[[#This Row],[Garde / Interv.]]="Intervention",(data[[#This Row],[Fin Dim ou Férié]]="oui")*data[[#This Row],[JOUR2]]+(data[[#This Row],[Début Dim ou Férié]]="oui")*data[[#This Row],[JOUR1]],0)</f>
        <v>0.14930555555555558</v>
      </c>
      <c r="X10" s="35">
        <f>MAX(0,IF(data[[#This Row],[Garde / Interv.]]="Intervention",data[[#This Row],[NUIT1.1]]+data[[#This Row],[NUIT1.2]]+data[[#This Row],[NUIT2.1]]+data[[#This Row],[NUIT2.2]],0))</f>
        <v>0</v>
      </c>
      <c r="Y10" s="36">
        <f>TAUX2*data[[#This Row],[Durée interv. jour]]*24+TAUX3*data[[#This Row],[Durée interv. dim ou férié]]*24+TAUX4*data[[#This Row],[Durée interv. nuit]]*24</f>
        <v>17.916666666666671</v>
      </c>
      <c r="Z10" s="11"/>
      <c r="AB10" s="4"/>
      <c r="AC10" s="5"/>
      <c r="AD10"/>
      <c r="AE10"/>
    </row>
    <row r="11" spans="1:31" x14ac:dyDescent="0.35">
      <c r="A11" s="3">
        <v>43101</v>
      </c>
      <c r="B11" s="31" t="s">
        <v>3</v>
      </c>
      <c r="C11" s="3"/>
      <c r="D11" s="39"/>
      <c r="E11" s="39"/>
      <c r="F11" s="39">
        <v>0.78125</v>
      </c>
      <c r="G11" s="39">
        <v>0.84513888888888899</v>
      </c>
      <c r="H11" s="49">
        <f>IF(data[[#This Row],[Hdébut garde]]&lt;&gt;"",
data[[#This Row],[Hdébut garde]],
data[[#This Row],[Hdébut interv.]]+IF(data[[#This Row],[Hdébut interv.]]&lt;SUMPRODUCT((data[Date]=data[[#This Row],[Date]])*data[Hdébut garde]),1,0)
)</f>
        <v>0.78125</v>
      </c>
      <c r="I11" s="49">
        <f>IF(data[[#This Row],[Hfin garde]]&lt;&gt;"",
data[[#This Row],[Hfin garde]]+IF(data[[#This Row],[Hfin garde]]&lt;=data[[#This Row],[Hdébut garde]],1,0),
IF(data[[#This Row],[Hfin Interv.]]="",0,ROUNDUP(data[[#This Row],[Hfin Interv.]]*24*4,0)/4/24+IF(data[[#This Row],[Hfin Interv.]]&gt;data[[#This Row],[Hdébut interv.]],0,1))+IF(data[[#This Row],[Hdébut interv.]]&lt;SUMPRODUCT((data[Date]=data[[#This Row],[Date]])*data[Hdébut garde]),1,0)
)</f>
        <v>0.85416666666666663</v>
      </c>
      <c r="J11" s="32" t="str">
        <f>IF(data[[#This Row],[Hdébut garde]]&lt;&gt;"","Garde",IF(data[[#This Row],[Hdébut corrigé]]&lt;&gt;"","Intervention",""))</f>
        <v>Intervention</v>
      </c>
      <c r="K11" s="33" t="str">
        <f>IF(OR(WEEKDAY(data[[#This Row],[Date]],2)=7,COUNTIF(JF,data[[#This Row],[Date]])=1),"oui","non")</f>
        <v>oui</v>
      </c>
      <c r="L11" s="34">
        <f>MAX(0,(MIN(1,data[[#This Row],[Hfin corrigée]])-data[[#This Row],[Hdébut corrigé]])-data[[#This Row],[NUIT1.1]]-data[[#This Row],[NUIT1.2]])</f>
        <v>7.291666666666663E-2</v>
      </c>
      <c r="M11" s="34">
        <f>IF(data[[#This Row],[Hfin Interv.]]="",0,(
MIN(FinNuit,MIN(1,data[[#This Row],[Hfin corrigée]]))-MIN(FinNuit,data[[#This Row],[Hdébut corrigé]])
))</f>
        <v>0</v>
      </c>
      <c r="N11" s="34">
        <f>MAX(0,(MAX(0,(MIN(1,data[[#This Row],[Hfin corrigée]])-DebNuit))-MAX(0,(data[[#This Row],[Hdébut corrigé]]-DebNuit))))</f>
        <v>0</v>
      </c>
      <c r="O11" s="33" t="str">
        <f>IF(OR(WEEKDAY(data[[#This Row],[Date]]+data[[#This Row],[Hfin corrigée]],2)=7,COUNTIF(JF,INT(data[[#This Row],[Date]]+data[[#This Row],[Hfin corrigée]]))=1),"oui","non")</f>
        <v>oui</v>
      </c>
      <c r="P11" s="34">
        <f>MAX(0,data[[#This Row],[Hfin corrigée]]-1)-data[[#This Row],[NUIT2.1]]-data[[#This Row],[NUIT2.2]]</f>
        <v>0</v>
      </c>
      <c r="Q11" s="34">
        <f>(MAX(0,MIN(data[[#This Row],[Hfin corrigée]],1+FinNuit)-1))</f>
        <v>0</v>
      </c>
      <c r="R11" s="34">
        <f>(MAX(0,(data[[#This Row],[Hfin corrigée]]-DebNuit-1)))</f>
        <v>0</v>
      </c>
      <c r="S11" s="34">
        <f>IF(data[[#This Row],[Garde / Interv.]]="Intervention",MAX(0,data[[#This Row],[Hfin corrigée]]-SUMPRODUCT((data[Date]=data[[#This Row],[Date]])*(data[Garde / Interv.]="Garde")*data[Hfin corrigée])),0)</f>
        <v>0</v>
      </c>
      <c r="T11" s="35">
        <f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f>
        <v>0</v>
      </c>
      <c r="U11" s="36">
        <f>TAUX1*data[[#This Row],[Durée sans interv.]]*24</f>
        <v>0</v>
      </c>
      <c r="V11" s="35">
        <f>MAX(0,IF(data[[#This Row],[Garde / Interv.]]="Intervention",(data[[#This Row],[Fin Dim ou Férié]]="non")*data[[#This Row],[JOUR2]]+(data[[#This Row],[Début Dim ou Férié]]="non")*data[[#This Row],[JOUR1]],0))</f>
        <v>0</v>
      </c>
      <c r="W11" s="37">
        <f>IF(data[[#This Row],[Garde / Interv.]]="Intervention",(data[[#This Row],[Fin Dim ou Férié]]="oui")*data[[#This Row],[JOUR2]]+(data[[#This Row],[Début Dim ou Férié]]="oui")*data[[#This Row],[JOUR1]],0)</f>
        <v>7.291666666666663E-2</v>
      </c>
      <c r="X11" s="35">
        <f>MAX(0,IF(data[[#This Row],[Garde / Interv.]]="Intervention",data[[#This Row],[NUIT1.1]]+data[[#This Row],[NUIT1.2]]+data[[#This Row],[NUIT2.1]]+data[[#This Row],[NUIT2.2]],0))</f>
        <v>0</v>
      </c>
      <c r="Y11" s="36">
        <f>TAUX2*data[[#This Row],[Durée interv. jour]]*24+TAUX3*data[[#This Row],[Durée interv. dim ou férié]]*24+TAUX4*data[[#This Row],[Durée interv. nuit]]*24</f>
        <v>8.7499999999999964</v>
      </c>
      <c r="Z11" s="11"/>
      <c r="AB11" s="4"/>
      <c r="AC11" s="5"/>
      <c r="AD11"/>
      <c r="AE11"/>
    </row>
    <row r="12" spans="1:31" x14ac:dyDescent="0.35">
      <c r="A12" s="3">
        <v>43295</v>
      </c>
      <c r="B12" s="22"/>
      <c r="C12" s="22"/>
      <c r="D12" s="39">
        <v>0.33333333333333331</v>
      </c>
      <c r="E12" s="39">
        <v>0.33333333333333331</v>
      </c>
      <c r="F12" s="39"/>
      <c r="G12" s="39"/>
      <c r="H12" s="49">
        <f>IF(data[[#This Row],[Hdébut garde]]&lt;&gt;"",
data[[#This Row],[Hdébut garde]],
data[[#This Row],[Hdébut interv.]]+IF(data[[#This Row],[Hdébut interv.]]&lt;SUMPRODUCT((data[Date]=data[[#This Row],[Date]])*data[Hdébut garde]),1,0)
)</f>
        <v>0.33333333333333331</v>
      </c>
      <c r="I12" s="49">
        <f>IF(data[[#This Row],[Hfin garde]]&lt;&gt;"",
data[[#This Row],[Hfin garde]]+IF(data[[#This Row],[Hfin garde]]&lt;=data[[#This Row],[Hdébut garde]],1,0),
IF(data[[#This Row],[Hfin Interv.]]="",0,ROUNDUP(data[[#This Row],[Hfin Interv.]]*24*4,0)/4/24+IF(data[[#This Row],[Hfin Interv.]]&gt;data[[#This Row],[Hdébut interv.]],0,1))+IF(data[[#This Row],[Hdébut interv.]]&lt;SUMPRODUCT((data[Date]=data[[#This Row],[Date]])*data[Hdébut garde]),1,0)
)</f>
        <v>1.3333333333333333</v>
      </c>
      <c r="J12" s="9" t="str">
        <f>IF(data[[#This Row],[Hdébut garde]]&lt;&gt;"","Garde",IF(data[[#This Row],[Hdébut corrigé]]&lt;&gt;"","Intervention",""))</f>
        <v>Garde</v>
      </c>
      <c r="K12" s="9" t="str">
        <f>IF(OR(WEEKDAY(data[[#This Row],[Date]],2)=7,COUNTIF(JF,data[[#This Row],[Date]])=1),"oui","non")</f>
        <v>oui</v>
      </c>
      <c r="L12" s="10">
        <f>MAX(0,(MIN(1,data[[#This Row],[Hfin corrigée]])-data[[#This Row],[Hdébut corrigé]])-data[[#This Row],[NUIT1.1]]-data[[#This Row],[NUIT1.2]])</f>
        <v>0.58333333333333337</v>
      </c>
      <c r="M12" s="10">
        <f>IF(data[[#This Row],[Hfin Interv.]]="",0,(
MIN(FinNuit,MIN(1,data[[#This Row],[Hfin corrigée]]))-MIN(FinNuit,data[[#This Row],[Hdébut corrigé]])
))</f>
        <v>0</v>
      </c>
      <c r="N12" s="10">
        <f>MAX(0,(MAX(0,(MIN(1,data[[#This Row],[Hfin corrigée]])-DebNuit))-MAX(0,(data[[#This Row],[Hdébut corrigé]]-DebNuit))))</f>
        <v>8.333333333333337E-2</v>
      </c>
      <c r="O12" s="9" t="str">
        <f>IF(OR(WEEKDAY(data[[#This Row],[Date]]+data[[#This Row],[Hfin corrigée]],2)=7,COUNTIF(JF,INT(data[[#This Row],[Date]]+data[[#This Row],[Hfin corrigée]]))=1),"oui","non")</f>
        <v>oui</v>
      </c>
      <c r="P12" s="10">
        <f>MAX(0,data[[#This Row],[Hfin corrigée]]-1)-data[[#This Row],[NUIT2.1]]-data[[#This Row],[NUIT2.2]]</f>
        <v>4.1666666666666519E-2</v>
      </c>
      <c r="Q12" s="10">
        <f>(MAX(0,MIN(data[[#This Row],[Hfin corrigée]],1+FinNuit)-1))</f>
        <v>0.29166666666666674</v>
      </c>
      <c r="R12" s="10">
        <f>(MAX(0,(data[[#This Row],[Hfin corrigée]]-DebNuit-1)))</f>
        <v>0</v>
      </c>
      <c r="S12" s="10">
        <f>IF(data[[#This Row],[Garde / Interv.]]="Intervention",MAX(0,data[[#This Row],[Hfin corrigée]]-SUMPRODUCT((data[Date]=data[[#This Row],[Date]])*(data[Garde / Interv.]="Garde")*data[Hfin corrigée])),0)</f>
        <v>0</v>
      </c>
      <c r="T12" s="11">
        <f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f>
        <v>0.61805555555555558</v>
      </c>
      <c r="U12" s="12">
        <f>TAUX1*data[[#This Row],[Durée sans interv.]]*24</f>
        <v>44.5</v>
      </c>
      <c r="V12" s="11">
        <f>MAX(0,IF(data[[#This Row],[Garde / Interv.]]="Intervention",(data[[#This Row],[Fin Dim ou Férié]]="non")*data[[#This Row],[JOUR2]]+(data[[#This Row],[Début Dim ou Férié]]="non")*data[[#This Row],[JOUR1]],0))</f>
        <v>0</v>
      </c>
      <c r="W12" s="11">
        <f>IF(data[[#This Row],[Garde / Interv.]]="Intervention",(data[[#This Row],[Fin Dim ou Férié]]="oui")*data[[#This Row],[JOUR2]]+(data[[#This Row],[Début Dim ou Férié]]="oui")*data[[#This Row],[JOUR1]],0)</f>
        <v>0</v>
      </c>
      <c r="X12" s="11">
        <f>MAX(0,IF(data[[#This Row],[Garde / Interv.]]="Intervention",data[[#This Row],[NUIT1.1]]+data[[#This Row],[NUIT1.2]]+data[[#This Row],[NUIT2.1]]+data[[#This Row],[NUIT2.2]],0))</f>
        <v>0</v>
      </c>
      <c r="Y12" s="12">
        <f>TAUX2*data[[#This Row],[Durée interv. jour]]*24+TAUX3*data[[#This Row],[Durée interv. dim ou férié]]*24+TAUX4*data[[#This Row],[Durée interv. nuit]]*24</f>
        <v>0</v>
      </c>
      <c r="Z12"/>
      <c r="AA12"/>
      <c r="AB12"/>
      <c r="AC12"/>
      <c r="AD12"/>
      <c r="AE12"/>
    </row>
    <row r="13" spans="1:31" x14ac:dyDescent="0.35">
      <c r="A13" s="3">
        <v>43295</v>
      </c>
      <c r="B13" s="31" t="s">
        <v>5</v>
      </c>
      <c r="C13" s="3"/>
      <c r="D13" s="39"/>
      <c r="E13" s="39"/>
      <c r="F13" s="39">
        <v>0.4201388888888889</v>
      </c>
      <c r="G13" s="39">
        <v>0.59166666666666667</v>
      </c>
      <c r="H13" s="49">
        <f>IF(data[[#This Row],[Hdébut garde]]&lt;&gt;"",
data[[#This Row],[Hdébut garde]],
data[[#This Row],[Hdébut interv.]]+IF(data[[#This Row],[Hdébut interv.]]&lt;SUMPRODUCT((data[Date]=data[[#This Row],[Date]])*data[Hdébut garde]),1,0)
)</f>
        <v>0.4201388888888889</v>
      </c>
      <c r="I13" s="49">
        <f>IF(data[[#This Row],[Hfin garde]]&lt;&gt;"",
data[[#This Row],[Hfin garde]]+IF(data[[#This Row],[Hfin garde]]&lt;=data[[#This Row],[Hdébut garde]],1,0),
IF(data[[#This Row],[Hfin Interv.]]="",0,ROUNDUP(data[[#This Row],[Hfin Interv.]]*24*4,0)/4/24+IF(data[[#This Row],[Hfin Interv.]]&gt;data[[#This Row],[Hdébut interv.]],0,1))+IF(data[[#This Row],[Hdébut interv.]]&lt;SUMPRODUCT((data[Date]=data[[#This Row],[Date]])*data[Hdébut garde]),1,0)
)</f>
        <v>0.59375</v>
      </c>
      <c r="J13" s="32" t="str">
        <f>IF(data[[#This Row],[Hdébut garde]]&lt;&gt;"","Garde",IF(data[[#This Row],[Hdébut corrigé]]&lt;&gt;"","Intervention",""))</f>
        <v>Intervention</v>
      </c>
      <c r="K13" s="33" t="str">
        <f>IF(OR(WEEKDAY(data[[#This Row],[Date]],2)=7,COUNTIF(JF,data[[#This Row],[Date]])=1),"oui","non")</f>
        <v>oui</v>
      </c>
      <c r="L13" s="34">
        <f>MAX(0,(MIN(1,data[[#This Row],[Hfin corrigée]])-data[[#This Row],[Hdébut corrigé]])-data[[#This Row],[NUIT1.1]]-data[[#This Row],[NUIT1.2]])</f>
        <v>0.1736111111111111</v>
      </c>
      <c r="M13" s="34">
        <f>IF(data[[#This Row],[Hfin Interv.]]="",0,(
MIN(FinNuit,MIN(1,data[[#This Row],[Hfin corrigée]]))-MIN(FinNuit,data[[#This Row],[Hdébut corrigé]])
))</f>
        <v>0</v>
      </c>
      <c r="N13" s="34">
        <f>MAX(0,(MAX(0,(MIN(1,data[[#This Row],[Hfin corrigée]])-DebNuit))-MAX(0,(data[[#This Row],[Hdébut corrigé]]-DebNuit))))</f>
        <v>0</v>
      </c>
      <c r="O13" s="33" t="str">
        <f>IF(OR(WEEKDAY(data[[#This Row],[Date]]+data[[#This Row],[Hfin corrigée]],2)=7,COUNTIF(JF,INT(data[[#This Row],[Date]]+data[[#This Row],[Hfin corrigée]]))=1),"oui","non")</f>
        <v>oui</v>
      </c>
      <c r="P13" s="34">
        <f>MAX(0,data[[#This Row],[Hfin corrigée]]-1)-data[[#This Row],[NUIT2.1]]-data[[#This Row],[NUIT2.2]]</f>
        <v>0</v>
      </c>
      <c r="Q13" s="34">
        <f>(MAX(0,MIN(data[[#This Row],[Hfin corrigée]],1+FinNuit)-1))</f>
        <v>0</v>
      </c>
      <c r="R13" s="34">
        <f>(MAX(0,(data[[#This Row],[Hfin corrigée]]-DebNuit-1)))</f>
        <v>0</v>
      </c>
      <c r="S13" s="34">
        <f>IF(data[[#This Row],[Garde / Interv.]]="Intervention",MAX(0,data[[#This Row],[Hfin corrigée]]-SUMPRODUCT((data[Date]=data[[#This Row],[Date]])*(data[Garde / Interv.]="Garde")*data[Hfin corrigée])),0)</f>
        <v>0</v>
      </c>
      <c r="T13" s="35">
        <f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f>
        <v>0</v>
      </c>
      <c r="U13" s="36">
        <f>TAUX1*data[[#This Row],[Durée sans interv.]]*24</f>
        <v>0</v>
      </c>
      <c r="V13" s="35">
        <f>MAX(0,IF(data[[#This Row],[Garde / Interv.]]="Intervention",(data[[#This Row],[Fin Dim ou Férié]]="non")*data[[#This Row],[JOUR2]]+(data[[#This Row],[Début Dim ou Férié]]="non")*data[[#This Row],[JOUR1]],0))</f>
        <v>0</v>
      </c>
      <c r="W13" s="37">
        <f>IF(data[[#This Row],[Garde / Interv.]]="Intervention",(data[[#This Row],[Fin Dim ou Férié]]="oui")*data[[#This Row],[JOUR2]]+(data[[#This Row],[Début Dim ou Férié]]="oui")*data[[#This Row],[JOUR1]],0)</f>
        <v>0.1736111111111111</v>
      </c>
      <c r="X13" s="35">
        <f>MAX(0,IF(data[[#This Row],[Garde / Interv.]]="Intervention",data[[#This Row],[NUIT1.1]]+data[[#This Row],[NUIT1.2]]+data[[#This Row],[NUIT2.1]]+data[[#This Row],[NUIT2.2]],0))</f>
        <v>0</v>
      </c>
      <c r="Y13" s="36">
        <f>TAUX2*data[[#This Row],[Durée interv. jour]]*24+TAUX3*data[[#This Row],[Durée interv. dim ou férié]]*24+TAUX4*data[[#This Row],[Durée interv. nuit]]*24</f>
        <v>20.833333333333336</v>
      </c>
      <c r="Z13" s="11"/>
      <c r="AB13" s="4"/>
      <c r="AC13" s="5"/>
      <c r="AD13"/>
      <c r="AE13"/>
    </row>
    <row r="14" spans="1:31" x14ac:dyDescent="0.35">
      <c r="A14" s="3">
        <v>43295</v>
      </c>
      <c r="B14" s="31" t="s">
        <v>5</v>
      </c>
      <c r="C14" s="3"/>
      <c r="D14" s="39"/>
      <c r="E14" s="39"/>
      <c r="F14" s="39">
        <v>0.79166666666666663</v>
      </c>
      <c r="G14" s="39">
        <v>0.99861111111111101</v>
      </c>
      <c r="H14" s="49">
        <f>IF(data[[#This Row],[Hdébut garde]]&lt;&gt;"",
data[[#This Row],[Hdébut garde]],
data[[#This Row],[Hdébut interv.]]+IF(data[[#This Row],[Hdébut interv.]]&lt;SUMPRODUCT((data[Date]=data[[#This Row],[Date]])*data[Hdébut garde]),1,0)
)</f>
        <v>0.79166666666666663</v>
      </c>
      <c r="I14" s="49">
        <f>IF(data[[#This Row],[Hfin garde]]&lt;&gt;"",
data[[#This Row],[Hfin garde]]+IF(data[[#This Row],[Hfin garde]]&lt;=data[[#This Row],[Hdébut garde]],1,0),
IF(data[[#This Row],[Hfin Interv.]]="",0,ROUNDUP(data[[#This Row],[Hfin Interv.]]*24*4,0)/4/24+IF(data[[#This Row],[Hfin Interv.]]&gt;data[[#This Row],[Hdébut interv.]],0,1))+IF(data[[#This Row],[Hdébut interv.]]&lt;SUMPRODUCT((data[Date]=data[[#This Row],[Date]])*data[Hdébut garde]),1,0)
)</f>
        <v>1</v>
      </c>
      <c r="J14" s="32" t="str">
        <f>IF(data[[#This Row],[Hdébut garde]]&lt;&gt;"","Garde",IF(data[[#This Row],[Hdébut corrigé]]&lt;&gt;"","Intervention",""))</f>
        <v>Intervention</v>
      </c>
      <c r="K14" s="33" t="str">
        <f>IF(OR(WEEKDAY(data[[#This Row],[Date]],2)=7,COUNTIF(JF,data[[#This Row],[Date]])=1),"oui","non")</f>
        <v>oui</v>
      </c>
      <c r="L14" s="34">
        <f>MAX(0,(MIN(1,data[[#This Row],[Hfin corrigée]])-data[[#This Row],[Hdébut corrigé]])-data[[#This Row],[NUIT1.1]]-data[[#This Row],[NUIT1.2]])</f>
        <v>0.125</v>
      </c>
      <c r="M14" s="34">
        <f>IF(data[[#This Row],[Hfin Interv.]]="",0,(
MIN(FinNuit,MIN(1,data[[#This Row],[Hfin corrigée]]))-MIN(FinNuit,data[[#This Row],[Hdébut corrigé]])
))</f>
        <v>0</v>
      </c>
      <c r="N14" s="34">
        <f>MAX(0,(MAX(0,(MIN(1,data[[#This Row],[Hfin corrigée]])-DebNuit))-MAX(0,(data[[#This Row],[Hdébut corrigé]]-DebNuit))))</f>
        <v>8.333333333333337E-2</v>
      </c>
      <c r="O14" s="33" t="str">
        <f>IF(OR(WEEKDAY(data[[#This Row],[Date]]+data[[#This Row],[Hfin corrigée]],2)=7,COUNTIF(JF,INT(data[[#This Row],[Date]]+data[[#This Row],[Hfin corrigée]]))=1),"oui","non")</f>
        <v>oui</v>
      </c>
      <c r="P14" s="34">
        <f>MAX(0,data[[#This Row],[Hfin corrigée]]-1)-data[[#This Row],[NUIT2.1]]-data[[#This Row],[NUIT2.2]]</f>
        <v>0</v>
      </c>
      <c r="Q14" s="34">
        <f>(MAX(0,MIN(data[[#This Row],[Hfin corrigée]],1+FinNuit)-1))</f>
        <v>0</v>
      </c>
      <c r="R14" s="34">
        <f>(MAX(0,(data[[#This Row],[Hfin corrigée]]-DebNuit-1)))</f>
        <v>0</v>
      </c>
      <c r="S14" s="34">
        <f>IF(data[[#This Row],[Garde / Interv.]]="Intervention",MAX(0,data[[#This Row],[Hfin corrigée]]-SUMPRODUCT((data[Date]=data[[#This Row],[Date]])*(data[Garde / Interv.]="Garde")*data[Hfin corrigée])),0)</f>
        <v>0</v>
      </c>
      <c r="T14" s="35">
        <f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f>
        <v>0</v>
      </c>
      <c r="U14" s="36">
        <f>TAUX1*data[[#This Row],[Durée sans interv.]]*24</f>
        <v>0</v>
      </c>
      <c r="V14" s="35">
        <f>MAX(0,IF(data[[#This Row],[Garde / Interv.]]="Intervention",(data[[#This Row],[Fin Dim ou Férié]]="non")*data[[#This Row],[JOUR2]]+(data[[#This Row],[Début Dim ou Férié]]="non")*data[[#This Row],[JOUR1]],0))</f>
        <v>0</v>
      </c>
      <c r="W14" s="37">
        <f>IF(data[[#This Row],[Garde / Interv.]]="Intervention",(data[[#This Row],[Fin Dim ou Férié]]="oui")*data[[#This Row],[JOUR2]]+(data[[#This Row],[Début Dim ou Férié]]="oui")*data[[#This Row],[JOUR1]],0)</f>
        <v>0.125</v>
      </c>
      <c r="X14" s="35">
        <f>MAX(0,IF(data[[#This Row],[Garde / Interv.]]="Intervention",data[[#This Row],[NUIT1.1]]+data[[#This Row],[NUIT1.2]]+data[[#This Row],[NUIT2.1]]+data[[#This Row],[NUIT2.2]],0))</f>
        <v>8.333333333333337E-2</v>
      </c>
      <c r="Y14" s="36">
        <f>TAUX2*data[[#This Row],[Durée interv. jour]]*24+TAUX3*data[[#This Row],[Durée interv. dim ou férié]]*24+TAUX4*data[[#This Row],[Durée interv. nuit]]*24</f>
        <v>27.000000000000007</v>
      </c>
      <c r="Z14" s="11"/>
      <c r="AB14" s="4"/>
      <c r="AC14" s="5"/>
      <c r="AD14"/>
      <c r="AE14"/>
    </row>
  </sheetData>
  <dataValidations count="1">
    <dataValidation type="list" allowBlank="1" showInputMessage="1" showErrorMessage="1" sqref="B2:B14">
      <formula1>véhicule</formula1>
    </dataValidation>
  </dataValidations>
  <pageMargins left="0.7" right="0.7" top="0.75" bottom="0.75" header="0.3" footer="0.3"/>
  <pageSetup paperSize="9" orientation="portrait" r:id="rId1"/>
  <drawing r:id="rId2"/>
  <legacyDrawing r:id="rId3"/>
  <tableParts count="1"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F9"/>
  <sheetViews>
    <sheetView workbookViewId="0">
      <selection activeCell="C5" sqref="C5"/>
    </sheetView>
  </sheetViews>
  <sheetFormatPr baseColWidth="10" defaultRowHeight="14.5" x14ac:dyDescent="0.35"/>
  <cols>
    <col min="1" max="1" width="11.81640625" bestFit="1" customWidth="1"/>
    <col min="2" max="2" width="7.1796875" bestFit="1" customWidth="1"/>
    <col min="3" max="3" width="7.08984375" customWidth="1"/>
    <col min="4" max="4" width="23.26953125" bestFit="1" customWidth="1"/>
    <col min="5" max="5" width="23.7265625" bestFit="1" customWidth="1"/>
    <col min="6" max="6" width="14.36328125" bestFit="1" customWidth="1"/>
    <col min="7" max="7" width="16.54296875" bestFit="1" customWidth="1"/>
    <col min="8" max="8" width="13" bestFit="1" customWidth="1"/>
  </cols>
  <sheetData>
    <row r="3" spans="1:6" x14ac:dyDescent="0.35">
      <c r="D3" s="24" t="s">
        <v>40</v>
      </c>
    </row>
    <row r="4" spans="1:6" x14ac:dyDescent="0.35">
      <c r="A4" s="24" t="s">
        <v>42</v>
      </c>
      <c r="B4" s="24" t="s">
        <v>43</v>
      </c>
      <c r="C4" s="24" t="s">
        <v>0</v>
      </c>
      <c r="D4" t="s">
        <v>41</v>
      </c>
      <c r="E4" t="s">
        <v>39</v>
      </c>
      <c r="F4" t="s">
        <v>61</v>
      </c>
    </row>
    <row r="5" spans="1:6" x14ac:dyDescent="0.35">
      <c r="A5" t="s">
        <v>44</v>
      </c>
      <c r="B5" t="s">
        <v>57</v>
      </c>
      <c r="C5" s="3" t="s">
        <v>58</v>
      </c>
      <c r="D5" s="27">
        <v>38.75</v>
      </c>
      <c r="E5" s="26">
        <v>55.416666666666671</v>
      </c>
      <c r="F5" s="40">
        <v>94.166666666666671</v>
      </c>
    </row>
    <row r="6" spans="1:6" x14ac:dyDescent="0.35">
      <c r="B6" t="s">
        <v>45</v>
      </c>
      <c r="C6" s="3" t="s">
        <v>46</v>
      </c>
      <c r="D6" s="27">
        <v>49.750000000000007</v>
      </c>
      <c r="E6" s="26">
        <v>36.166666666666657</v>
      </c>
      <c r="F6" s="40">
        <v>85.916666666666657</v>
      </c>
    </row>
    <row r="7" spans="1:6" x14ac:dyDescent="0.35">
      <c r="B7" t="s">
        <v>47</v>
      </c>
      <c r="C7" s="3" t="s">
        <v>48</v>
      </c>
      <c r="D7" s="27">
        <v>8.5000000000000338</v>
      </c>
      <c r="E7" s="26">
        <v>102.66666666666663</v>
      </c>
      <c r="F7" s="40">
        <v>111.16666666666666</v>
      </c>
    </row>
    <row r="8" spans="1:6" x14ac:dyDescent="0.35">
      <c r="B8" t="s">
        <v>59</v>
      </c>
      <c r="C8" s="3" t="s">
        <v>60</v>
      </c>
      <c r="D8" s="27">
        <v>44.5</v>
      </c>
      <c r="E8" s="26">
        <v>47.833333333333343</v>
      </c>
      <c r="F8" s="40">
        <v>92.333333333333343</v>
      </c>
    </row>
    <row r="9" spans="1:6" x14ac:dyDescent="0.35">
      <c r="A9" t="s">
        <v>36</v>
      </c>
      <c r="D9" s="27">
        <v>141.50000000000003</v>
      </c>
      <c r="E9" s="26">
        <v>242.08333333333329</v>
      </c>
      <c r="F9" s="40">
        <v>383.58333333333331</v>
      </c>
    </row>
  </sheetData>
  <pageMargins left="0.7" right="0.7" top="0.75" bottom="0.75" header="0.3" footer="0.3"/>
  <pageSetup paperSize="9" orientation="portrait"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3"/>
  <sheetViews>
    <sheetView workbookViewId="0">
      <selection activeCell="B9" sqref="B9"/>
    </sheetView>
  </sheetViews>
  <sheetFormatPr baseColWidth="10" defaultRowHeight="14.5" x14ac:dyDescent="0.35"/>
  <cols>
    <col min="1" max="1" width="18.36328125" bestFit="1" customWidth="1"/>
  </cols>
  <sheetData>
    <row r="1" spans="1:17" s="30" customFormat="1" x14ac:dyDescent="0.35">
      <c r="A1" s="28" t="s">
        <v>11</v>
      </c>
      <c r="B1" s="29">
        <v>2018</v>
      </c>
      <c r="C1" s="29">
        <v>2019</v>
      </c>
      <c r="D1" s="29">
        <v>2020</v>
      </c>
      <c r="E1" s="29">
        <v>2021</v>
      </c>
      <c r="F1" s="29">
        <v>2022</v>
      </c>
      <c r="G1" s="29">
        <v>2023</v>
      </c>
      <c r="H1" s="29">
        <v>2024</v>
      </c>
      <c r="I1" s="29">
        <v>2025</v>
      </c>
      <c r="J1" s="29">
        <v>2026</v>
      </c>
      <c r="K1" s="29">
        <v>2027</v>
      </c>
      <c r="L1" s="29">
        <v>2028</v>
      </c>
      <c r="M1" s="29">
        <v>2029</v>
      </c>
      <c r="N1" s="29">
        <v>2030</v>
      </c>
      <c r="O1" s="29">
        <v>2031</v>
      </c>
      <c r="P1" s="29">
        <v>2032</v>
      </c>
      <c r="Q1" s="29">
        <v>2033</v>
      </c>
    </row>
    <row r="2" spans="1:17" x14ac:dyDescent="0.35">
      <c r="A2" s="1" t="s">
        <v>49</v>
      </c>
      <c r="B2" s="1">
        <f>DATE(B1,1,1)</f>
        <v>43101</v>
      </c>
      <c r="C2" s="1">
        <f>DATE(C1,1,1)</f>
        <v>43466</v>
      </c>
      <c r="D2" s="1">
        <f t="shared" ref="D2:Q2" si="0">DATE(D1,1,1)</f>
        <v>43831</v>
      </c>
      <c r="E2" s="1">
        <f t="shared" si="0"/>
        <v>44197</v>
      </c>
      <c r="F2" s="1">
        <f t="shared" si="0"/>
        <v>44562</v>
      </c>
      <c r="G2" s="1">
        <f t="shared" si="0"/>
        <v>44927</v>
      </c>
      <c r="H2" s="1">
        <f t="shared" si="0"/>
        <v>45292</v>
      </c>
      <c r="I2" s="1">
        <f t="shared" si="0"/>
        <v>45658</v>
      </c>
      <c r="J2" s="1">
        <f t="shared" si="0"/>
        <v>46023</v>
      </c>
      <c r="K2" s="1">
        <f t="shared" si="0"/>
        <v>46388</v>
      </c>
      <c r="L2" s="1">
        <f t="shared" si="0"/>
        <v>46753</v>
      </c>
      <c r="M2" s="1">
        <f t="shared" si="0"/>
        <v>47119</v>
      </c>
      <c r="N2" s="1">
        <f t="shared" si="0"/>
        <v>47484</v>
      </c>
      <c r="O2" s="1">
        <f t="shared" si="0"/>
        <v>47849</v>
      </c>
      <c r="P2" s="1">
        <f t="shared" si="0"/>
        <v>48214</v>
      </c>
      <c r="Q2" s="1">
        <f t="shared" si="0"/>
        <v>48580</v>
      </c>
    </row>
    <row r="3" spans="1:17" x14ac:dyDescent="0.35">
      <c r="A3" s="1" t="s">
        <v>50</v>
      </c>
      <c r="B3" s="1">
        <f>ROUND(DATE(B1,4,MOD(234-11*MOD(B1,19),30))/7,0)*7-6</f>
        <v>43191</v>
      </c>
      <c r="C3" s="1">
        <f>ROUND(DATE(C1,4,MOD(234-11*MOD(C1,19),30))/7,0)*7-6</f>
        <v>43576</v>
      </c>
      <c r="D3" s="1">
        <f t="shared" ref="D3:Q3" si="1">ROUND(DATE(D1,4,MOD(234-11*MOD(D1,19),30))/7,0)*7-6</f>
        <v>43933</v>
      </c>
      <c r="E3" s="1">
        <f t="shared" si="1"/>
        <v>44290</v>
      </c>
      <c r="F3" s="1">
        <f t="shared" si="1"/>
        <v>44668</v>
      </c>
      <c r="G3" s="1">
        <f t="shared" si="1"/>
        <v>45025</v>
      </c>
      <c r="H3" s="1">
        <f t="shared" si="1"/>
        <v>45382</v>
      </c>
      <c r="I3" s="1">
        <f t="shared" si="1"/>
        <v>45767</v>
      </c>
      <c r="J3" s="1">
        <f t="shared" si="1"/>
        <v>46117</v>
      </c>
      <c r="K3" s="1">
        <f t="shared" si="1"/>
        <v>46474</v>
      </c>
      <c r="L3" s="1">
        <f t="shared" si="1"/>
        <v>46859</v>
      </c>
      <c r="M3" s="1">
        <f t="shared" si="1"/>
        <v>47209</v>
      </c>
      <c r="N3" s="1">
        <f t="shared" si="1"/>
        <v>47594</v>
      </c>
      <c r="O3" s="1">
        <f t="shared" si="1"/>
        <v>47951</v>
      </c>
      <c r="P3" s="1">
        <f t="shared" si="1"/>
        <v>48301</v>
      </c>
      <c r="Q3" s="1">
        <f t="shared" si="1"/>
        <v>48686</v>
      </c>
    </row>
    <row r="4" spans="1:17" x14ac:dyDescent="0.35">
      <c r="A4" s="1" t="s">
        <v>7</v>
      </c>
      <c r="B4" s="1">
        <f>B3+1</f>
        <v>43192</v>
      </c>
      <c r="C4" s="1">
        <f>C3+1</f>
        <v>43577</v>
      </c>
      <c r="D4" s="1">
        <f t="shared" ref="D4:Q4" si="2">D3+1</f>
        <v>43934</v>
      </c>
      <c r="E4" s="1">
        <f t="shared" si="2"/>
        <v>44291</v>
      </c>
      <c r="F4" s="1">
        <f t="shared" si="2"/>
        <v>44669</v>
      </c>
      <c r="G4" s="1">
        <f t="shared" si="2"/>
        <v>45026</v>
      </c>
      <c r="H4" s="1">
        <f t="shared" si="2"/>
        <v>45383</v>
      </c>
      <c r="I4" s="1">
        <f t="shared" si="2"/>
        <v>45768</v>
      </c>
      <c r="J4" s="1">
        <f t="shared" si="2"/>
        <v>46118</v>
      </c>
      <c r="K4" s="1">
        <f t="shared" si="2"/>
        <v>46475</v>
      </c>
      <c r="L4" s="1">
        <f t="shared" si="2"/>
        <v>46860</v>
      </c>
      <c r="M4" s="1">
        <f t="shared" si="2"/>
        <v>47210</v>
      </c>
      <c r="N4" s="1">
        <f t="shared" si="2"/>
        <v>47595</v>
      </c>
      <c r="O4" s="1">
        <f t="shared" si="2"/>
        <v>47952</v>
      </c>
      <c r="P4" s="1">
        <f t="shared" si="2"/>
        <v>48302</v>
      </c>
      <c r="Q4" s="1">
        <f t="shared" si="2"/>
        <v>48687</v>
      </c>
    </row>
    <row r="5" spans="1:17" x14ac:dyDescent="0.35">
      <c r="A5" s="1" t="s">
        <v>51</v>
      </c>
      <c r="B5" s="1">
        <f>DATE(B1,5,1)</f>
        <v>43221</v>
      </c>
      <c r="C5" s="1">
        <f>DATE(C1,5,1)</f>
        <v>43586</v>
      </c>
      <c r="D5" s="1">
        <f t="shared" ref="D5:Q5" si="3">DATE(D1,5,1)</f>
        <v>43952</v>
      </c>
      <c r="E5" s="1">
        <f t="shared" si="3"/>
        <v>44317</v>
      </c>
      <c r="F5" s="1">
        <f t="shared" si="3"/>
        <v>44682</v>
      </c>
      <c r="G5" s="1">
        <f t="shared" si="3"/>
        <v>45047</v>
      </c>
      <c r="H5" s="1">
        <f t="shared" si="3"/>
        <v>45413</v>
      </c>
      <c r="I5" s="1">
        <f t="shared" si="3"/>
        <v>45778</v>
      </c>
      <c r="J5" s="1">
        <f t="shared" si="3"/>
        <v>46143</v>
      </c>
      <c r="K5" s="1">
        <f t="shared" si="3"/>
        <v>46508</v>
      </c>
      <c r="L5" s="1">
        <f t="shared" si="3"/>
        <v>46874</v>
      </c>
      <c r="M5" s="1">
        <f t="shared" si="3"/>
        <v>47239</v>
      </c>
      <c r="N5" s="1">
        <f t="shared" si="3"/>
        <v>47604</v>
      </c>
      <c r="O5" s="1">
        <f t="shared" si="3"/>
        <v>47969</v>
      </c>
      <c r="P5" s="1">
        <f t="shared" si="3"/>
        <v>48335</v>
      </c>
      <c r="Q5" s="1">
        <f t="shared" si="3"/>
        <v>48700</v>
      </c>
    </row>
    <row r="6" spans="1:17" x14ac:dyDescent="0.35">
      <c r="A6" s="1" t="s">
        <v>52</v>
      </c>
      <c r="B6" s="1">
        <f>DATE(B1,5,8)</f>
        <v>43228</v>
      </c>
      <c r="C6" s="1">
        <f>DATE(C1,5,8)</f>
        <v>43593</v>
      </c>
      <c r="D6" s="1">
        <f t="shared" ref="D6:Q6" si="4">DATE(D1,5,8)</f>
        <v>43959</v>
      </c>
      <c r="E6" s="1">
        <f t="shared" si="4"/>
        <v>44324</v>
      </c>
      <c r="F6" s="1">
        <f t="shared" si="4"/>
        <v>44689</v>
      </c>
      <c r="G6" s="1">
        <f t="shared" si="4"/>
        <v>45054</v>
      </c>
      <c r="H6" s="1">
        <f t="shared" si="4"/>
        <v>45420</v>
      </c>
      <c r="I6" s="1">
        <f t="shared" si="4"/>
        <v>45785</v>
      </c>
      <c r="J6" s="1">
        <f t="shared" si="4"/>
        <v>46150</v>
      </c>
      <c r="K6" s="1">
        <f t="shared" si="4"/>
        <v>46515</v>
      </c>
      <c r="L6" s="1">
        <f t="shared" si="4"/>
        <v>46881</v>
      </c>
      <c r="M6" s="1">
        <f t="shared" si="4"/>
        <v>47246</v>
      </c>
      <c r="N6" s="1">
        <f t="shared" si="4"/>
        <v>47611</v>
      </c>
      <c r="O6" s="1">
        <f t="shared" si="4"/>
        <v>47976</v>
      </c>
      <c r="P6" s="1">
        <f t="shared" si="4"/>
        <v>48342</v>
      </c>
      <c r="Q6" s="1">
        <f t="shared" si="4"/>
        <v>48707</v>
      </c>
    </row>
    <row r="7" spans="1:17" x14ac:dyDescent="0.35">
      <c r="A7" s="1" t="s">
        <v>53</v>
      </c>
      <c r="B7" s="1">
        <f>B3+39</f>
        <v>43230</v>
      </c>
      <c r="C7" s="1">
        <f>C3+39</f>
        <v>43615</v>
      </c>
      <c r="D7" s="1">
        <f t="shared" ref="D7:Q7" si="5">D3+39</f>
        <v>43972</v>
      </c>
      <c r="E7" s="1">
        <f t="shared" si="5"/>
        <v>44329</v>
      </c>
      <c r="F7" s="1">
        <f t="shared" si="5"/>
        <v>44707</v>
      </c>
      <c r="G7" s="1">
        <f t="shared" si="5"/>
        <v>45064</v>
      </c>
      <c r="H7" s="1">
        <f t="shared" si="5"/>
        <v>45421</v>
      </c>
      <c r="I7" s="1">
        <f t="shared" si="5"/>
        <v>45806</v>
      </c>
      <c r="J7" s="1">
        <f t="shared" si="5"/>
        <v>46156</v>
      </c>
      <c r="K7" s="1">
        <f t="shared" si="5"/>
        <v>46513</v>
      </c>
      <c r="L7" s="1">
        <f t="shared" si="5"/>
        <v>46898</v>
      </c>
      <c r="M7" s="1">
        <f t="shared" si="5"/>
        <v>47248</v>
      </c>
      <c r="N7" s="1">
        <f t="shared" si="5"/>
        <v>47633</v>
      </c>
      <c r="O7" s="1">
        <f t="shared" si="5"/>
        <v>47990</v>
      </c>
      <c r="P7" s="1">
        <f t="shared" si="5"/>
        <v>48340</v>
      </c>
      <c r="Q7" s="1">
        <f t="shared" si="5"/>
        <v>48725</v>
      </c>
    </row>
    <row r="8" spans="1:17" x14ac:dyDescent="0.35">
      <c r="A8" s="1" t="s">
        <v>54</v>
      </c>
      <c r="B8" s="1">
        <f>B3+50</f>
        <v>43241</v>
      </c>
      <c r="C8" s="1">
        <f>C3+50</f>
        <v>43626</v>
      </c>
      <c r="D8" s="1">
        <f t="shared" ref="D8:Q8" si="6">D3+50</f>
        <v>43983</v>
      </c>
      <c r="E8" s="1">
        <f t="shared" si="6"/>
        <v>44340</v>
      </c>
      <c r="F8" s="1">
        <f t="shared" si="6"/>
        <v>44718</v>
      </c>
      <c r="G8" s="1">
        <f t="shared" si="6"/>
        <v>45075</v>
      </c>
      <c r="H8" s="1">
        <f t="shared" si="6"/>
        <v>45432</v>
      </c>
      <c r="I8" s="1">
        <f t="shared" si="6"/>
        <v>45817</v>
      </c>
      <c r="J8" s="1">
        <f t="shared" si="6"/>
        <v>46167</v>
      </c>
      <c r="K8" s="1">
        <f t="shared" si="6"/>
        <v>46524</v>
      </c>
      <c r="L8" s="1">
        <f t="shared" si="6"/>
        <v>46909</v>
      </c>
      <c r="M8" s="1">
        <f t="shared" si="6"/>
        <v>47259</v>
      </c>
      <c r="N8" s="1">
        <f t="shared" si="6"/>
        <v>47644</v>
      </c>
      <c r="O8" s="1">
        <f t="shared" si="6"/>
        <v>48001</v>
      </c>
      <c r="P8" s="1">
        <f t="shared" si="6"/>
        <v>48351</v>
      </c>
      <c r="Q8" s="1">
        <f t="shared" si="6"/>
        <v>48736</v>
      </c>
    </row>
    <row r="9" spans="1:17" x14ac:dyDescent="0.35">
      <c r="A9" s="1" t="s">
        <v>55</v>
      </c>
      <c r="B9" s="1">
        <f>DATE(B1,7,14)</f>
        <v>43295</v>
      </c>
      <c r="C9" s="1">
        <f>DATE(C1,7,14)</f>
        <v>43660</v>
      </c>
      <c r="D9" s="1">
        <f t="shared" ref="D9:Q9" si="7">DATE(D1,7,14)</f>
        <v>44026</v>
      </c>
      <c r="E9" s="1">
        <f t="shared" si="7"/>
        <v>44391</v>
      </c>
      <c r="F9" s="1">
        <f t="shared" si="7"/>
        <v>44756</v>
      </c>
      <c r="G9" s="1">
        <f t="shared" si="7"/>
        <v>45121</v>
      </c>
      <c r="H9" s="1">
        <f t="shared" si="7"/>
        <v>45487</v>
      </c>
      <c r="I9" s="1">
        <f t="shared" si="7"/>
        <v>45852</v>
      </c>
      <c r="J9" s="1">
        <f t="shared" si="7"/>
        <v>46217</v>
      </c>
      <c r="K9" s="1">
        <f t="shared" si="7"/>
        <v>46582</v>
      </c>
      <c r="L9" s="1">
        <f t="shared" si="7"/>
        <v>46948</v>
      </c>
      <c r="M9" s="1">
        <f t="shared" si="7"/>
        <v>47313</v>
      </c>
      <c r="N9" s="1">
        <f t="shared" si="7"/>
        <v>47678</v>
      </c>
      <c r="O9" s="1">
        <f t="shared" si="7"/>
        <v>48043</v>
      </c>
      <c r="P9" s="1">
        <f t="shared" si="7"/>
        <v>48409</v>
      </c>
      <c r="Q9" s="1">
        <f t="shared" si="7"/>
        <v>48774</v>
      </c>
    </row>
    <row r="10" spans="1:17" x14ac:dyDescent="0.35">
      <c r="A10" s="1" t="s">
        <v>8</v>
      </c>
      <c r="B10" s="1">
        <f>DATE(B1,8,15)</f>
        <v>43327</v>
      </c>
      <c r="C10" s="1">
        <f>DATE(C1,8,15)</f>
        <v>43692</v>
      </c>
      <c r="D10" s="1">
        <f t="shared" ref="D10:Q10" si="8">DATE(D1,8,15)</f>
        <v>44058</v>
      </c>
      <c r="E10" s="1">
        <f t="shared" si="8"/>
        <v>44423</v>
      </c>
      <c r="F10" s="1">
        <f t="shared" si="8"/>
        <v>44788</v>
      </c>
      <c r="G10" s="1">
        <f t="shared" si="8"/>
        <v>45153</v>
      </c>
      <c r="H10" s="1">
        <f t="shared" si="8"/>
        <v>45519</v>
      </c>
      <c r="I10" s="1">
        <f t="shared" si="8"/>
        <v>45884</v>
      </c>
      <c r="J10" s="1">
        <f t="shared" si="8"/>
        <v>46249</v>
      </c>
      <c r="K10" s="1">
        <f t="shared" si="8"/>
        <v>46614</v>
      </c>
      <c r="L10" s="1">
        <f t="shared" si="8"/>
        <v>46980</v>
      </c>
      <c r="M10" s="1">
        <f t="shared" si="8"/>
        <v>47345</v>
      </c>
      <c r="N10" s="1">
        <f t="shared" si="8"/>
        <v>47710</v>
      </c>
      <c r="O10" s="1">
        <f t="shared" si="8"/>
        <v>48075</v>
      </c>
      <c r="P10" s="1">
        <f t="shared" si="8"/>
        <v>48441</v>
      </c>
      <c r="Q10" s="1">
        <f t="shared" si="8"/>
        <v>48806</v>
      </c>
    </row>
    <row r="11" spans="1:17" x14ac:dyDescent="0.35">
      <c r="A11" s="1" t="s">
        <v>56</v>
      </c>
      <c r="B11" s="1">
        <f>DATE(B1,11,1)</f>
        <v>43405</v>
      </c>
      <c r="C11" s="1">
        <f>DATE(C1,11,1)</f>
        <v>43770</v>
      </c>
      <c r="D11" s="1">
        <f t="shared" ref="D11:Q11" si="9">DATE(D1,11,1)</f>
        <v>44136</v>
      </c>
      <c r="E11" s="1">
        <f t="shared" si="9"/>
        <v>44501</v>
      </c>
      <c r="F11" s="1">
        <f t="shared" si="9"/>
        <v>44866</v>
      </c>
      <c r="G11" s="1">
        <f t="shared" si="9"/>
        <v>45231</v>
      </c>
      <c r="H11" s="1">
        <f t="shared" si="9"/>
        <v>45597</v>
      </c>
      <c r="I11" s="1">
        <f t="shared" si="9"/>
        <v>45962</v>
      </c>
      <c r="J11" s="1">
        <f t="shared" si="9"/>
        <v>46327</v>
      </c>
      <c r="K11" s="1">
        <f t="shared" si="9"/>
        <v>46692</v>
      </c>
      <c r="L11" s="1">
        <f t="shared" si="9"/>
        <v>47058</v>
      </c>
      <c r="M11" s="1">
        <f t="shared" si="9"/>
        <v>47423</v>
      </c>
      <c r="N11" s="1">
        <f t="shared" si="9"/>
        <v>47788</v>
      </c>
      <c r="O11" s="1">
        <f t="shared" si="9"/>
        <v>48153</v>
      </c>
      <c r="P11" s="1">
        <f t="shared" si="9"/>
        <v>48519</v>
      </c>
      <c r="Q11" s="1">
        <f t="shared" si="9"/>
        <v>48884</v>
      </c>
    </row>
    <row r="12" spans="1:17" x14ac:dyDescent="0.35">
      <c r="A12" s="1" t="s">
        <v>9</v>
      </c>
      <c r="B12" s="1">
        <f>DATE(B1,11,11)</f>
        <v>43415</v>
      </c>
      <c r="C12" s="1">
        <f>DATE(C1,11,11)</f>
        <v>43780</v>
      </c>
      <c r="D12" s="1">
        <f t="shared" ref="D12:Q12" si="10">DATE(D1,11,11)</f>
        <v>44146</v>
      </c>
      <c r="E12" s="1">
        <f t="shared" si="10"/>
        <v>44511</v>
      </c>
      <c r="F12" s="1">
        <f t="shared" si="10"/>
        <v>44876</v>
      </c>
      <c r="G12" s="1">
        <f t="shared" si="10"/>
        <v>45241</v>
      </c>
      <c r="H12" s="1">
        <f t="shared" si="10"/>
        <v>45607</v>
      </c>
      <c r="I12" s="1">
        <f t="shared" si="10"/>
        <v>45972</v>
      </c>
      <c r="J12" s="1">
        <f t="shared" si="10"/>
        <v>46337</v>
      </c>
      <c r="K12" s="1">
        <f t="shared" si="10"/>
        <v>46702</v>
      </c>
      <c r="L12" s="1">
        <f t="shared" si="10"/>
        <v>47068</v>
      </c>
      <c r="M12" s="1">
        <f t="shared" si="10"/>
        <v>47433</v>
      </c>
      <c r="N12" s="1">
        <f t="shared" si="10"/>
        <v>47798</v>
      </c>
      <c r="O12" s="1">
        <f t="shared" si="10"/>
        <v>48163</v>
      </c>
      <c r="P12" s="1">
        <f t="shared" si="10"/>
        <v>48529</v>
      </c>
      <c r="Q12" s="1">
        <f t="shared" si="10"/>
        <v>48894</v>
      </c>
    </row>
    <row r="13" spans="1:17" x14ac:dyDescent="0.35">
      <c r="A13" s="1" t="s">
        <v>10</v>
      </c>
      <c r="B13" s="1">
        <f>DATE(B1,12,25)</f>
        <v>43459</v>
      </c>
      <c r="C13" s="1">
        <f>DATE(C1,12,25)</f>
        <v>43824</v>
      </c>
      <c r="D13" s="1">
        <f t="shared" ref="D13:Q13" si="11">DATE(D1,12,25)</f>
        <v>44190</v>
      </c>
      <c r="E13" s="1">
        <f t="shared" si="11"/>
        <v>44555</v>
      </c>
      <c r="F13" s="1">
        <f t="shared" si="11"/>
        <v>44920</v>
      </c>
      <c r="G13" s="1">
        <f t="shared" si="11"/>
        <v>45285</v>
      </c>
      <c r="H13" s="1">
        <f t="shared" si="11"/>
        <v>45651</v>
      </c>
      <c r="I13" s="1">
        <f t="shared" si="11"/>
        <v>46016</v>
      </c>
      <c r="J13" s="1">
        <f t="shared" si="11"/>
        <v>46381</v>
      </c>
      <c r="K13" s="1">
        <f t="shared" si="11"/>
        <v>46746</v>
      </c>
      <c r="L13" s="1">
        <f t="shared" si="11"/>
        <v>47112</v>
      </c>
      <c r="M13" s="1">
        <f t="shared" si="11"/>
        <v>47477</v>
      </c>
      <c r="N13" s="1">
        <f t="shared" si="11"/>
        <v>47842</v>
      </c>
      <c r="O13" s="1">
        <f t="shared" si="11"/>
        <v>48207</v>
      </c>
      <c r="P13" s="1">
        <f t="shared" si="11"/>
        <v>48573</v>
      </c>
      <c r="Q13" s="1">
        <f t="shared" si="11"/>
        <v>48938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4"/>
  <sheetViews>
    <sheetView workbookViewId="0">
      <selection activeCell="E11" sqref="E11"/>
    </sheetView>
  </sheetViews>
  <sheetFormatPr baseColWidth="10" defaultColWidth="10.90625" defaultRowHeight="14.5" x14ac:dyDescent="0.35"/>
  <cols>
    <col min="1" max="1" width="21.36328125" style="15" bestFit="1" customWidth="1"/>
    <col min="2" max="2" width="10.90625" style="22"/>
    <col min="3" max="16384" width="10.90625" style="15"/>
  </cols>
  <sheetData>
    <row r="1" spans="1:2" x14ac:dyDescent="0.35">
      <c r="A1" s="16" t="s">
        <v>29</v>
      </c>
      <c r="B1" s="21">
        <v>0.29166666666666669</v>
      </c>
    </row>
    <row r="2" spans="1:2" x14ac:dyDescent="0.35">
      <c r="A2" s="16" t="s">
        <v>30</v>
      </c>
      <c r="B2" s="21">
        <v>0.91666666666666663</v>
      </c>
    </row>
    <row r="4" spans="1:2" x14ac:dyDescent="0.35">
      <c r="A4" s="16" t="s">
        <v>31</v>
      </c>
      <c r="B4" s="23">
        <v>3</v>
      </c>
    </row>
    <row r="5" spans="1:2" x14ac:dyDescent="0.35">
      <c r="A5" s="16" t="s">
        <v>32</v>
      </c>
      <c r="B5" s="23">
        <v>4</v>
      </c>
    </row>
    <row r="6" spans="1:2" x14ac:dyDescent="0.35">
      <c r="A6" s="16" t="s">
        <v>33</v>
      </c>
      <c r="B6" s="23">
        <v>5</v>
      </c>
    </row>
    <row r="7" spans="1:2" x14ac:dyDescent="0.35">
      <c r="A7" s="16" t="s">
        <v>34</v>
      </c>
      <c r="B7" s="23">
        <v>6</v>
      </c>
    </row>
    <row r="9" spans="1:2" x14ac:dyDescent="0.35">
      <c r="A9" s="17" t="s">
        <v>28</v>
      </c>
      <c r="B9" s="20" t="s">
        <v>3</v>
      </c>
    </row>
    <row r="10" spans="1:2" x14ac:dyDescent="0.35">
      <c r="A10" s="18"/>
      <c r="B10" s="20" t="s">
        <v>5</v>
      </c>
    </row>
    <row r="11" spans="1:2" x14ac:dyDescent="0.35">
      <c r="A11" s="18"/>
      <c r="B11" s="20" t="s">
        <v>4</v>
      </c>
    </row>
    <row r="12" spans="1:2" x14ac:dyDescent="0.35">
      <c r="A12" s="18"/>
      <c r="B12" s="20" t="s">
        <v>6</v>
      </c>
    </row>
    <row r="13" spans="1:2" x14ac:dyDescent="0.35">
      <c r="A13" s="18"/>
      <c r="B13" s="20"/>
    </row>
    <row r="14" spans="1:2" x14ac:dyDescent="0.35">
      <c r="A14" s="19"/>
      <c r="B14" s="20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8</vt:i4>
      </vt:variant>
    </vt:vector>
  </HeadingPairs>
  <TitlesOfParts>
    <vt:vector size="12" baseType="lpstr">
      <vt:lpstr>Données</vt:lpstr>
      <vt:lpstr>Synthèse</vt:lpstr>
      <vt:lpstr>JoursFériés</vt:lpstr>
      <vt:lpstr>Paramètres</vt:lpstr>
      <vt:lpstr>DebNuit</vt:lpstr>
      <vt:lpstr>FinNuit</vt:lpstr>
      <vt:lpstr>JF</vt:lpstr>
      <vt:lpstr>TAUX1</vt:lpstr>
      <vt:lpstr>TAUX2</vt:lpstr>
      <vt:lpstr>TAUX3</vt:lpstr>
      <vt:lpstr>TAUX4</vt:lpstr>
      <vt:lpstr>véhicule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2018-05-30T01:25:42Z</dcterms:modified>
</cp:coreProperties>
</file>